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omegaenergiarenovavel.sharepoint.com/sites/RI/Documentos Partilhados/Serena Energia/11. Resultados/2022/4T22/10. Planilha Financials/"/>
    </mc:Choice>
  </mc:AlternateContent>
  <xr:revisionPtr revIDLastSave="878" documentId="8_{3C33513F-8624-4D50-AC46-25950058285D}" xr6:coauthVersionLast="47" xr6:coauthVersionMax="47" xr10:uidLastSave="{E6F6BA5F-475F-4672-B7FA-B3FDDEBD6F7B}"/>
  <bookViews>
    <workbookView xWindow="28680" yWindow="-120" windowWidth="29040" windowHeight="15720" xr2:uid="{B2B4483D-51AC-4F83-8BEE-5CE39EBF13DE}"/>
  </bookViews>
  <sheets>
    <sheet name="Disclaimer" sheetId="21" r:id="rId1"/>
    <sheet name="Complex Overview" sheetId="19" r:id="rId2"/>
    <sheet name="Development Program" sheetId="24" r:id="rId3"/>
    <sheet name="Energy Portfolio" sheetId="29" r:id="rId4"/>
    <sheet name="Operational KPIs" sheetId="17" r:id="rId5"/>
    <sheet name="Financials KPIs" sheetId="2" r:id="rId6"/>
    <sheet name="Pipoca 17 e 16" sheetId="13" state="hidden" r:id="rId7"/>
    <sheet name="Indebtedness" sheetId="16" r:id="rId8"/>
    <sheet name="Asset Structure" sheetId="27" r:id="rId9"/>
    <sheet name="Operational Power Plants" sheetId="30" r:id="rId10"/>
    <sheet name="P&amp;L" sheetId="25" r:id="rId11"/>
    <sheet name="Balance Sheet" sheetId="26" r:id="rId12"/>
    <sheet name="Notes - Net Op. Revenue " sheetId="28" r:id="rId13"/>
  </sheets>
  <externalReferences>
    <externalReference r:id="rId14"/>
    <externalReference r:id="rId15"/>
    <externalReference r:id="rId16"/>
    <externalReference r:id="rId17"/>
  </externalReferences>
  <definedNames>
    <definedName name="\0" localSheetId="8">#REF!</definedName>
    <definedName name="\0" localSheetId="9">#REF!</definedName>
    <definedName name="\0">#REF!</definedName>
    <definedName name="_" localSheetId="8">#REF!</definedName>
    <definedName name="_">#REF!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Hlk14724919" localSheetId="7">Indebtedness!#REF!</definedName>
    <definedName name="_Hlk16536119" localSheetId="3">'Energy Portfolio'!#REF!</definedName>
    <definedName name="_Hlk2787261" localSheetId="1">'Complex Overview'!$B$6</definedName>
    <definedName name="_Hlk2787261" localSheetId="2">'Development Program'!$B$6</definedName>
    <definedName name="_Hlk3719110" localSheetId="4">'Operational KPIs'!#REF!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8" hidden="1">{#N/A,#N/A,TRUE,"Total";#N/A,#N/A,TRUE,"Crop Harvesting";#N/A,#N/A,TRUE,"Hay &amp; Forage";#N/A,#N/A,TRUE,"CROP PRODUCTION";#N/A,#N/A,TRUE,"TRACTOR";#N/A,#N/A,TRUE,"Crawlers &amp; Dozers";#N/A,#N/A,TRUE,"TLB";#N/A,#N/A,TRUE,"Excavators";#N/A,#N/A,TRUE,"Loaders and Graders ";#N/A,#N/A,TRUE,"Skid Steer Loaders"}</definedName>
    <definedName name="_TL18" localSheetId="3" hidden="1">{#N/A,#N/A,TRUE,"Total";#N/A,#N/A,TRUE,"Crop Harvesting";#N/A,#N/A,TRUE,"Hay &amp; Forage";#N/A,#N/A,TRUE,"CROP PRODUCTION";#N/A,#N/A,TRUE,"TRACTOR";#N/A,#N/A,TRUE,"Crawlers &amp; Dozers";#N/A,#N/A,TRUE,"TLB";#N/A,#N/A,TRUE,"Excavators";#N/A,#N/A,TRUE,"Loaders and Graders ";#N/A,#N/A,TRUE,"Skid Steer Loaders"}</definedName>
    <definedName name="_TL18" localSheetId="9"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8">{"'RR'!$A$2:$E$81"}</definedName>
    <definedName name="a" localSheetId="0" hidden="1">{#N/A,#N/A,FALSE,"Aging Summary";#N/A,#N/A,FALSE,"Ratio Analysis";#N/A,#N/A,FALSE,"Test 120 Day Accts";#N/A,#N/A,FALSE,"Tickmarks"}</definedName>
    <definedName name="A" localSheetId="3">{"'RR'!$A$2:$E$81"}</definedName>
    <definedName name="A" localSheetId="9">{"'RR'!$A$2:$E$81"}</definedName>
    <definedName name="A">{"'RR'!$A$2:$E$81"}</definedName>
    <definedName name="aa" localSheetId="8" hidden="1">{"'RR'!$A$2:$E$81"}</definedName>
    <definedName name="aa" localSheetId="3" hidden="1">{"'RR'!$A$2:$E$81"}</definedName>
    <definedName name="aa" localSheetId="9" hidden="1">{"'RR'!$A$2:$E$81"}</definedName>
    <definedName name="aa" hidden="1">{"'RR'!$A$2:$E$81"}</definedName>
    <definedName name="aaa" localSheetId="8" hidden="1">{"'RR'!$A$2:$E$81"}</definedName>
    <definedName name="aaa" localSheetId="3" hidden="1">{"'RR'!$A$2:$E$81"}</definedName>
    <definedName name="aaa" localSheetId="9" hidden="1">{"'RR'!$A$2:$E$81"}</definedName>
    <definedName name="aaa" hidden="1">{"'RR'!$A$2:$E$81"}</definedName>
    <definedName name="aaaa" localSheetId="8" hidden="1">{#N/A,#N/A,FALSE,"Aging Summary";#N/A,#N/A,FALSE,"Ratio Analysis";#N/A,#N/A,FALSE,"Test 120 Day Accts";#N/A,#N/A,FALSE,"Tickmarks"}</definedName>
    <definedName name="aaaa" localSheetId="0" hidden="1">{#N/A,#N/A,FALSE,"Aging Summary";#N/A,#N/A,FALSE,"Ratio Analysis";#N/A,#N/A,FALSE,"Test 120 Day Accts";#N/A,#N/A,FALSE,"Tickmarks"}</definedName>
    <definedName name="aaaa" localSheetId="3" hidden="1">{#N/A,#N/A,FALSE,"Aging Summary";#N/A,#N/A,FALSE,"Ratio Analysis";#N/A,#N/A,FALSE,"Test 120 Day Accts";#N/A,#N/A,FALSE,"Tickmarks"}</definedName>
    <definedName name="aaaa" localSheetId="9" hidden="1">{#N/A,#N/A,FALSE,"Aging Summary";#N/A,#N/A,FALSE,"Ratio Analysis";#N/A,#N/A,FALSE,"Test 120 Day Accts";#N/A,#N/A,FALSE,"Tickmarks"}</definedName>
    <definedName name="aaaa" hidden="1">{#N/A,#N/A,FALSE,"Aging Summary";#N/A,#N/A,FALSE,"Ratio Analysis";#N/A,#N/A,FALSE,"Test 120 Day Accts";#N/A,#N/A,FALSE,"Tickmarks"}</definedName>
    <definedName name="AAAAA" localSheetId="8" hidden="1">{#N/A,#N/A,TRUE,"7d";#N/A,#N/A,TRUE,"7g";#N/A,#N/A,TRUE,"7i"}</definedName>
    <definedName name="AAAAA" localSheetId="3" hidden="1">{#N/A,#N/A,TRUE,"7d";#N/A,#N/A,TRUE,"7g";#N/A,#N/A,TRUE,"7i"}</definedName>
    <definedName name="AAAAA" localSheetId="9" hidden="1">{#N/A,#N/A,TRUE,"7d";#N/A,#N/A,TRUE,"7g";#N/A,#N/A,TRUE,"7i"}</definedName>
    <definedName name="AAAAA" hidden="1">{#N/A,#N/A,TRUE,"7d";#N/A,#N/A,TRUE,"7g";#N/A,#N/A,TRUE,"7i"}</definedName>
    <definedName name="AAAAAA" localSheetId="8" hidden="1">{#N/A,#N/A,TRUE,"7d";#N/A,#N/A,TRUE,"7g";#N/A,#N/A,TRUE,"7i"}</definedName>
    <definedName name="AAAAAA" localSheetId="3" hidden="1">{#N/A,#N/A,TRUE,"7d";#N/A,#N/A,TRUE,"7g";#N/A,#N/A,TRUE,"7i"}</definedName>
    <definedName name="AAAAAA" localSheetId="9" hidden="1">{#N/A,#N/A,TRUE,"7d";#N/A,#N/A,TRUE,"7g";#N/A,#N/A,TRUE,"7i"}</definedName>
    <definedName name="AAAAAA" hidden="1">{#N/A,#N/A,TRUE,"7d";#N/A,#N/A,TRUE,"7g";#N/A,#N/A,TRUE,"7i"}</definedName>
    <definedName name="AAAAAAAA" localSheetId="8" hidden="1">{#N/A,#N/A,TRUE,"7d";#N/A,#N/A,TRUE,"7g";#N/A,#N/A,TRUE,"7i"}</definedName>
    <definedName name="AAAAAAAA" localSheetId="3" hidden="1">{#N/A,#N/A,TRUE,"7d";#N/A,#N/A,TRUE,"7g";#N/A,#N/A,TRUE,"7i"}</definedName>
    <definedName name="AAAAAAAA" localSheetId="9" hidden="1">{#N/A,#N/A,TRUE,"7d";#N/A,#N/A,TRUE,"7g";#N/A,#N/A,TRUE,"7i"}</definedName>
    <definedName name="AAAAAAAA" hidden="1">{#N/A,#N/A,TRUE,"7d";#N/A,#N/A,TRUE,"7g";#N/A,#N/A,TRUE,"7i"}</definedName>
    <definedName name="AAAAAAAAAA" localSheetId="8" hidden="1">{#N/A,#N/A,TRUE,"7d";#N/A,#N/A,TRUE,"7g";#N/A,#N/A,TRUE,"7i"}</definedName>
    <definedName name="AAAAAAAAAA" localSheetId="3" hidden="1">{#N/A,#N/A,TRUE,"7d";#N/A,#N/A,TRUE,"7g";#N/A,#N/A,TRUE,"7i"}</definedName>
    <definedName name="AAAAAAAAAA" localSheetId="9" hidden="1">{#N/A,#N/A,TRUE,"7d";#N/A,#N/A,TRUE,"7g";#N/A,#N/A,TRUE,"7i"}</definedName>
    <definedName name="AAAAAAAAAA" hidden="1">{#N/A,#N/A,TRUE,"7d";#N/A,#N/A,TRUE,"7g";#N/A,#N/A,TRUE,"7i"}</definedName>
    <definedName name="AAAAAAAAAAAAA" localSheetId="8" hidden="1">{#N/A,#N/A,TRUE,"7d";#N/A,#N/A,TRUE,"7g";#N/A,#N/A,TRUE,"7i"}</definedName>
    <definedName name="AAAAAAAAAAAAA" localSheetId="3" hidden="1">{#N/A,#N/A,TRUE,"7d";#N/A,#N/A,TRUE,"7g";#N/A,#N/A,TRUE,"7i"}</definedName>
    <definedName name="AAAAAAAAAAAAA" localSheetId="9" hidden="1">{#N/A,#N/A,TRUE,"7d";#N/A,#N/A,TRUE,"7g";#N/A,#N/A,TRUE,"7i"}</definedName>
    <definedName name="AAAAAAAAAAAAA" hidden="1">{#N/A,#N/A,TRUE,"7d";#N/A,#N/A,TRUE,"7g";#N/A,#N/A,TRUE,"7i"}</definedName>
    <definedName name="aaaaaaaaaaaaaa" localSheetId="8" hidden="1">{"'RR'!$A$2:$E$81"}</definedName>
    <definedName name="aaaaaaaaaaaaaa" localSheetId="3" hidden="1">{"'RR'!$A$2:$E$81"}</definedName>
    <definedName name="aaaaaaaaaaaaaa" localSheetId="9" hidden="1">{"'RR'!$A$2:$E$81"}</definedName>
    <definedName name="aaaaaaaaaaaaaa" hidden="1">{"'RR'!$A$2:$E$81"}</definedName>
    <definedName name="AAAAAAAAAAAAAAAAAAAA" localSheetId="8" hidden="1">{#N/A,#N/A,TRUE,"7d";#N/A,#N/A,TRUE,"7g";#N/A,#N/A,TRUE,"7i"}</definedName>
    <definedName name="AAAAAAAAAAAAAAAAAAAA" localSheetId="3" hidden="1">{#N/A,#N/A,TRUE,"7d";#N/A,#N/A,TRUE,"7g";#N/A,#N/A,TRUE,"7i"}</definedName>
    <definedName name="AAAAAAAAAAAAAAAAAAAA" localSheetId="9" hidden="1">{#N/A,#N/A,TRUE,"7d";#N/A,#N/A,TRUE,"7g";#N/A,#N/A,TRUE,"7i"}</definedName>
    <definedName name="AAAAAAAAAAAAAAAAAAAA" hidden="1">{#N/A,#N/A,TRUE,"7d";#N/A,#N/A,TRUE,"7g";#N/A,#N/A,TRUE,"7i"}</definedName>
    <definedName name="ACIARIA">#REF!</definedName>
    <definedName name="ACTIVO">#REF!</definedName>
    <definedName name="adadsgas" localSheetId="8" hidden="1">{#N/A,#N/A,TRUE,"7d";#N/A,#N/A,TRUE,"7g";#N/A,#N/A,TRUE,"7i"}</definedName>
    <definedName name="adadsgas" localSheetId="3" hidden="1">{#N/A,#N/A,TRUE,"7d";#N/A,#N/A,TRUE,"7g";#N/A,#N/A,TRUE,"7i"}</definedName>
    <definedName name="adadsgas" localSheetId="9" hidden="1">{#N/A,#N/A,TRUE,"7d";#N/A,#N/A,TRUE,"7g";#N/A,#N/A,TRUE,"7i"}</definedName>
    <definedName name="adadsgas" hidden="1">{#N/A,#N/A,TRUE,"7d";#N/A,#N/A,TRUE,"7g";#N/A,#N/A,TRUE,"7i"}</definedName>
    <definedName name="ADDINFO" localSheetId="8">#REF!,#REF!,#REF!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 localSheetId="0">'[3]159'!#REF!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#REF!</definedName>
    <definedName name="b" localSheetId="8" hidden="1">{"'RR'!$A$2:$E$81"}</definedName>
    <definedName name="b" localSheetId="0">'[3]159'!#REF!</definedName>
    <definedName name="b" localSheetId="3" hidden="1">{"'RR'!$A$2:$E$81"}</definedName>
    <definedName name="b" localSheetId="9" hidden="1">{"'RR'!$A$2:$E$81"}</definedName>
    <definedName name="b" hidden="1">{"'RR'!$A$2:$E$81"}</definedName>
    <definedName name="BBB" localSheetId="8" hidden="1">{#N/A,#N/A,TRUE,"7d";#N/A,#N/A,TRUE,"7g";#N/A,#N/A,TRUE,"7i"}</definedName>
    <definedName name="BBB" localSheetId="3" hidden="1">{#N/A,#N/A,TRUE,"7d";#N/A,#N/A,TRUE,"7g";#N/A,#N/A,TRUE,"7i"}</definedName>
    <definedName name="BBB" localSheetId="9" hidden="1">{#N/A,#N/A,TRUE,"7d";#N/A,#N/A,TRUE,"7g";#N/A,#N/A,TRUE,"7i"}</definedName>
    <definedName name="BBB" hidden="1">{#N/A,#N/A,TRUE,"7d";#N/A,#N/A,TRUE,"7g";#N/A,#N/A,TRUE,"7i"}</definedName>
    <definedName name="Bbbbbbbbb" localSheetId="8" hidden="1">{#N/A,#N/A,TRUE,"7d";#N/A,#N/A,TRUE,"7g";#N/A,#N/A,TRUE,"7i"}</definedName>
    <definedName name="Bbbbbbbbb" localSheetId="3" hidden="1">{#N/A,#N/A,TRUE,"7d";#N/A,#N/A,TRUE,"7g";#N/A,#N/A,TRUE,"7i"}</definedName>
    <definedName name="Bbbbbbbbb" localSheetId="9" hidden="1">{#N/A,#N/A,TRUE,"7d";#N/A,#N/A,TRUE,"7g";#N/A,#N/A,TRUE,"7i"}</definedName>
    <definedName name="Bbbbbbbbb" hidden="1">{#N/A,#N/A,TRUE,"7d";#N/A,#N/A,TRUE,"7g";#N/A,#N/A,TRUE,"7i"}</definedName>
    <definedName name="BDG" localSheetId="8" hidden="1">{#N/A,#N/A,TRUE,"7d";#N/A,#N/A,TRUE,"7g";#N/A,#N/A,TRUE,"7i"}</definedName>
    <definedName name="BDG" localSheetId="3" hidden="1">{#N/A,#N/A,TRUE,"7d";#N/A,#N/A,TRUE,"7g";#N/A,#N/A,TRUE,"7i"}</definedName>
    <definedName name="BDG" localSheetId="9"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8" hidden="1">{"Title - BER",#N/A,FALSE,"TITLE"}</definedName>
    <definedName name="bu" localSheetId="3" hidden="1">{"Title - BER",#N/A,FALSE,"TITLE"}</definedName>
    <definedName name="bu" localSheetId="9"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#REF!</definedName>
    <definedName name="CENTO">#REF!</definedName>
    <definedName name="CID">#REF!</definedName>
    <definedName name="CIF">'[3]159'!#REF!</definedName>
    <definedName name="CIF_A">'[3]554'!$D$21</definedName>
    <definedName name="CIF_B">'[3]554'!$F$21</definedName>
    <definedName name="CIF_TOTAL">'[3]554'!$J$21</definedName>
    <definedName name="CLASSIFICAÇÃO_DO_INVESTIMENTO">#REF!</definedName>
    <definedName name="CMPF_FOB">'[3]557'!$P$31</definedName>
    <definedName name="CNLS">#REF!</definedName>
    <definedName name="CODE">#REF!</definedName>
    <definedName name="COIMEX">'[3]2318'!$E$35</definedName>
    <definedName name="COLUNASCAIXA">[1]Caixa!$B$21:$L$21</definedName>
    <definedName name="COMITÊ_DIRETORIA">#REF!</definedName>
    <definedName name="COMITÊ_INVESTIMENTOS">#REF!</definedName>
    <definedName name="COMPULSÓRIO">#REF!</definedName>
    <definedName name="CONCIL">#REF!</definedName>
    <definedName name="CONTAINER">'[3]277'!$C$10</definedName>
    <definedName name="CONTROLE_RESULTADOS">#REF!</definedName>
    <definedName name="CORRETAGEM">'[3]2318'!$E$48</definedName>
    <definedName name="count">#REF!</definedName>
    <definedName name="CPMF">'[3]2318'!$E$57</definedName>
    <definedName name="CPMF_TOTAL">'[3]557'!$T$31</definedName>
    <definedName name="CR" localSheetId="8" hidden="1">{"Title - LC",#N/A,FALSE,"TITLE"}</definedName>
    <definedName name="CR" localSheetId="3" hidden="1">{"Title - LC",#N/A,FALSE,"TITLE"}</definedName>
    <definedName name="CR" localSheetId="9" hidden="1">{"Title - LC",#N/A,FALSE,"TITLE"}</definedName>
    <definedName name="CR" hidden="1">{"Title - LC",#N/A,FALSE,"TITLE"}</definedName>
    <definedName name="curr">#REF!</definedName>
    <definedName name="currency">#REF!</definedName>
    <definedName name="CurYear">#REF!</definedName>
    <definedName name="d" localSheetId="8" hidden="1">{"'RR'!$A$2:$E$81"}</definedName>
    <definedName name="d" localSheetId="3" hidden="1">{"'RR'!$A$2:$E$81"}</definedName>
    <definedName name="d" localSheetId="9" hidden="1">{"'RR'!$A$2:$E$81"}</definedName>
    <definedName name="d" hidden="1">{"'RR'!$A$2:$E$81"}</definedName>
    <definedName name="da" localSheetId="8" hidden="1">{"'RR'!$A$2:$E$81"}</definedName>
    <definedName name="da" localSheetId="3" hidden="1">{"'RR'!$A$2:$E$81"}</definedName>
    <definedName name="da" localSheetId="9" hidden="1">{"'RR'!$A$2:$E$81"}</definedName>
    <definedName name="da" hidden="1">{"'RR'!$A$2:$E$81"}</definedName>
    <definedName name="daniel" localSheetId="8" hidden="1">{"'RR'!$A$2:$E$81"}</definedName>
    <definedName name="daniel" localSheetId="3" hidden="1">{"'RR'!$A$2:$E$81"}</definedName>
    <definedName name="daniel" localSheetId="9" hidden="1">{"'RR'!$A$2:$E$81"}</definedName>
    <definedName name="daniel" hidden="1">{"'RR'!$A$2:$E$81"}</definedName>
    <definedName name="data">#REF!</definedName>
    <definedName name="_xlnm.Database">#REF!</definedName>
    <definedName name="Date">#REF!</definedName>
    <definedName name="ddddddd" localSheetId="8" hidden="1">{"'RR'!$A$2:$E$81"}</definedName>
    <definedName name="ddddddd" localSheetId="3" hidden="1">{"'RR'!$A$2:$E$81"}</definedName>
    <definedName name="ddddddd" localSheetId="9"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8" hidden="1">{#N/A,#N/A,TRUE,"Total";#N/A,#N/A,TRUE,"Crop Harvesting";#N/A,#N/A,TRUE,"Hay &amp; Forage";#N/A,#N/A,TRUE,"CROP PRODUCTION";#N/A,#N/A,TRUE,"TRACTOR";#N/A,#N/A,TRUE,"Crawlers &amp; Dozers";#N/A,#N/A,TRUE,"TLB";#N/A,#N/A,TRUE,"Excavators";#N/A,#N/A,TRUE,"Loaders and Graders ";#N/A,#N/A,TRUE,"Skid Steer Loaders"}</definedName>
    <definedName name="delete" localSheetId="3" hidden="1">{#N/A,#N/A,TRUE,"Total";#N/A,#N/A,TRUE,"Crop Harvesting";#N/A,#N/A,TRUE,"Hay &amp; Forage";#N/A,#N/A,TRUE,"CROP PRODUCTION";#N/A,#N/A,TRUE,"TRACTOR";#N/A,#N/A,TRUE,"Crawlers &amp; Dozers";#N/A,#N/A,TRUE,"TLB";#N/A,#N/A,TRUE,"Excavators";#N/A,#N/A,TRUE,"Loaders and Graders ";#N/A,#N/A,TRUE,"Skid Steer Loaders"}</definedName>
    <definedName name="delete" localSheetId="9"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8" hidden="1">{#N/A,#N/A,TRUE,"7d";#N/A,#N/A,TRUE,"7g";#N/A,#N/A,TRUE,"7i"}</definedName>
    <definedName name="Delta" localSheetId="3" hidden="1">{#N/A,#N/A,TRUE,"7d";#N/A,#N/A,TRUE,"7g";#N/A,#N/A,TRUE,"7i"}</definedName>
    <definedName name="Delta" localSheetId="9"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#REF!</definedName>
    <definedName name="DESPORIGEM_USD">'[3]2318'!$F$20</definedName>
    <definedName name="Details">#REF!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8" hidden="1">{"'RR'!$A$2:$E$81"}</definedName>
    <definedName name="dksndas" localSheetId="3" hidden="1">{"'RR'!$A$2:$E$81"}</definedName>
    <definedName name="dksndas" localSheetId="9" hidden="1">{"'RR'!$A$2:$E$81"}</definedName>
    <definedName name="dksndas" hidden="1">{"'RR'!$A$2:$E$81"}</definedName>
    <definedName name="DLN">#REF!</definedName>
    <definedName name="DLO">#REF!</definedName>
    <definedName name="dsadas" localSheetId="8" hidden="1">{#N/A,#N/A,FALSE,"Aging Summary";#N/A,#N/A,FALSE,"Ratio Analysis";#N/A,#N/A,FALSE,"Test 120 Day Accts";#N/A,#N/A,FALSE,"Tickmarks"}</definedName>
    <definedName name="dsadas" localSheetId="0" hidden="1">{#N/A,#N/A,FALSE,"Aging Summary";#N/A,#N/A,FALSE,"Ratio Analysis";#N/A,#N/A,FALSE,"Test 120 Day Accts";#N/A,#N/A,FALSE,"Tickmarks"}</definedName>
    <definedName name="dsadas" localSheetId="3" hidden="1">{#N/A,#N/A,FALSE,"Aging Summary";#N/A,#N/A,FALSE,"Ratio Analysis";#N/A,#N/A,FALSE,"Test 120 Day Accts";#N/A,#N/A,FALSE,"Tickmarks"}</definedName>
    <definedName name="dsadas" localSheetId="9"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8" hidden="1">{"'RR'!$A$2:$E$81"}</definedName>
    <definedName name="dsagdhasdashfdj" localSheetId="3" hidden="1">{"'RR'!$A$2:$E$81"}</definedName>
    <definedName name="dsagdhasdashfdj" localSheetId="9" hidden="1">{"'RR'!$A$2:$E$81"}</definedName>
    <definedName name="dsagdhasdashfdj" hidden="1">{"'RR'!$A$2:$E$81"}</definedName>
    <definedName name="DTA">'[3]557'!$K$31</definedName>
    <definedName name="DTA_RIO">'[3]371'!$E$29</definedName>
    <definedName name="DTAS">'[3]454'!$E$31</definedName>
    <definedName name="EEVOL">#REF!</definedName>
    <definedName name="EFFICIENZA">#REF!</definedName>
    <definedName name="EmpArvN">#REF!</definedName>
    <definedName name="ENCERRAMENTO">#REF!</definedName>
    <definedName name="ENG_CHANGE">#REF!</definedName>
    <definedName name="ENGINECOSTS">#REF!</definedName>
    <definedName name="Estimate_Types">#REF!</definedName>
    <definedName name="Estoque_jan" localSheetId="8" hidden="1">{"'RR'!$A$2:$E$81"}</definedName>
    <definedName name="Estoque_jan" localSheetId="3" hidden="1">{"'RR'!$A$2:$E$81"}</definedName>
    <definedName name="Estoque_jan" localSheetId="9"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#REF!</definedName>
    <definedName name="fcst">#REF!</definedName>
    <definedName name="FCST_1">#REF!</definedName>
    <definedName name="FEB">#REF!</definedName>
    <definedName name="FEBDATA">#REF!</definedName>
    <definedName name="FEC">#REF!</definedName>
    <definedName name="Ferias">#REF!</definedName>
    <definedName name="fhfhf" localSheetId="8" hidden="1">{#N/A,#N/A,TRUE,"7d";#N/A,#N/A,TRUE,"7g";#N/A,#N/A,TRUE,"7i"}</definedName>
    <definedName name="fhfhf" localSheetId="3" hidden="1">{#N/A,#N/A,TRUE,"7d";#N/A,#N/A,TRUE,"7g";#N/A,#N/A,TRUE,"7i"}</definedName>
    <definedName name="fhfhf" localSheetId="9" hidden="1">{#N/A,#N/A,TRUE,"7d";#N/A,#N/A,TRUE,"7g";#N/A,#N/A,TRUE,"7i"}</definedName>
    <definedName name="fhfhf" hidden="1">{#N/A,#N/A,TRUE,"7d";#N/A,#N/A,TRUE,"7g";#N/A,#N/A,TRUE,"7i"}</definedName>
    <definedName name="FILTERCOST">#REF!</definedName>
    <definedName name="FILTERED">#REF!</definedName>
    <definedName name="FITPA">'[3]371'!$E$27</definedName>
    <definedName name="FN">#REF!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#REF!</definedName>
    <definedName name="FRETE">'[3]159'!#REF!</definedName>
    <definedName name="FRETE_A">'[3]159'!#REF!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#REF!</definedName>
    <definedName name="frto">#REF!</definedName>
    <definedName name="FX">#REF!</definedName>
    <definedName name="FXRate">#REF!</definedName>
    <definedName name="GAITP">'[3]454'!$E$28</definedName>
    <definedName name="Generic">#REF!</definedName>
    <definedName name="GESTOR">#REF!</definedName>
    <definedName name="gigi" localSheetId="8" hidden="1">{#N/A,#N/A,TRUE,"7d";#N/A,#N/A,TRUE,"7g";#N/A,#N/A,TRUE,"7i"}</definedName>
    <definedName name="gigi" localSheetId="3" hidden="1">{#N/A,#N/A,TRUE,"7d";#N/A,#N/A,TRUE,"7g";#N/A,#N/A,TRUE,"7i"}</definedName>
    <definedName name="gigi" localSheetId="9" hidden="1">{#N/A,#N/A,TRUE,"7d";#N/A,#N/A,TRUE,"7g";#N/A,#N/A,TRUE,"7i"}</definedName>
    <definedName name="gigi" hidden="1">{#N/A,#N/A,TRUE,"7d";#N/A,#N/A,TRUE,"7g";#N/A,#N/A,TRUE,"7i"}</definedName>
    <definedName name="gigi2" localSheetId="8" hidden="1">{#N/A,#N/A,TRUE,"7d";#N/A,#N/A,TRUE,"7g";#N/A,#N/A,TRUE,"7i"}</definedName>
    <definedName name="gigi2" localSheetId="3" hidden="1">{#N/A,#N/A,TRUE,"7d";#N/A,#N/A,TRUE,"7g";#N/A,#N/A,TRUE,"7i"}</definedName>
    <definedName name="gigi2" localSheetId="9" hidden="1">{#N/A,#N/A,TRUE,"7d";#N/A,#N/A,TRUE,"7g";#N/A,#N/A,TRUE,"7i"}</definedName>
    <definedName name="gigi2" hidden="1">{#N/A,#N/A,TRUE,"7d";#N/A,#N/A,TRUE,"7g";#N/A,#N/A,TRUE,"7i"}</definedName>
    <definedName name="GPE">#REF!</definedName>
    <definedName name="gpl">#REF!</definedName>
    <definedName name="Grupos">#REF!</definedName>
    <definedName name="h" localSheetId="8" hidden="1">{#N/A,#N/A,TRUE,"7d";#N/A,#N/A,TRUE,"7g";#N/A,#N/A,TRUE,"7i"}</definedName>
    <definedName name="h" localSheetId="3" hidden="1">{#N/A,#N/A,TRUE,"7d";#N/A,#N/A,TRUE,"7g";#N/A,#N/A,TRUE,"7i"}</definedName>
    <definedName name="h" localSheetId="9" hidden="1">{#N/A,#N/A,TRUE,"7d";#N/A,#N/A,TRUE,"7g";#N/A,#N/A,TRUE,"7i"}</definedName>
    <definedName name="h" hidden="1">{#N/A,#N/A,TRUE,"7d";#N/A,#N/A,TRUE,"7g";#N/A,#N/A,TRUE,"7i"}</definedName>
    <definedName name="help" localSheetId="8" hidden="1">{#N/A,#N/A,TRUE,"7d";#N/A,#N/A,TRUE,"7g";#N/A,#N/A,TRUE,"7i"}</definedName>
    <definedName name="help" localSheetId="3" hidden="1">{#N/A,#N/A,TRUE,"7d";#N/A,#N/A,TRUE,"7g";#N/A,#N/A,TRUE,"7i"}</definedName>
    <definedName name="help" localSheetId="9" hidden="1">{#N/A,#N/A,TRUE,"7d";#N/A,#N/A,TRUE,"7g";#N/A,#N/A,TRUE,"7i"}</definedName>
    <definedName name="help" hidden="1">{#N/A,#N/A,TRUE,"7d";#N/A,#N/A,TRUE,"7g";#N/A,#N/A,TRUE,"7i"}</definedName>
    <definedName name="help1" localSheetId="8" hidden="1">{#N/A,#N/A,TRUE,"7d";#N/A,#N/A,TRUE,"7g";#N/A,#N/A,TRUE,"7i"}</definedName>
    <definedName name="help1" localSheetId="3" hidden="1">{#N/A,#N/A,TRUE,"7d";#N/A,#N/A,TRUE,"7g";#N/A,#N/A,TRUE,"7i"}</definedName>
    <definedName name="help1" localSheetId="9" hidden="1">{#N/A,#N/A,TRUE,"7d";#N/A,#N/A,TRUE,"7g";#N/A,#N/A,TRUE,"7i"}</definedName>
    <definedName name="help1" hidden="1">{#N/A,#N/A,TRUE,"7d";#N/A,#N/A,TRUE,"7g";#N/A,#N/A,TRUE,"7i"}</definedName>
    <definedName name="help2" localSheetId="8" hidden="1">{#N/A,#N/A,TRUE,"7d";#N/A,#N/A,TRUE,"7g";#N/A,#N/A,TRUE,"7i"}</definedName>
    <definedName name="help2" localSheetId="3" hidden="1">{#N/A,#N/A,TRUE,"7d";#N/A,#N/A,TRUE,"7g";#N/A,#N/A,TRUE,"7i"}</definedName>
    <definedName name="help2" localSheetId="9" hidden="1">{#N/A,#N/A,TRUE,"7d";#N/A,#N/A,TRUE,"7g";#N/A,#N/A,TRUE,"7i"}</definedName>
    <definedName name="help2" hidden="1">{#N/A,#N/A,TRUE,"7d";#N/A,#N/A,TRUE,"7g";#N/A,#N/A,TRUE,"7i"}</definedName>
    <definedName name="HRS.5" localSheetId="8" hidden="1">{#N/A,#N/A,TRUE,"7d";#N/A,#N/A,TRUE,"7g";#N/A,#N/A,TRUE,"7i"}</definedName>
    <definedName name="HRS.5" localSheetId="3" hidden="1">{#N/A,#N/A,TRUE,"7d";#N/A,#N/A,TRUE,"7g";#N/A,#N/A,TRUE,"7i"}</definedName>
    <definedName name="HRS.5" localSheetId="9" hidden="1">{#N/A,#N/A,TRUE,"7d";#N/A,#N/A,TRUE,"7g";#N/A,#N/A,TRUE,"7i"}</definedName>
    <definedName name="HRS.5" hidden="1">{#N/A,#N/A,TRUE,"7d";#N/A,#N/A,TRUE,"7g";#N/A,#N/A,TRUE,"7i"}</definedName>
    <definedName name="HTML_CodePage" hidden="1">1252</definedName>
    <definedName name="HTML_Control" localSheetId="8" hidden="1">{"'RR'!$A$2:$E$81"}</definedName>
    <definedName name="HTML_Control" localSheetId="0" hidden="1">{"'RELATÓRIO'!$A$1:$E$20","'RELATÓRIO'!$A$22:$D$34","'INTERNET'!$A$31:$G$58","'INTERNET'!$A$1:$G$28","'SÉRIE HISTÓRICA'!$A$167:$H$212","'SÉRIE HISTÓRICA'!$A$56:$H$101"}</definedName>
    <definedName name="HTML_Control" localSheetId="3" hidden="1">{"'RR'!$A$2:$E$81"}</definedName>
    <definedName name="HTML_Control" localSheetId="9" hidden="1">{"'RR'!$A$2:$E$81"}</definedName>
    <definedName name="HTML_Control" hidden="1">{"'RR'!$A$2:$E$81"}</definedName>
    <definedName name="HTML_Description" hidden="1">""</definedName>
    <definedName name="HTML_Email" hidden="1">""</definedName>
    <definedName name="HTML_Header" localSheetId="0" hidden="1">""</definedName>
    <definedName name="HTML_Header" hidden="1">"RR"</definedName>
    <definedName name="HTML_LastUpdate" localSheetId="0" hidden="1">""</definedName>
    <definedName name="HTML_LastUpdate" hidden="1">"11/10/99"</definedName>
    <definedName name="HTML_LineAfter" hidden="1">FALSE</definedName>
    <definedName name="HTML_LineBefore" hidden="1">FALSE</definedName>
    <definedName name="HTML_Name" localSheetId="0" hidden="1">""</definedName>
    <definedName name="HTML_Name" hidden="1">"Departamento de Informática"</definedName>
    <definedName name="HTML_OBDlg2" hidden="1">TRUE</definedName>
    <definedName name="HTML_OBDlg4" hidden="1">TRUE</definedName>
    <definedName name="HTML_OS" hidden="1">0</definedName>
    <definedName name="HTML_PathFile" localSheetId="0" hidden="1">"C:\DIVULGAÇÃO INPC IPCA 2001\inpc0501.htm"</definedName>
    <definedName name="HTML_PathFile" hidden="1">"C:\Intranet\Todos os Indicadores\MeuHTML.htm"</definedName>
    <definedName name="HTML_Title" localSheetId="0" hidden="1">""</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localSheetId="0" hidden="1">41013.9089814815</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#REF!</definedName>
    <definedName name="JAN">#REF!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#REF!</definedName>
    <definedName name="LABQTR2">#REF!</definedName>
    <definedName name="LABQTR3">#REF!</definedName>
    <definedName name="LABQTR4">#REF!</definedName>
    <definedName name="lala" localSheetId="8" hidden="1">{"'RR'!$A$2:$E$81"}</definedName>
    <definedName name="lala" localSheetId="3" hidden="1">{"'RR'!$A$2:$E$81"}</definedName>
    <definedName name="lala" localSheetId="9" hidden="1">{"'RR'!$A$2:$E$81"}</definedName>
    <definedName name="lala" hidden="1">{"'RR'!$A$2:$E$81"}</definedName>
    <definedName name="LIBERAÇÃO_BL">'[3]2318'!$E$40</definedName>
    <definedName name="Loaded_Data">#REF!</definedName>
    <definedName name="loc" localSheetId="8" hidden="1">{"Title - LC",#N/A,FALSE,"TITLE"}</definedName>
    <definedName name="loc" localSheetId="3" hidden="1">{"Title - LC",#N/A,FALSE,"TITLE"}</definedName>
    <definedName name="loc" localSheetId="9"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8" hidden="1">{#N/A,#N/A,TRUE,"7d";#N/A,#N/A,TRUE,"7g";#N/A,#N/A,TRUE,"7i"}</definedName>
    <definedName name="mot" localSheetId="3" hidden="1">{#N/A,#N/A,TRUE,"7d";#N/A,#N/A,TRUE,"7g";#N/A,#N/A,TRUE,"7i"}</definedName>
    <definedName name="mot" localSheetId="9"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#REF!</definedName>
    <definedName name="Niveis">#REF!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8">{"'RR'!$A$2:$E$81"}</definedName>
    <definedName name="o" localSheetId="3">{"'RR'!$A$2:$E$81"}</definedName>
    <definedName name="o" localSheetId="9">{"'RR'!$A$2:$E$81"}</definedName>
    <definedName name="o">{"'RR'!$A$2:$E$81"}</definedName>
    <definedName name="OCT">#REF!</definedName>
    <definedName name="OH">#REF!</definedName>
    <definedName name="ooo" localSheetId="8" hidden="1">{#N/A,#N/A,TRUE,"7d";#N/A,#N/A,TRUE,"7g";#N/A,#N/A,TRUE,"7i"}</definedName>
    <definedName name="ooo" localSheetId="3" hidden="1">{#N/A,#N/A,TRUE,"7d";#N/A,#N/A,TRUE,"7g";#N/A,#N/A,TRUE,"7i"}</definedName>
    <definedName name="ooo" localSheetId="9"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#REF!</definedName>
    <definedName name="OUTROS">'[3]557'!$L$31</definedName>
    <definedName name="OUTSOURCE">#REF!</definedName>
    <definedName name="OVH">#REF!</definedName>
    <definedName name="p">#REF!</definedName>
    <definedName name="P.LÍQUIDO">'[3]298'!$D$9</definedName>
    <definedName name="PAFOVHD" localSheetId="8" hidden="1">{#N/A,#N/A,TRUE,"7d";#N/A,#N/A,TRUE,"7g";#N/A,#N/A,TRUE,"7i"}</definedName>
    <definedName name="PAFOVHD" localSheetId="3" hidden="1">{#N/A,#N/A,TRUE,"7d";#N/A,#N/A,TRUE,"7g";#N/A,#N/A,TRUE,"7i"}</definedName>
    <definedName name="PAFOVHD" localSheetId="9"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8" hidden="1">{#N/A,#N/A,TRUE,"7d";#N/A,#N/A,TRUE,"7g";#N/A,#N/A,TRUE,"7i"}</definedName>
    <definedName name="piciu" localSheetId="3" hidden="1">{#N/A,#N/A,TRUE,"7d";#N/A,#N/A,TRUE,"7g";#N/A,#N/A,TRUE,"7i"}</definedName>
    <definedName name="piciu" localSheetId="9" hidden="1">{#N/A,#N/A,TRUE,"7d";#N/A,#N/A,TRUE,"7g";#N/A,#N/A,TRUE,"7i"}</definedName>
    <definedName name="piciu" hidden="1">{#N/A,#N/A,TRUE,"7d";#N/A,#N/A,TRUE,"7g";#N/A,#N/A,TRUE,"7i"}</definedName>
    <definedName name="piciu2" localSheetId="8" hidden="1">{#N/A,#N/A,TRUE,"7d";#N/A,#N/A,TRUE,"7g";#N/A,#N/A,TRUE,"7i"}</definedName>
    <definedName name="piciu2" localSheetId="3" hidden="1">{#N/A,#N/A,TRUE,"7d";#N/A,#N/A,TRUE,"7g";#N/A,#N/A,TRUE,"7i"}</definedName>
    <definedName name="piciu2" localSheetId="9" hidden="1">{#N/A,#N/A,TRUE,"7d";#N/A,#N/A,TRUE,"7g";#N/A,#N/A,TRUE,"7i"}</definedName>
    <definedName name="piciu2" hidden="1">{#N/A,#N/A,TRUE,"7d";#N/A,#N/A,TRUE,"7g";#N/A,#N/A,TRUE,"7i"}</definedName>
    <definedName name="piciu3" localSheetId="8" hidden="1">{#N/A,#N/A,TRUE,"7d";#N/A,#N/A,TRUE,"7g";#N/A,#N/A,TRUE,"7i"}</definedName>
    <definedName name="piciu3" localSheetId="3" hidden="1">{#N/A,#N/A,TRUE,"7d";#N/A,#N/A,TRUE,"7g";#N/A,#N/A,TRUE,"7i"}</definedName>
    <definedName name="piciu3" localSheetId="9" hidden="1">{#N/A,#N/A,TRUE,"7d";#N/A,#N/A,TRUE,"7g";#N/A,#N/A,TRUE,"7i"}</definedName>
    <definedName name="piciu3" hidden="1">{#N/A,#N/A,TRUE,"7d";#N/A,#N/A,TRUE,"7g";#N/A,#N/A,TRUE,"7i"}</definedName>
    <definedName name="piciu4" localSheetId="8" hidden="1">{#N/A,#N/A,TRUE,"7d";#N/A,#N/A,TRUE,"7g";#N/A,#N/A,TRUE,"7i"}</definedName>
    <definedName name="piciu4" localSheetId="3" hidden="1">{#N/A,#N/A,TRUE,"7d";#N/A,#N/A,TRUE,"7g";#N/A,#N/A,TRUE,"7i"}</definedName>
    <definedName name="piciu4" localSheetId="9" hidden="1">{#N/A,#N/A,TRUE,"7d";#N/A,#N/A,TRUE,"7g";#N/A,#N/A,TRUE,"7i"}</definedName>
    <definedName name="piciu4" hidden="1">{#N/A,#N/A,TRUE,"7d";#N/A,#N/A,TRUE,"7g";#N/A,#N/A,TRUE,"7i"}</definedName>
    <definedName name="pino" localSheetId="8" hidden="1">{#N/A,#N/A,TRUE,"7d";#N/A,#N/A,TRUE,"7g";#N/A,#N/A,TRUE,"7i"}</definedName>
    <definedName name="pino" localSheetId="3" hidden="1">{#N/A,#N/A,TRUE,"7d";#N/A,#N/A,TRUE,"7g";#N/A,#N/A,TRUE,"7i"}</definedName>
    <definedName name="pino" localSheetId="9" hidden="1">{#N/A,#N/A,TRUE,"7d";#N/A,#N/A,TRUE,"7g";#N/A,#N/A,TRUE,"7i"}</definedName>
    <definedName name="pino" hidden="1">{#N/A,#N/A,TRUE,"7d";#N/A,#N/A,TRUE,"7g";#N/A,#N/A,TRUE,"7i"}</definedName>
    <definedName name="plant">#REF!</definedName>
    <definedName name="plant1">#REF!</definedName>
    <definedName name="PO">#REF!</definedName>
    <definedName name="ppp" localSheetId="8" hidden="1">{#N/A,#N/A,TRUE,"7d";#N/A,#N/A,TRUE,"7g";#N/A,#N/A,TRUE,"7i"}</definedName>
    <definedName name="ppp" localSheetId="3" hidden="1">{#N/A,#N/A,TRUE,"7d";#N/A,#N/A,TRUE,"7g";#N/A,#N/A,TRUE,"7i"}</definedName>
    <definedName name="ppp" localSheetId="9" hidden="1">{#N/A,#N/A,TRUE,"7d";#N/A,#N/A,TRUE,"7g";#N/A,#N/A,TRUE,"7i"}</definedName>
    <definedName name="ppp" hidden="1">{#N/A,#N/A,TRUE,"7d";#N/A,#N/A,TRUE,"7g";#N/A,#N/A,TRUE,"7i"}</definedName>
    <definedName name="Prev">#REF!</definedName>
    <definedName name="PRICE">#REF!</definedName>
    <definedName name="PRINT_ALL">#REF!</definedName>
    <definedName name="_xlnm.Print_Area" localSheetId="0">Disclaimer!$A$1:$W$6</definedName>
    <definedName name="_xlnm.Print_Area">#REF!</definedName>
    <definedName name="Print_Area_MI">#REF!</definedName>
    <definedName name="Print_Title">#REF!</definedName>
    <definedName name="PRINT_TITLE1">#REF!</definedName>
    <definedName name="_xlnm.Print_Titles">#REF!</definedName>
    <definedName name="Print_Titles_MI" localSheetId="9">#REF!,#REF!</definedName>
    <definedName name="Print_Titles_MI">#REF!,#REF!</definedName>
    <definedName name="PRIORIDADE">#REF!</definedName>
    <definedName name="PRIORIDADE_2008">#REF!</definedName>
    <definedName name="PROCESS">#REF!</definedName>
    <definedName name="Product">#REF!</definedName>
    <definedName name="Productivity">" 'EFf - UTL'!$A$6:$v$71"</definedName>
    <definedName name="PRODUZIONE">#REF!</definedName>
    <definedName name="Programs">#REF!</definedName>
    <definedName name="Projects_Exc" localSheetId="8" hidden="1">{"Title - AER",#N/A,FALSE,"TITLE";"Summary - Actual - AER",#N/A,FALSE,"SUMMARY - ACTUAL"}</definedName>
    <definedName name="Projects_Exc" localSheetId="3" hidden="1">{"Title - AER",#N/A,FALSE,"TITLE";"Summary - Actual - AER",#N/A,FALSE,"SUMMARY - ACTUAL"}</definedName>
    <definedName name="Projects_Exc" localSheetId="9" hidden="1">{"Title - AER",#N/A,FALSE,"TITLE";"Summary - Actual - AER",#N/A,FALSE,"SUMMARY - ACTUAL"}</definedName>
    <definedName name="Projects_Exc" hidden="1">{"Title - AER",#N/A,FALSE,"TITLE";"Summary - Actual - AER",#N/A,FALSE,"SUMMARY - ACTUAL"}</definedName>
    <definedName name="PTAX">'[3]159'!$E$5</definedName>
    <definedName name="Purchase">#REF!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#REF!</definedName>
    <definedName name="rate">#REF!</definedName>
    <definedName name="re" localSheetId="8" hidden="1">{"'RR'!$A$2:$E$81"}</definedName>
    <definedName name="re" localSheetId="3" hidden="1">{"'RR'!$A$2:$E$81"}</definedName>
    <definedName name="re" localSheetId="9" hidden="1">{"'RR'!$A$2:$E$81"}</definedName>
    <definedName name="re" hidden="1">{"'RR'!$A$2:$E$81"}</definedName>
    <definedName name="Receita_fin" localSheetId="8" hidden="1">{"'RR'!$A$2:$E$81"}</definedName>
    <definedName name="Receita_fin" localSheetId="3" hidden="1">{"'RR'!$A$2:$E$81"}</definedName>
    <definedName name="Receita_fin" localSheetId="9" hidden="1">{"'RR'!$A$2:$E$81"}</definedName>
    <definedName name="Receita_fin" hidden="1">{"'RR'!$A$2:$E$81"}</definedName>
    <definedName name="RECEITAS">#REF!</definedName>
    <definedName name="REEDSOL">#REF!</definedName>
    <definedName name="REFERENCIACAIXA">[1]Caixa!$C$21:$C$216</definedName>
    <definedName name="region">#REF!</definedName>
    <definedName name="report" localSheetId="8" hidden="1">{#N/A,#N/A,TRUE,"Total";#N/A,#N/A,TRUE,"Crop Harvesting";#N/A,#N/A,TRUE,"Hay &amp; Forage";#N/A,#N/A,TRUE,"CROP PRODUCTION";#N/A,#N/A,TRUE,"TRACTOR";#N/A,#N/A,TRUE,"Crawlers &amp; Dozers";#N/A,#N/A,TRUE,"TLB";#N/A,#N/A,TRUE,"Excavators";#N/A,#N/A,TRUE,"Loaders and Graders ";#N/A,#N/A,TRUE,"Skid Steer Loaders"}</definedName>
    <definedName name="report" localSheetId="3" hidden="1">{#N/A,#N/A,TRUE,"Total";#N/A,#N/A,TRUE,"Crop Harvesting";#N/A,#N/A,TRUE,"Hay &amp; Forage";#N/A,#N/A,TRUE,"CROP PRODUCTION";#N/A,#N/A,TRUE,"TRACTOR";#N/A,#N/A,TRUE,"Crawlers &amp; Dozers";#N/A,#N/A,TRUE,"TLB";#N/A,#N/A,TRUE,"Excavators";#N/A,#N/A,TRUE,"Loaders and Graders ";#N/A,#N/A,TRUE,"Skid Steer Loaders"}</definedName>
    <definedName name="report" localSheetId="9"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8" hidden="1">{#N/A,#N/A,TRUE,"7d";#N/A,#N/A,TRUE,"7g";#N/A,#N/A,TRUE,"7i"}</definedName>
    <definedName name="sd" localSheetId="3" hidden="1">{#N/A,#N/A,TRUE,"7d";#N/A,#N/A,TRUE,"7g";#N/A,#N/A,TRUE,"7i"}</definedName>
    <definedName name="sd" localSheetId="9" hidden="1">{#N/A,#N/A,TRUE,"7d";#N/A,#N/A,TRUE,"7g";#N/A,#N/A,TRUE,"7i"}</definedName>
    <definedName name="sd" hidden="1">{#N/A,#N/A,TRUE,"7d";#N/A,#N/A,TRUE,"7g";#N/A,#N/A,TRUE,"7i"}</definedName>
    <definedName name="SDA">'[3]2318'!$E$41</definedName>
    <definedName name="SDA_RIO">'[3]371'!$E$35</definedName>
    <definedName name="sdgdfgsd" localSheetId="8" hidden="1">{#N/A,#N/A,TRUE,"7d";#N/A,#N/A,TRUE,"7g";#N/A,#N/A,TRUE,"7i"}</definedName>
    <definedName name="sdgdfgsd" localSheetId="3" hidden="1">{#N/A,#N/A,TRUE,"7d";#N/A,#N/A,TRUE,"7g";#N/A,#N/A,TRUE,"7i"}</definedName>
    <definedName name="sdgdfgsd" localSheetId="9"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#REF!</definedName>
    <definedName name="SEP">#REF!</definedName>
    <definedName name="Shaun">#REF!</definedName>
    <definedName name="SHEET">#REF!</definedName>
    <definedName name="SINAL">#REF!</definedName>
    <definedName name="SLDD">#REF!</definedName>
    <definedName name="slide" localSheetId="8" hidden="1">{#N/A,#N/A,TRUE,"7d";#N/A,#N/A,TRUE,"7g";#N/A,#N/A,TRUE,"7i"}</definedName>
    <definedName name="slide" localSheetId="3" hidden="1">{#N/A,#N/A,TRUE,"7d";#N/A,#N/A,TRUE,"7g";#N/A,#N/A,TRUE,"7i"}</definedName>
    <definedName name="slide" localSheetId="9"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8" hidden="1">{"'RR'!$A$2:$E$81"}</definedName>
    <definedName name="ss" localSheetId="3" hidden="1">{"'RR'!$A$2:$E$81"}</definedName>
    <definedName name="ss" localSheetId="9" hidden="1">{"'RR'!$A$2:$E$81"}</definedName>
    <definedName name="ss" hidden="1">{"'RR'!$A$2:$E$81"}</definedName>
    <definedName name="Standards">#REF!</definedName>
    <definedName name="STD" localSheetId="8" hidden="1">{#N/A,#N/A,TRUE,"7d";#N/A,#N/A,TRUE,"7g";#N/A,#N/A,TRUE,"7i"}</definedName>
    <definedName name="STD" localSheetId="3" hidden="1">{#N/A,#N/A,TRUE,"7d";#N/A,#N/A,TRUE,"7g";#N/A,#N/A,TRUE,"7i"}</definedName>
    <definedName name="STD" localSheetId="9"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#REF!</definedName>
    <definedName name="TabImport">#REF!</definedName>
    <definedName name="table">#REF!</definedName>
    <definedName name="TASK">'[3]454'!$E$30</definedName>
    <definedName name="TAXA_CAMBIO">'[3]2318'!$F$5</definedName>
    <definedName name="TAXA_FRETE">'[3]2318'!$F$4</definedName>
    <definedName name="TAXA_SEGURO_IMPOST">'[3]371'!$E$33</definedName>
    <definedName name="tblCurrency">#REF!</definedName>
    <definedName name="TextRefCopyRangeCount" hidden="1">1</definedName>
    <definedName name="TIPO_DE_PROJETO">#REF!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#REF!</definedName>
    <definedName name="TOTALS">#REF!</definedName>
    <definedName name="TRA">'[3]298'!$E$25</definedName>
    <definedName name="TRACTORCOSTS">#REF!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#REF!</definedName>
    <definedName name="u">'[3]159'!#REF!</definedName>
    <definedName name="units">#REF!</definedName>
    <definedName name="Untitled">#REF!</definedName>
    <definedName name="US">#REF!</definedName>
    <definedName name="US__FISC.">'[3]554'!$J$2</definedName>
    <definedName name="US__PTAX">'[3]554'!$J$3</definedName>
    <definedName name="Usage">#REF!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#REF!</definedName>
    <definedName name="Viana_Fit_Out2" localSheetId="8" hidden="1">{"Assump1",#N/A,TRUE,"Assumptions";"Assump2",#N/A,TRUE,"Assumptions"}</definedName>
    <definedName name="Viana_Fit_Out2" localSheetId="0" hidden="1">{"Assump1",#N/A,TRUE,"Assumptions";"Assump2",#N/A,TRUE,"Assumptions"}</definedName>
    <definedName name="Viana_Fit_Out2" localSheetId="3" hidden="1">{"Assump1",#N/A,TRUE,"Assumptions";"Assump2",#N/A,TRUE,"Assumptions"}</definedName>
    <definedName name="Viana_Fit_Out2" localSheetId="9" hidden="1">{"Assump1",#N/A,TRUE,"Assumptions";"Assump2",#N/A,TRUE,"Assumptions"}</definedName>
    <definedName name="Viana_Fit_Out2" hidden="1">{"Assump1",#N/A,TRUE,"Assumptions";"Assump2",#N/A,TRUE,"Assumptions"}</definedName>
    <definedName name="VN">#REF!</definedName>
    <definedName name="VO">#REF!</definedName>
    <definedName name="w" localSheetId="8" hidden="1">{"'RR'!$A$2:$E$81"}</definedName>
    <definedName name="w" localSheetId="3" hidden="1">{"'RR'!$A$2:$E$81"}</definedName>
    <definedName name="w" localSheetId="9" hidden="1">{"'RR'!$A$2:$E$81"}</definedName>
    <definedName name="w" hidden="1">{"'RR'!$A$2:$E$81"}</definedName>
    <definedName name="wrn.Actual." localSheetId="8" hidden="1">{"Title - AER",#N/A,FALSE,"TITLE";"Summary - Actual - AER",#N/A,FALSE,"SUMMARY - ACTUAL"}</definedName>
    <definedName name="wrn.Actual." localSheetId="3" hidden="1">{"Title - AER",#N/A,FALSE,"TITLE";"Summary - Actual - AER",#N/A,FALSE,"SUMMARY - ACTUAL"}</definedName>
    <definedName name="wrn.Actual." localSheetId="9" hidden="1">{"Title - AER",#N/A,FALSE,"TITLE";"Summary - Actual - AER",#N/A,FALSE,"SUMMARY - ACTUAL"}</definedName>
    <definedName name="wrn.Actual." hidden="1">{"Title - AER",#N/A,FALSE,"TITLE";"Summary - Actual - AER",#N/A,FALSE,"SUMMARY - ACTUAL"}</definedName>
    <definedName name="wrn.Aging._.and._.Trend._.Analysis." localSheetId="8"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8" hidden="1">{"Assump1",#N/A,TRUE,"Assumptions";"Assump2",#N/A,TRUE,"Assumptions"}</definedName>
    <definedName name="wrn.Assumptions." localSheetId="0" hidden="1">{"Assump1",#N/A,TRUE,"Assumptions";"Assump2",#N/A,TRUE,"Assumptions"}</definedName>
    <definedName name="wrn.Assumptions." localSheetId="3" hidden="1">{"Assump1",#N/A,TRUE,"Assumptions";"Assump2",#N/A,TRUE,"Assumptions"}</definedName>
    <definedName name="wrn.Assumptions." localSheetId="9" hidden="1">{"Assump1",#N/A,TRUE,"Assumptions";"Assump2",#N/A,TRUE,"Assumptions"}</definedName>
    <definedName name="wrn.Assumptions." hidden="1">{"Assump1",#N/A,TRUE,"Assumptions";"Assump2",#N/A,TRUE,"Assumptions"}</definedName>
    <definedName name="wrn.Budget." localSheetId="8" hidden="1">{"Title - BER",#N/A,FALSE,"TITLE"}</definedName>
    <definedName name="wrn.Budget." localSheetId="3" hidden="1">{"Title - BER",#N/A,FALSE,"TITLE"}</definedName>
    <definedName name="wrn.Budget." localSheetId="9" hidden="1">{"Title - BER",#N/A,FALSE,"TITLE"}</definedName>
    <definedName name="wrn.Budget." hidden="1">{"Title - BER",#N/A,FALSE,"TITLE"}</definedName>
    <definedName name="wrn.cuadros." localSheetId="8"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0"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9"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8" hidden="1">{"Title - LC",#N/A,FALSE,"TITLE"}</definedName>
    <definedName name="wrn.Local." localSheetId="3" hidden="1">{"Title - LC",#N/A,FALSE,"TITLE"}</definedName>
    <definedName name="wrn.Local." localSheetId="9" hidden="1">{"Title - LC",#N/A,FALSE,"TITLE"}</definedName>
    <definedName name="wrn.Local." hidden="1">{"Title - LC",#N/A,FALSE,"TITLE"}</definedName>
    <definedName name="wrn.LOURES." localSheetId="8" hidden="1">{"LOURES1",#N/A,TRUE,"Sheet1";"LOURES2",#N/A,TRUE,"Sheet1"}</definedName>
    <definedName name="wrn.LOURES." localSheetId="0" hidden="1">{"LOURES1",#N/A,TRUE,"Sheet1";"LOURES2",#N/A,TRUE,"Sheet1"}</definedName>
    <definedName name="wrn.LOURES." localSheetId="3" hidden="1">{"LOURES1",#N/A,TRUE,"Sheet1";"LOURES2",#N/A,TRUE,"Sheet1"}</definedName>
    <definedName name="wrn.LOURES." localSheetId="9" hidden="1">{"LOURES1",#N/A,TRUE,"Sheet1";"LOURES2",#N/A,TRUE,"Sheet1"}</definedName>
    <definedName name="wrn.LOURES." hidden="1">{"LOURES1",#N/A,TRUE,"Sheet1";"LOURES2",#N/A,TRUE,"Sheet1"}</definedName>
    <definedName name="wrn.MAT." localSheetId="8" hidden="1">{#N/A,#N/A,TRUE,"7d";#N/A,#N/A,TRUE,"7g";#N/A,#N/A,TRUE,"7i"}</definedName>
    <definedName name="wrn.MAT." localSheetId="3" hidden="1">{#N/A,#N/A,TRUE,"7d";#N/A,#N/A,TRUE,"7g";#N/A,#N/A,TRUE,"7i"}</definedName>
    <definedName name="wrn.MAT." localSheetId="9" hidden="1">{#N/A,#N/A,TRUE,"7d";#N/A,#N/A,TRUE,"7g";#N/A,#N/A,TRUE,"7i"}</definedName>
    <definedName name="wrn.MAT." hidden="1">{#N/A,#N/A,TRUE,"7d";#N/A,#N/A,TRUE,"7g";#N/A,#N/A,TRUE,"7i"}</definedName>
    <definedName name="wrn.PO._.CAPACITY." localSheetId="8"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9"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8"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9"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8" hidden="1">{#N/A,#N/A,FALSE,"CALENDAR";#N/A,#N/A,FALSE,"PAY-ROLL";#N/A,#N/A,FALSE,"VOLUMI ";#N/A,#N/A,FALSE,"MFG 1A";#N/A,#N/A,FALSE,"MFG 1B";#N/A,#N/A,FALSE,"MFG 4";#N/A,#N/A,FALSE,"MFG 4-C";#N/A,#N/A,FALSE,"MFG 3 ";#N/A,#N/A,FALSE,"MFG 6";#N/A,#N/A,FALSE,"MFG 6-A";#N/A,#N/A,FALSE,"MAIN EVENTS"}</definedName>
    <definedName name="wrn.PO._.CAPACITY._.SMATTEO." localSheetId="3" hidden="1">{#N/A,#N/A,FALSE,"CALENDAR";#N/A,#N/A,FALSE,"PAY-ROLL";#N/A,#N/A,FALSE,"VOLUMI ";#N/A,#N/A,FALSE,"MFG 1A";#N/A,#N/A,FALSE,"MFG 1B";#N/A,#N/A,FALSE,"MFG 4";#N/A,#N/A,FALSE,"MFG 4-C";#N/A,#N/A,FALSE,"MFG 3 ";#N/A,#N/A,FALSE,"MFG 6";#N/A,#N/A,FALSE,"MFG 6-A";#N/A,#N/A,FALSE,"MAIN EVENTS"}</definedName>
    <definedName name="wrn.PO._.CAPACITY._.SMATTEO." localSheetId="9"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8" hidden="1">{#N/A,#N/A,FALSE,"CALENDAR";#N/A,#N/A,FALSE,"PAY-ROLL";#N/A,#N/A,FALSE,"VOLUMI";#N/A,#N/A,FALSE,"FABBISOGNO";#N/A,#N/A,FALSE,"CAPACITY"}</definedName>
    <definedName name="wrn.PO._.CAPACITY1." localSheetId="3" hidden="1">{#N/A,#N/A,FALSE,"CALENDAR";#N/A,#N/A,FALSE,"PAY-ROLL";#N/A,#N/A,FALSE,"VOLUMI";#N/A,#N/A,FALSE,"FABBISOGNO";#N/A,#N/A,FALSE,"CAPACITY"}</definedName>
    <definedName name="wrn.PO._.CAPACITY1." localSheetId="9"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8" hidden="1">{#N/A,#N/A,FALSE,"MFG 3 ";#N/A,#N/A,FALSE,"RID TEMPI";#N/A,#N/A,FALSE,"MFG 4";#N/A,#N/A,FALSE,"MFG 4-C";#N/A,#N/A,FALSE,"MFG 6";#N/A,#N/A,FALSE,"MFG 6-A";#N/A,#N/A,FALSE,"MFG 1A";#N/A,#N/A,FALSE,"MFG 1B";#N/A,#N/A,FALSE,"MAIN EVENTS";#N/A,#N/A,FALSE,"CONFRONTO"}</definedName>
    <definedName name="wrn.PO._.CAPACITY2." localSheetId="3" hidden="1">{#N/A,#N/A,FALSE,"MFG 3 ";#N/A,#N/A,FALSE,"RID TEMPI";#N/A,#N/A,FALSE,"MFG 4";#N/A,#N/A,FALSE,"MFG 4-C";#N/A,#N/A,FALSE,"MFG 6";#N/A,#N/A,FALSE,"MFG 6-A";#N/A,#N/A,FALSE,"MFG 1A";#N/A,#N/A,FALSE,"MFG 1B";#N/A,#N/A,FALSE,"MAIN EVENTS";#N/A,#N/A,FALSE,"CONFRONTO"}</definedName>
    <definedName name="wrn.PO._.CAPACITY2." localSheetId="9"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8" hidden="1">{#N/A,#N/A,TRUE,"Total";#N/A,#N/A,TRUE,"Crop Harvesting";#N/A,#N/A,TRUE,"Hay &amp; Forage";#N/A,#N/A,TRUE,"CROP PRODUCTION";#N/A,#N/A,TRUE,"TRACTOR";#N/A,#N/A,TRUE,"Crawlers &amp; Dozers";#N/A,#N/A,TRUE,"TLB";#N/A,#N/A,TRUE,"Excavators";#N/A,#N/A,TRUE,"Loaders and Graders ";#N/A,#N/A,TRUE,"Skid Steer Loaders"}</definedName>
    <definedName name="wrn.report." localSheetId="3" hidden="1">{#N/A,#N/A,TRUE,"Total";#N/A,#N/A,TRUE,"Crop Harvesting";#N/A,#N/A,TRUE,"Hay &amp; Forage";#N/A,#N/A,TRUE,"CROP PRODUCTION";#N/A,#N/A,TRUE,"TRACTOR";#N/A,#N/A,TRUE,"Crawlers &amp; Dozers";#N/A,#N/A,TRUE,"TLB";#N/A,#N/A,TRUE,"Excavators";#N/A,#N/A,TRUE,"Loaders and Graders ";#N/A,#N/A,TRUE,"Skid Steer Loaders"}</definedName>
    <definedName name="wrn.report." localSheetId="9"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8" hidden="1">{#N/A,#N/A,TRUE,"7d";#N/A,#N/A,TRUE,"7g";#N/A,#N/A,TRUE,"7i"}</definedName>
    <definedName name="z" localSheetId="3" hidden="1">{#N/A,#N/A,TRUE,"7d";#N/A,#N/A,TRUE,"7g";#N/A,#N/A,TRUE,"7i"}</definedName>
    <definedName name="z" localSheetId="9" hidden="1">{#N/A,#N/A,TRUE,"7d";#N/A,#N/A,TRUE,"7g";#N/A,#N/A,TRUE,"7i"}</definedName>
    <definedName name="z" hidden="1">{#N/A,#N/A,TRUE,"7d";#N/A,#N/A,TRUE,"7g";#N/A,#N/A,TRUE,"7i"}</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29" l="1"/>
  <c r="K23" i="29"/>
  <c r="J23" i="29"/>
  <c r="I23" i="29"/>
  <c r="H23" i="29"/>
  <c r="G23" i="29"/>
  <c r="F23" i="29"/>
  <c r="E23" i="29"/>
  <c r="D23" i="29"/>
  <c r="L22" i="29"/>
  <c r="K22" i="29"/>
  <c r="J22" i="29"/>
  <c r="I22" i="29"/>
  <c r="H22" i="29"/>
  <c r="G22" i="29"/>
  <c r="F22" i="29"/>
  <c r="E22" i="29"/>
  <c r="D22" i="29"/>
  <c r="L9" i="29" l="1"/>
  <c r="K9" i="29"/>
  <c r="J9" i="29"/>
  <c r="I9" i="29"/>
  <c r="H9" i="29"/>
  <c r="G9" i="29"/>
  <c r="F9" i="29"/>
  <c r="E9" i="29"/>
  <c r="D9" i="29"/>
  <c r="C9" i="29"/>
  <c r="G20" i="29" l="1"/>
  <c r="G18" i="29"/>
  <c r="G19" i="29"/>
  <c r="H20" i="29"/>
  <c r="H18" i="29"/>
  <c r="H19" i="29"/>
  <c r="C19" i="29"/>
  <c r="C20" i="29"/>
  <c r="C18" i="29"/>
  <c r="D20" i="29"/>
  <c r="D19" i="29"/>
  <c r="D18" i="29"/>
  <c r="E19" i="29"/>
  <c r="E20" i="29"/>
  <c r="E18" i="29"/>
  <c r="I18" i="29"/>
  <c r="I20" i="29"/>
  <c r="I19" i="29"/>
  <c r="J20" i="29"/>
  <c r="J19" i="29"/>
  <c r="J18" i="29"/>
  <c r="K20" i="29"/>
  <c r="K18" i="29"/>
  <c r="K19" i="29"/>
  <c r="L18" i="29"/>
  <c r="L19" i="29"/>
  <c r="L20" i="29"/>
  <c r="F20" i="29"/>
  <c r="F18" i="29"/>
  <c r="F19" i="29"/>
  <c r="E138" i="30"/>
  <c r="E137" i="30" s="1"/>
  <c r="E136" i="30" s="1"/>
  <c r="D138" i="30" l="1"/>
  <c r="D137" i="30" s="1"/>
  <c r="D136" i="30" s="1"/>
  <c r="G119" i="30" l="1"/>
  <c r="G118" i="30" s="1"/>
  <c r="F119" i="30"/>
  <c r="F118" i="30" s="1"/>
  <c r="G101" i="30"/>
  <c r="G100" i="30" s="1"/>
  <c r="G99" i="30" s="1"/>
  <c r="F101" i="30"/>
  <c r="F100" i="30" s="1"/>
  <c r="F99" i="30" s="1"/>
  <c r="G97" i="30"/>
  <c r="G96" i="30" s="1"/>
  <c r="F97" i="30"/>
  <c r="F96" i="30" s="1"/>
  <c r="G84" i="30"/>
  <c r="G83" i="30" s="1"/>
  <c r="F84" i="30"/>
  <c r="F83" i="30" s="1"/>
  <c r="G81" i="30"/>
  <c r="G80" i="30" s="1"/>
  <c r="F81" i="30"/>
  <c r="F80" i="30" s="1"/>
  <c r="G78" i="30"/>
  <c r="F78" i="30"/>
  <c r="G76" i="30"/>
  <c r="G75" i="30" s="1"/>
  <c r="F76" i="30"/>
  <c r="F75" i="30" s="1"/>
  <c r="G73" i="30"/>
  <c r="G72" i="30" s="1"/>
  <c r="F73" i="30"/>
  <c r="F72" i="30" s="1"/>
  <c r="G66" i="30"/>
  <c r="F66" i="30"/>
  <c r="G61" i="30"/>
  <c r="F61" i="30"/>
  <c r="G57" i="30"/>
  <c r="G56" i="30" s="1"/>
  <c r="F57" i="30"/>
  <c r="F56" i="30" s="1"/>
  <c r="G53" i="30"/>
  <c r="F53" i="30"/>
  <c r="G39" i="30"/>
  <c r="G38" i="30" s="1"/>
  <c r="F39" i="30"/>
  <c r="F38" i="30" s="1"/>
  <c r="G33" i="30"/>
  <c r="F33" i="30"/>
  <c r="G28" i="30"/>
  <c r="F28" i="30"/>
  <c r="G19" i="30"/>
  <c r="G18" i="30" s="1"/>
  <c r="F19" i="30"/>
  <c r="F18" i="30"/>
  <c r="G14" i="30"/>
  <c r="G9" i="30" s="1"/>
  <c r="F14" i="30"/>
  <c r="F9" i="30" s="1"/>
  <c r="G10" i="30"/>
  <c r="F10" i="30"/>
  <c r="D36" i="16"/>
  <c r="F37" i="30" l="1"/>
  <c r="G8" i="30"/>
  <c r="G71" i="30"/>
  <c r="F8" i="30"/>
  <c r="G37" i="30"/>
  <c r="F71" i="30"/>
  <c r="H72" i="16"/>
  <c r="H84" i="16" s="1"/>
  <c r="F10" i="17"/>
  <c r="F20" i="17" s="1"/>
  <c r="F13" i="17"/>
  <c r="D26" i="2"/>
  <c r="E26" i="2"/>
  <c r="F26" i="2"/>
  <c r="G26" i="2"/>
  <c r="H26" i="2"/>
  <c r="I26" i="2"/>
  <c r="C12" i="16" l="1"/>
  <c r="C15" i="16" s="1"/>
  <c r="C18" i="16" s="1"/>
  <c r="C44" i="2"/>
  <c r="C43" i="2"/>
  <c r="C42" i="2"/>
  <c r="C30" i="2"/>
  <c r="C29" i="2"/>
  <c r="C28" i="2"/>
  <c r="C26" i="2" l="1"/>
  <c r="C14" i="2"/>
  <c r="C13" i="2"/>
  <c r="D56" i="29" l="1"/>
  <c r="H49" i="29"/>
  <c r="G49" i="29"/>
  <c r="F49" i="29"/>
  <c r="E49" i="29"/>
  <c r="H36" i="29"/>
  <c r="G36" i="29"/>
  <c r="F36" i="29"/>
  <c r="H42" i="29"/>
  <c r="G42" i="29"/>
  <c r="F42" i="29"/>
  <c r="E36" i="29"/>
  <c r="E42" i="29"/>
  <c r="D42" i="29"/>
  <c r="D36" i="29"/>
  <c r="D49" i="29"/>
  <c r="E56" i="29" l="1"/>
  <c r="F56" i="29" s="1"/>
  <c r="C9" i="25"/>
  <c r="C50" i="26" l="1"/>
  <c r="C52" i="26" s="1"/>
  <c r="C27" i="26"/>
  <c r="C13" i="26"/>
  <c r="C7" i="26"/>
  <c r="C24" i="26" l="1"/>
  <c r="C40" i="2"/>
  <c r="C14" i="25" l="1"/>
  <c r="C18" i="25" s="1"/>
  <c r="C36" i="2"/>
  <c r="C20" i="25" l="1"/>
  <c r="C12" i="2" l="1"/>
  <c r="C24" i="2" s="1"/>
  <c r="C31" i="2" s="1"/>
  <c r="C17" i="2" l="1"/>
  <c r="C34" i="2" s="1"/>
  <c r="C45" i="2" s="1"/>
  <c r="C21" i="2" l="1"/>
  <c r="G23" i="28"/>
  <c r="F23" i="28"/>
  <c r="D23" i="28"/>
  <c r="C23" i="28"/>
  <c r="I13" i="26"/>
  <c r="H13" i="26"/>
  <c r="G13" i="26"/>
  <c r="F13" i="26"/>
  <c r="E13" i="26"/>
  <c r="D13" i="26"/>
  <c r="E9" i="25"/>
  <c r="I13" i="17"/>
  <c r="I20" i="17" s="1"/>
  <c r="H13" i="17"/>
  <c r="G13" i="17"/>
  <c r="E13" i="17"/>
  <c r="D13" i="17"/>
  <c r="I10" i="17"/>
  <c r="H10" i="17"/>
  <c r="G10" i="17"/>
  <c r="E10" i="17"/>
  <c r="D10" i="17"/>
  <c r="D20" i="17" s="1"/>
  <c r="E20" i="17" l="1"/>
  <c r="G20" i="17"/>
  <c r="H20" i="17"/>
  <c r="C46" i="2"/>
  <c r="C34" i="26" l="1"/>
  <c r="C41" i="26" s="1"/>
  <c r="C54" i="26" s="1"/>
  <c r="C36" i="16" l="1"/>
  <c r="E35" i="16" l="1"/>
  <c r="E34" i="16"/>
  <c r="E33" i="16"/>
  <c r="E32" i="16"/>
  <c r="E31" i="16"/>
  <c r="E30" i="16"/>
  <c r="E29" i="16"/>
  <c r="E28" i="16"/>
  <c r="E27" i="16"/>
  <c r="E26" i="16"/>
  <c r="E25" i="16"/>
  <c r="E24" i="16"/>
  <c r="E36" i="16" l="1"/>
  <c r="I9" i="25"/>
  <c r="I14" i="25" s="1"/>
  <c r="D9" i="25"/>
  <c r="D14" i="25" s="1"/>
  <c r="D18" i="25" l="1"/>
  <c r="D20" i="25" s="1"/>
  <c r="I18" i="25"/>
  <c r="I20" i="25" s="1"/>
  <c r="H9" i="25"/>
  <c r="H14" i="25" s="1"/>
  <c r="G9" i="25"/>
  <c r="G14" i="25" s="1"/>
  <c r="F9" i="25"/>
  <c r="F14" i="25" s="1"/>
  <c r="E11" i="25"/>
  <c r="E14" i="25" s="1"/>
  <c r="D27" i="26"/>
  <c r="D7" i="26"/>
  <c r="D24" i="26" s="1"/>
  <c r="F18" i="25" l="1"/>
  <c r="F20" i="25" s="1"/>
  <c r="H18" i="25"/>
  <c r="H20" i="25" s="1"/>
  <c r="G18" i="25"/>
  <c r="G20" i="25" s="1"/>
  <c r="E18" i="25"/>
  <c r="E20" i="25" s="1"/>
  <c r="I7" i="26"/>
  <c r="I24" i="26" s="1"/>
  <c r="H7" i="26"/>
  <c r="H24" i="26" s="1"/>
  <c r="G7" i="26"/>
  <c r="G24" i="26" s="1"/>
  <c r="F7" i="26"/>
  <c r="F24" i="26" s="1"/>
  <c r="E7" i="26"/>
  <c r="E24" i="26" s="1"/>
  <c r="D12" i="2"/>
  <c r="D14" i="2"/>
  <c r="D13" i="2"/>
  <c r="I14" i="2"/>
  <c r="I13" i="2"/>
  <c r="H13" i="2"/>
  <c r="H14" i="2"/>
  <c r="G14" i="2"/>
  <c r="G13" i="2"/>
  <c r="F14" i="2"/>
  <c r="F13" i="2"/>
  <c r="E13" i="2" l="1"/>
  <c r="E14" i="2"/>
  <c r="I50" i="26" l="1"/>
  <c r="I34" i="26"/>
  <c r="D50" i="26"/>
  <c r="D34" i="26"/>
  <c r="I27" i="26" l="1"/>
  <c r="I41" i="26" s="1"/>
  <c r="H50" i="26"/>
  <c r="G50" i="26"/>
  <c r="F50" i="26"/>
  <c r="E50" i="26"/>
  <c r="E34" i="26"/>
  <c r="D52" i="26"/>
  <c r="D41" i="26" l="1"/>
  <c r="D54" i="26" s="1"/>
  <c r="H34" i="26"/>
  <c r="G34" i="26"/>
  <c r="F34" i="26"/>
  <c r="H27" i="26"/>
  <c r="G27" i="26"/>
  <c r="F27" i="26"/>
  <c r="E27" i="26"/>
  <c r="E41" i="26" s="1"/>
  <c r="G41" i="26" l="1"/>
  <c r="H41" i="26"/>
  <c r="F41" i="26"/>
  <c r="I52" i="26"/>
  <c r="H52" i="26"/>
  <c r="G52" i="26"/>
  <c r="F52" i="26"/>
  <c r="E52" i="26"/>
  <c r="E54" i="26" s="1"/>
  <c r="G54" i="26" l="1"/>
  <c r="F54" i="26"/>
  <c r="H54" i="26"/>
  <c r="I54" i="26"/>
  <c r="D40" i="2" l="1"/>
  <c r="D12" i="16" l="1"/>
  <c r="D24" i="2" l="1"/>
  <c r="D31" i="2" s="1"/>
  <c r="D17" i="2" l="1"/>
  <c r="D21" i="2" s="1"/>
  <c r="D15" i="16" l="1"/>
  <c r="D18" i="16" s="1"/>
  <c r="E12" i="16"/>
  <c r="D34" i="2" l="1"/>
  <c r="D45" i="2" s="1"/>
  <c r="D46" i="2" l="1"/>
  <c r="H12" i="16" l="1"/>
  <c r="H15" i="16" s="1"/>
  <c r="G12" i="16"/>
  <c r="G15" i="16" s="1"/>
  <c r="F12" i="16"/>
  <c r="F15" i="16" s="1"/>
  <c r="F18" i="16" s="1"/>
  <c r="E15" i="16"/>
  <c r="E18" i="16" s="1"/>
  <c r="I40" i="2" l="1"/>
  <c r="H40" i="2"/>
  <c r="G40" i="2"/>
  <c r="F40" i="2"/>
  <c r="E40" i="2" l="1"/>
  <c r="E12" i="2" l="1"/>
  <c r="E17" i="2" s="1"/>
  <c r="G12" i="2" l="1"/>
  <c r="G17" i="2" l="1"/>
  <c r="G21" i="2" s="1"/>
  <c r="E24" i="2" l="1"/>
  <c r="E31" i="2" s="1"/>
  <c r="F12" i="2"/>
  <c r="F17" i="2" s="1"/>
  <c r="F21" i="2" s="1"/>
  <c r="F34" i="2" l="1"/>
  <c r="F45" i="2" s="1"/>
  <c r="E34" i="2" l="1"/>
  <c r="E21" i="2"/>
  <c r="E45" i="2" l="1"/>
  <c r="E46" i="2" s="1"/>
  <c r="I9" i="2"/>
  <c r="H9" i="2"/>
  <c r="B26" i="13" l="1"/>
  <c r="B11" i="13"/>
  <c r="B25" i="13" s="1"/>
  <c r="B9" i="13"/>
  <c r="B24" i="13" s="1"/>
  <c r="B8" i="13" l="1"/>
  <c r="B14" i="13" l="1"/>
  <c r="B17" i="13" s="1"/>
  <c r="B20" i="13" s="1"/>
  <c r="B23" i="13"/>
  <c r="B27" i="13" s="1"/>
  <c r="B32" i="13" s="1"/>
  <c r="B31" i="13"/>
  <c r="C26" i="13" l="1"/>
  <c r="C11" i="13"/>
  <c r="C25" i="13" s="1"/>
  <c r="C9" i="13"/>
  <c r="C24" i="13" s="1"/>
  <c r="C8" i="13"/>
  <c r="C31" i="13" s="1"/>
  <c r="C23" i="13" l="1"/>
  <c r="C27" i="13" s="1"/>
  <c r="C32" i="13" s="1"/>
  <c r="C14" i="13"/>
  <c r="C17" i="13" s="1"/>
  <c r="C20" i="13" s="1"/>
  <c r="I12" i="2" l="1"/>
  <c r="H12" i="2"/>
  <c r="F24" i="2" l="1"/>
  <c r="F31" i="2" s="1"/>
  <c r="G34" i="2"/>
  <c r="G45" i="2" s="1"/>
  <c r="G24" i="2"/>
  <c r="G31" i="2" s="1"/>
  <c r="H17" i="2"/>
  <c r="H34" i="2" s="1"/>
  <c r="H45" i="2" s="1"/>
  <c r="H24" i="2"/>
  <c r="H31" i="2" s="1"/>
  <c r="I17" i="2"/>
  <c r="I34" i="2" s="1"/>
  <c r="I45" i="2" s="1"/>
  <c r="I24" i="2"/>
  <c r="I31" i="2" s="1"/>
  <c r="I46" i="2" l="1"/>
  <c r="G46" i="2"/>
  <c r="H46" i="2"/>
  <c r="H21" i="2"/>
  <c r="I21" i="2"/>
  <c r="F46" i="2"/>
</calcChain>
</file>

<file path=xl/sharedStrings.xml><?xml version="1.0" encoding="utf-8"?>
<sst xmlns="http://schemas.openxmlformats.org/spreadsheetml/2006/main" count="1165" uniqueCount="704">
  <si>
    <t>The Material prepared by Omega Energia SA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t>
  </si>
  <si>
    <t>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t>
  </si>
  <si>
    <t>#</t>
  </si>
  <si>
    <t>Complex</t>
  </si>
  <si>
    <t>Assets</t>
  </si>
  <si>
    <t>Source</t>
  </si>
  <si>
    <t>Installed
Capacity
(MW)</t>
  </si>
  <si>
    <t>Share (%)</t>
  </si>
  <si>
    <t>P50¹
(MWavg)</t>
  </si>
  <si>
    <t>Assured
Energy
(MWavg)</t>
  </si>
  <si>
    <t>Delta Complex</t>
  </si>
  <si>
    <t>Delta Piauí and Maranhão</t>
  </si>
  <si>
    <t>Wind</t>
  </si>
  <si>
    <t>Bahia Complex</t>
  </si>
  <si>
    <t>50% - 100%</t>
  </si>
  <si>
    <t>SE/CO Complex</t>
  </si>
  <si>
    <t>Pipoca, Serra das Agulhas, Indaiás
Gargaú and Pirapora</t>
  </si>
  <si>
    <t>Wind, Solar and Hydro</t>
  </si>
  <si>
    <t>Chuí Complex</t>
  </si>
  <si>
    <t>Santa Vitória do Palmar and Hermenegildo</t>
  </si>
  <si>
    <t>Energy Platform</t>
  </si>
  <si>
    <t>-</t>
  </si>
  <si>
    <t>Total</t>
  </si>
  <si>
    <t xml:space="preserve">¹ Net of wake effects impact from all expansions and balanced by operational data. </t>
  </si>
  <si>
    <r>
      <t xml:space="preserve">Assuruá 5
</t>
    </r>
    <r>
      <rPr>
        <sz val="9"/>
        <color rgb="FFFFFFFF"/>
        <rFont val="Calibri"/>
        <family val="2"/>
        <scheme val="minor"/>
      </rPr>
      <t>(Building)</t>
    </r>
  </si>
  <si>
    <t>Wind Pipeline</t>
  </si>
  <si>
    <t>Solar Pipeline</t>
  </si>
  <si>
    <t>Potential Capacity¹</t>
  </si>
  <si>
    <t>211.5 MW</t>
  </si>
  <si>
    <t>243.6 MW</t>
  </si>
  <si>
    <t>265.5 MW</t>
  </si>
  <si>
    <t>Up to 
617.6 MW</t>
  </si>
  <si>
    <t>Up to 
1,192 MW</t>
  </si>
  <si>
    <t>Up to 
4,250 MW</t>
  </si>
  <si>
    <t>Up to 
7,046 MW</t>
  </si>
  <si>
    <t>52.8%</t>
  </si>
  <si>
    <t>50% - 60%</t>
  </si>
  <si>
    <t>30% - 33%</t>
  </si>
  <si>
    <t>Construction Start</t>
  </si>
  <si>
    <t>June 2021</t>
  </si>
  <si>
    <t>March 2022</t>
  </si>
  <si>
    <t>Full COD</t>
  </si>
  <si>
    <t>3Q23</t>
  </si>
  <si>
    <t>Land</t>
  </si>
  <si>
    <t>100%
Contracted</t>
  </si>
  <si>
    <t>Environmental License</t>
  </si>
  <si>
    <t>Installation License</t>
  </si>
  <si>
    <t>N.A.</t>
  </si>
  <si>
    <t>Installation
&amp; Preliminary</t>
  </si>
  <si>
    <t>Grant</t>
  </si>
  <si>
    <t>100%
Issued</t>
  </si>
  <si>
    <t>100% 
Protocol</t>
  </si>
  <si>
    <t>100%
Protocol</t>
  </si>
  <si>
    <t>Issued &amp; 
Protocol</t>
  </si>
  <si>
    <t>TUST/TUSD Discount</t>
  </si>
  <si>
    <t>100% Eligible</t>
  </si>
  <si>
    <t>Connection</t>
  </si>
  <si>
    <t>Access Permit</t>
  </si>
  <si>
    <t>R$ 1.175 billion -
R$ 1.25 billion</t>
  </si>
  <si>
    <t>R$ 1.35 billion - 
R$ 1.415 billion</t>
  </si>
  <si>
    <t>Debt</t>
  </si>
  <si>
    <t>55% - 60% 
Tax Equity + 
Back-loan</t>
  </si>
  <si>
    <t>R$ 170 million - 
R$ 190 million</t>
  </si>
  <si>
    <t>R$ 175 million - 
R$ 195 million</t>
  </si>
  <si>
    <t>100% stake for all assets.</t>
  </si>
  <si>
    <t>¹ May vary due to layout changes. AC capacity.</t>
  </si>
  <si>
    <r>
      <t>PPA Distribution</t>
    </r>
    <r>
      <rPr>
        <b/>
        <sz val="9"/>
        <color theme="0"/>
        <rFont val="Calibri"/>
        <family val="2"/>
      </rPr>
      <t>¹</t>
    </r>
    <r>
      <rPr>
        <b/>
        <sz val="9"/>
        <color theme="0"/>
        <rFont val="Calibri"/>
        <family val="2"/>
        <scheme val="minor"/>
      </rPr>
      <t xml:space="preserve"> (MWm)</t>
    </r>
  </si>
  <si>
    <t>Regulated PPAs ("ACR")</t>
  </si>
  <si>
    <t>Bilateral PPAs ("ACL")</t>
  </si>
  <si>
    <t>Uncontracted</t>
  </si>
  <si>
    <t>Regulated Price</t>
  </si>
  <si>
    <t>Asset</t>
  </si>
  <si>
    <t>PPA</t>
  </si>
  <si>
    <t>Assured Energy¹
(MWavg)</t>
  </si>
  <si>
    <t>Volume
(MWm)</t>
  </si>
  <si>
    <t>Price²
(R$/MWh)</t>
  </si>
  <si>
    <t>Begin³</t>
  </si>
  <si>
    <t>End³</t>
  </si>
  <si>
    <t>Delta 1</t>
  </si>
  <si>
    <t>Regulated</t>
  </si>
  <si>
    <t>Delta 2</t>
  </si>
  <si>
    <t>Delta 3</t>
  </si>
  <si>
    <t>Delta 5 and 6</t>
  </si>
  <si>
    <t>Delta 7 and 8</t>
  </si>
  <si>
    <t>Free-Market</t>
  </si>
  <si>
    <t>Assuruá</t>
  </si>
  <si>
    <t>Ventos da Bahia 1 and 2</t>
  </si>
  <si>
    <t>Gargaú</t>
  </si>
  <si>
    <t>Pirapora</t>
  </si>
  <si>
    <t>Pipoca</t>
  </si>
  <si>
    <t>Portfolio</t>
  </si>
  <si>
    <t>Energy Production</t>
  </si>
  <si>
    <t>Production (GWh)</t>
  </si>
  <si>
    <t>Ventos da Bahia¹</t>
  </si>
  <si>
    <t>Pipoca²</t>
  </si>
  <si>
    <t>Serra das Agulhas</t>
  </si>
  <si>
    <t>Indaiás</t>
  </si>
  <si>
    <t>Pirapora¹</t>
  </si>
  <si>
    <t xml:space="preserve">Chuí </t>
  </si>
  <si>
    <t>² Considers 100% of Pipoca.</t>
  </si>
  <si>
    <t>Consolidated</t>
  </si>
  <si>
    <t>Item (R$ mm)</t>
  </si>
  <si>
    <t>2019</t>
  </si>
  <si>
    <t>2018</t>
  </si>
  <si>
    <t>2017</t>
  </si>
  <si>
    <t>2016</t>
  </si>
  <si>
    <t>(+) Net Revenues</t>
  </si>
  <si>
    <t xml:space="preserve">(-) Energy Purchase </t>
  </si>
  <si>
    <t>Energy Gross Profit</t>
  </si>
  <si>
    <t>(-) Operating and maintenance costs and purchases</t>
  </si>
  <si>
    <t>(-) Administrative, personnel and general expenses</t>
  </si>
  <si>
    <t>(+/-) Other operating income (expenses)</t>
  </si>
  <si>
    <t>(+) Equity pickup</t>
  </si>
  <si>
    <t>EBITDA</t>
  </si>
  <si>
    <t>(-) Depreciation and amortization</t>
  </si>
  <si>
    <t>(-) Net financial result</t>
  </si>
  <si>
    <t>(-) Income and social contribution taxes</t>
  </si>
  <si>
    <t>Net income (loss) for the period</t>
  </si>
  <si>
    <t>Energy gross profit from the Energy Platform (proportional to 51%)</t>
  </si>
  <si>
    <t>Energy gross profit from  Pirapora (proportional to 50%)</t>
  </si>
  <si>
    <t>Energy gross profit from Pipoca (proportional to 51%)</t>
  </si>
  <si>
    <t>Recovarable taxes</t>
  </si>
  <si>
    <t>Equity pickup</t>
  </si>
  <si>
    <t>Long term incentives</t>
  </si>
  <si>
    <t>Non-recurring revenues and expenses</t>
  </si>
  <si>
    <t>EBITDA from the Energy Platform (proportional to 51%)</t>
  </si>
  <si>
    <t>EBITDA from Pirapora (proportional to 50%)</t>
  </si>
  <si>
    <t>EBITDA from Pipoca (proportional 51%)</t>
  </si>
  <si>
    <t>DRE Hidrelétrica Pipoca</t>
  </si>
  <si>
    <t>Fonte: DFs 2017 Hidrelétrica Pipoca, disponível no backup</t>
  </si>
  <si>
    <t>DRE</t>
  </si>
  <si>
    <t>Receita operacional líquida</t>
  </si>
  <si>
    <t>Compra de energia</t>
  </si>
  <si>
    <t>Lucro bruto comercialização</t>
  </si>
  <si>
    <t>Demais custos de operação</t>
  </si>
  <si>
    <t>Depreciação Usinas</t>
  </si>
  <si>
    <t>Administrativas, pessoal e gerais</t>
  </si>
  <si>
    <t>Depreciação ADM</t>
  </si>
  <si>
    <t>Outras receitas (despesas) operacionais</t>
  </si>
  <si>
    <t>Resultado operacionacional</t>
  </si>
  <si>
    <t>Receitas financeiras</t>
  </si>
  <si>
    <t>Despesas financeiras</t>
  </si>
  <si>
    <t>Resultado antes do IR/CS</t>
  </si>
  <si>
    <t>IRPJ e CSLL</t>
  </si>
  <si>
    <t>Lucro líquido</t>
  </si>
  <si>
    <t>Cálculo do EBITDA</t>
  </si>
  <si>
    <t>Custos da operação, conservação e compras</t>
  </si>
  <si>
    <t>EBTIDA</t>
  </si>
  <si>
    <t>Percentual de participação</t>
  </si>
  <si>
    <t>Lucro bruto proporcional à participação</t>
  </si>
  <si>
    <t>EBITDA proporcional à participação</t>
  </si>
  <si>
    <t>Net Debt (in R$ million)</t>
  </si>
  <si>
    <t>Transaction costs</t>
  </si>
  <si>
    <t>Gross Debt</t>
  </si>
  <si>
    <t>Cash and cash equivalents</t>
  </si>
  <si>
    <t>Restricted cash</t>
  </si>
  <si>
    <t>Net Debt</t>
  </si>
  <si>
    <t>Net Debt from Joint Ventures¹</t>
  </si>
  <si>
    <t>Minority Interest in Chuí</t>
  </si>
  <si>
    <t>Adjusted Net Debt</t>
  </si>
  <si>
    <t>Year</t>
  </si>
  <si>
    <t>Consolidated 
Amortization</t>
  </si>
  <si>
    <t>Amortization
from JVs</t>
  </si>
  <si>
    <t>Adjusted 
Amortization (Total)</t>
  </si>
  <si>
    <t>2034 +</t>
  </si>
  <si>
    <t>Financial Institution</t>
  </si>
  <si>
    <t>Maturity</t>
  </si>
  <si>
    <t>Payment</t>
  </si>
  <si>
    <t>Debt cost (p.a.)</t>
  </si>
  <si>
    <t>CCB</t>
  </si>
  <si>
    <t>BNDES</t>
  </si>
  <si>
    <t>BNB</t>
  </si>
  <si>
    <t>Delta 6</t>
  </si>
  <si>
    <t>Delta 7</t>
  </si>
  <si>
    <t>Delta 8</t>
  </si>
  <si>
    <t>Omega Geração</t>
  </si>
  <si>
    <t>Assuruá 1</t>
  </si>
  <si>
    <t>Assuruá 2</t>
  </si>
  <si>
    <t>Assuruá 3</t>
  </si>
  <si>
    <t>Assuruá 4</t>
  </si>
  <si>
    <t>Omega Desenvolvimento</t>
  </si>
  <si>
    <t>Omega US</t>
  </si>
  <si>
    <t>Offshore Loan</t>
  </si>
  <si>
    <t>Ventos da Bahia 1</t>
  </si>
  <si>
    <t>Ventos da Bahia 2</t>
  </si>
  <si>
    <t>Adjusted Gross Debt</t>
  </si>
  <si>
    <r>
      <rPr>
        <vertAlign val="superscript"/>
        <sz val="9"/>
        <color rgb="FF26395F"/>
        <rFont val="Calibri"/>
        <family val="2"/>
        <scheme val="minor"/>
      </rPr>
      <t>1</t>
    </r>
    <r>
      <rPr>
        <sz val="9"/>
        <color rgb="FF26395F"/>
        <rFont val="Calibri"/>
        <family val="2"/>
        <scheme val="minor"/>
      </rPr>
      <t xml:space="preserve"> In million reais. Does not consider transaction costs. Considers the pro-rata stake of unconsolidated investments.  </t>
    </r>
  </si>
  <si>
    <t xml:space="preserve">² Santa Vitória do Palmar debentures merged into Omega Geração. </t>
  </si>
  <si>
    <t/>
  </si>
  <si>
    <t>Share</t>
  </si>
  <si>
    <t>Indaiá Grande</t>
  </si>
  <si>
    <t>Indaiazinho</t>
  </si>
  <si>
    <t>Assuruá 1 e 2</t>
  </si>
  <si>
    <t>Chuí</t>
  </si>
  <si>
    <t>SHP</t>
  </si>
  <si>
    <t>Solar</t>
  </si>
  <si>
    <t>Ventos da Bahia</t>
  </si>
  <si>
    <t>Consolidated (R$mm)</t>
  </si>
  <si>
    <t>2021¹</t>
  </si>
  <si>
    <t>Net Operating Revenue</t>
  </si>
  <si>
    <t>Operating and Maintenance Costs and Purchases</t>
  </si>
  <si>
    <t>Gross Profit</t>
  </si>
  <si>
    <t>Operating Income (expenses)</t>
  </si>
  <si>
    <t xml:space="preserve">Administrative, Personnel and General Expenses </t>
  </si>
  <si>
    <t>Other Operating Income (Expenses)</t>
  </si>
  <si>
    <t>Equity Pickup</t>
  </si>
  <si>
    <t>Total Operating Income</t>
  </si>
  <si>
    <t xml:space="preserve">Finance Income </t>
  </si>
  <si>
    <t>Finance Costs</t>
  </si>
  <si>
    <t>Profit Before Income and social Contribution Taxes</t>
  </si>
  <si>
    <t>Income and Social Contribution Taxes</t>
  </si>
  <si>
    <t>Assets (R$ mm)</t>
  </si>
  <si>
    <t>Current Assets</t>
  </si>
  <si>
    <t>Cash and Cash Equivalents</t>
  </si>
  <si>
    <t>Trade accounts receivable</t>
  </si>
  <si>
    <t>Dividends a receivables</t>
  </si>
  <si>
    <t>Financial Instruments</t>
  </si>
  <si>
    <t>Other Receivables</t>
  </si>
  <si>
    <t>Non-Current Assets</t>
  </si>
  <si>
    <t>Restricted Cash</t>
  </si>
  <si>
    <t>Deferred Taxes</t>
  </si>
  <si>
    <t>Recoverable Taxes</t>
  </si>
  <si>
    <t>Investments</t>
  </si>
  <si>
    <t>Property, Plant and Equipment</t>
  </si>
  <si>
    <t>Intangible Assets</t>
  </si>
  <si>
    <t>Total Assets</t>
  </si>
  <si>
    <t>Liabilities and Equity (R$ mm)</t>
  </si>
  <si>
    <t>Current Liabilities</t>
  </si>
  <si>
    <t>Trade Accounts Payable</t>
  </si>
  <si>
    <t>Loans, Financing and Debentures</t>
  </si>
  <si>
    <t>Labor and Tax Obligations</t>
  </si>
  <si>
    <t>Lease Liabilities</t>
  </si>
  <si>
    <t>Other Liabilities</t>
  </si>
  <si>
    <t>Noncurrent Liabilities</t>
  </si>
  <si>
    <t>Total Liabilities</t>
  </si>
  <si>
    <t>Shareholders Equity</t>
  </si>
  <si>
    <t>Capital</t>
  </si>
  <si>
    <t>Funding Costs</t>
  </si>
  <si>
    <t>Capital Reserve</t>
  </si>
  <si>
    <t>Income Reserve</t>
  </si>
  <si>
    <t>Equity Adjustment</t>
  </si>
  <si>
    <t>Retained Earnings (Accumulated Losses)</t>
  </si>
  <si>
    <t>Equity Attributable to Controlling Shareholders Equity</t>
  </si>
  <si>
    <t>Noncontrolling Interests</t>
  </si>
  <si>
    <t>Total Shareholders Equity</t>
  </si>
  <si>
    <t>Total Liabilities and Shareholders Equity</t>
  </si>
  <si>
    <t>~72.5% 
BNB +
Complementary 
Leverage</t>
  </si>
  <si>
    <t>~67.5% 
FDNE +
Complementary 
Leverage</t>
  </si>
  <si>
    <r>
      <t xml:space="preserve">Goodnight 2 
</t>
    </r>
    <r>
      <rPr>
        <sz val="9"/>
        <color rgb="FFFFFFFF"/>
        <rFont val="Calibri"/>
        <family val="2"/>
        <scheme val="minor"/>
      </rPr>
      <t>(Short-term Pipeline)</t>
    </r>
  </si>
  <si>
    <t>Average Price²</t>
  </si>
  <si>
    <t>PPA Distribution¹ (%)</t>
  </si>
  <si>
    <t>¹ Result equivalent to 1 month of Omega Energia + 11 months Omega Geração.</t>
  </si>
  <si>
    <t>R$</t>
  </si>
  <si>
    <t>MWh</t>
  </si>
  <si>
    <t>(-) Deduction from sales</t>
  </si>
  <si>
    <t>Regulated Sales</t>
  </si>
  <si>
    <t>Bilateral Sales</t>
  </si>
  <si>
    <t>CCEE accounting</t>
  </si>
  <si>
    <t>MTM trading sales</t>
  </si>
  <si>
    <t>Sales to related parties</t>
  </si>
  <si>
    <t>Taxes</t>
  </si>
  <si>
    <t>Net Income</t>
  </si>
  <si>
    <t>Accompanying Notes - Net Operating Revenue (in thousand reais)</t>
  </si>
  <si>
    <t>573.8</t>
  </si>
  <si>
    <t>271.1³</t>
  </si>
  <si>
    <t>61.4%</t>
  </si>
  <si>
    <t>54.6%</t>
  </si>
  <si>
    <r>
      <t xml:space="preserve">Goodnight 1
</t>
    </r>
    <r>
      <rPr>
        <sz val="9"/>
        <color rgb="FFFFFFFF"/>
        <rFont val="Calibri"/>
        <family val="2"/>
        <scheme val="minor"/>
      </rPr>
      <t>(Building)</t>
    </r>
  </si>
  <si>
    <t>37.8%</t>
  </si>
  <si>
    <t>September 2022</t>
  </si>
  <si>
    <t>4Q23</t>
  </si>
  <si>
    <t>Load Factor (%)</t>
  </si>
  <si>
    <t>Delta 5 e 6</t>
  </si>
  <si>
    <t>Delta 7 e 8</t>
  </si>
  <si>
    <r>
      <t>US$ 20 million - 
US$ 25 million</t>
    </r>
    <r>
      <rPr>
        <sz val="9"/>
        <color rgb="FF26395F"/>
        <rFont val="Calibri"/>
        <family val="2"/>
      </rPr>
      <t>⁵</t>
    </r>
  </si>
  <si>
    <t xml:space="preserve">  Regulated Sales</t>
  </si>
  <si>
    <t xml:space="preserve">  Proinfa sales</t>
  </si>
  <si>
    <t xml:space="preserve">  Adjustment - CCEAR</t>
  </si>
  <si>
    <t xml:space="preserve">  Energy Auctions Reserve (LER)</t>
  </si>
  <si>
    <t>Carbon Credit Sales</t>
  </si>
  <si>
    <t>³ Considers 50% of Pirapora and 100% of Pipoca.</t>
  </si>
  <si>
    <t>Omega's Share²</t>
  </si>
  <si>
    <t>Total CAPEX
Estimate²</t>
  </si>
  <si>
    <t>CAPEX Deployed²</t>
  </si>
  <si>
    <t>⁵ Does not consider tax-equity in Goodnight 1 EBITDA.</t>
  </si>
  <si>
    <t>Non-controlling interest (Minority Interest in Chuí)¹</t>
  </si>
  <si>
    <t>Adjusted Energy Gross Profit²</t>
  </si>
  <si>
    <t>Adjusted EBITDA²</t>
  </si>
  <si>
    <t>¹ As of November, 2021 Omega started consolidating 100% of Santa Vitória do Palmar and Hermenegildo.</t>
  </si>
  <si>
    <t xml:space="preserve">² Considers the pro-rata stake of unconsolidated assets. For the period of January to November 2021, Omega Geração held 51% of the Energy Platform, but once the business combination was concluded, Omega Energia started consolidating 100% of this operation. </t>
  </si>
  <si>
    <t>(+) Tax Credit from Energy Purchase</t>
  </si>
  <si>
    <t>¹ Does not consider the net debt of Pipoca in 2017 and Pirapora and Pipoca and 2018.</t>
  </si>
  <si>
    <t>Exchange Rate</t>
  </si>
  <si>
    <t>n.a.</t>
  </si>
  <si>
    <t>-1,2 to 3,1</t>
  </si>
  <si>
    <t>EBITDA 2023
(R$ mm)</t>
  </si>
  <si>
    <r>
      <t>Goodnight Complex</t>
    </r>
    <r>
      <rPr>
        <b/>
        <sz val="9"/>
        <color rgb="FF26395F"/>
        <rFont val="Calibri"/>
        <family val="2"/>
      </rPr>
      <t>⁴</t>
    </r>
  </si>
  <si>
    <t>350 to 450</t>
  </si>
  <si>
    <t>580 to 660</t>
  </si>
  <si>
    <t>230 to 250</t>
  </si>
  <si>
    <t>200 to 220</t>
  </si>
  <si>
    <t>40 to 120</t>
  </si>
  <si>
    <t>1,370 to 1,630</t>
  </si>
  <si>
    <r>
      <t xml:space="preserve">Assuruá 4
</t>
    </r>
    <r>
      <rPr>
        <sz val="9"/>
        <color rgb="FFFFFFFF"/>
        <rFont val="Calibri"/>
        <family val="2"/>
        <scheme val="minor"/>
      </rPr>
      <t>(Now Full COD)</t>
    </r>
  </si>
  <si>
    <t>February, 2023</t>
  </si>
  <si>
    <t>Operational License</t>
  </si>
  <si>
    <t>R$ 1.061 billion</t>
  </si>
  <si>
    <t>R$ 699 million</t>
  </si>
  <si>
    <t>Signed Agreement (SGIA)</t>
  </si>
  <si>
    <t>US$ 99 million</t>
  </si>
  <si>
    <t>Preliminary</t>
  </si>
  <si>
    <t>² As of Q4 2022.</t>
  </si>
  <si>
    <t>³ First full year of the asset. In nominal terms.</t>
  </si>
  <si>
    <t>Full Year EBITDA
Expectation³</t>
  </si>
  <si>
    <r>
      <t>US$ 295 million - 
US$ 300 million</t>
    </r>
    <r>
      <rPr>
        <sz val="9"/>
        <color rgb="FF26395F"/>
        <rFont val="Calibri"/>
        <family val="2"/>
      </rPr>
      <t>⁴</t>
    </r>
  </si>
  <si>
    <t>⁴ From a total investment of US$ 410 to 430 million.</t>
  </si>
  <si>
    <t>Assuruá 1, 2 and 3</t>
  </si>
  <si>
    <t>Assuruá 5</t>
  </si>
  <si>
    <t>Ventos da Bahia 3</t>
  </si>
  <si>
    <r>
      <t xml:space="preserve">Regulated
</t>
    </r>
    <r>
      <rPr>
        <sz val="8"/>
        <color rgb="FF26395F"/>
        <rFont val="Calibri"/>
        <family val="2"/>
        <scheme val="minor"/>
      </rPr>
      <t>(A-3/2011)</t>
    </r>
  </si>
  <si>
    <r>
      <t xml:space="preserve">Regulated
</t>
    </r>
    <r>
      <rPr>
        <sz val="8"/>
        <color rgb="FF26395F"/>
        <rFont val="Calibri"/>
        <family val="2"/>
        <scheme val="minor"/>
      </rPr>
      <t>(A-5/2013 and A-3/2015)</t>
    </r>
  </si>
  <si>
    <r>
      <t xml:space="preserve">Regulated
</t>
    </r>
    <r>
      <rPr>
        <sz val="8"/>
        <color rgb="FF26395F"/>
        <rFont val="Calibri"/>
        <family val="2"/>
        <scheme val="minor"/>
      </rPr>
      <t>(A-3/2015 and LER 2015)</t>
    </r>
  </si>
  <si>
    <r>
      <t xml:space="preserve">Regulated
</t>
    </r>
    <r>
      <rPr>
        <sz val="8"/>
        <color rgb="FF26395F"/>
        <rFont val="Calibri"/>
        <family val="2"/>
        <scheme val="minor"/>
      </rPr>
      <t>(A-6/2017)</t>
    </r>
  </si>
  <si>
    <t>Free-Market/APE</t>
  </si>
  <si>
    <r>
      <t xml:space="preserve">Regulated
</t>
    </r>
    <r>
      <rPr>
        <sz val="8"/>
        <color rgb="FF26395F"/>
        <rFont val="Calibri"/>
        <family val="2"/>
        <scheme val="minor"/>
      </rPr>
      <t>(A-5/2013 and LER 2015)</t>
    </r>
  </si>
  <si>
    <r>
      <t xml:space="preserve">Regulated
</t>
    </r>
    <r>
      <rPr>
        <sz val="8"/>
        <color rgb="FF26395F"/>
        <rFont val="Calibri"/>
        <family val="2"/>
        <scheme val="minor"/>
      </rPr>
      <t>(A-6/2018)</t>
    </r>
  </si>
  <si>
    <r>
      <t xml:space="preserve">Regulated
</t>
    </r>
    <r>
      <rPr>
        <sz val="8"/>
        <color rgb="FF26395F"/>
        <rFont val="Calibri"/>
        <family val="2"/>
        <scheme val="minor"/>
      </rPr>
      <t>(A-5/2013 and A-5/2016)</t>
    </r>
  </si>
  <si>
    <r>
      <t xml:space="preserve">Regulated
</t>
    </r>
    <r>
      <rPr>
        <sz val="8"/>
        <color rgb="FF26395F"/>
        <rFont val="Calibri"/>
        <family val="2"/>
        <scheme val="minor"/>
      </rPr>
      <t>(Proinfa)</t>
    </r>
  </si>
  <si>
    <r>
      <t xml:space="preserve">Regulated
</t>
    </r>
    <r>
      <rPr>
        <sz val="8"/>
        <color rgb="FF26395F"/>
        <rFont val="Calibri"/>
        <family val="2"/>
        <scheme val="minor"/>
      </rPr>
      <t>(LER 2014 and LER 2015)</t>
    </r>
  </si>
  <si>
    <t>Energy Portfolio by Asset  (12/31/2022)</t>
  </si>
  <si>
    <t>² PPA prices for December/22 prices, adjusted for inflation annually (IPCA or IGPM, depending on contract).</t>
  </si>
  <si>
    <t xml:space="preserve">³ For regulated contracts, considers the shortest start date for Begin and longest end date for End. </t>
  </si>
  <si>
    <t>BR Assured Energy (MWavg)</t>
  </si>
  <si>
    <t>Contract - Put Structure</t>
  </si>
  <si>
    <t>Merchant - US</t>
  </si>
  <si>
    <t>Bilateral Price³</t>
  </si>
  <si>
    <t>¹ Considers BR portfolio grid and internal losses. Considers the certified P90 of Assuruá 4 and Assuruá 5 as assured energy, according to the assets ramp-up.</t>
  </si>
  <si>
    <t>² Bilateral contracts includes traditional PPAs and self-production arrangements already closed (Delta 7 and 8 and Assuruá 4).</t>
  </si>
  <si>
    <t>³ Average bilateral and regulated PPAs prices for December/22 prices, adjusted by inflation annually (IPCA or IGPM, depending on contract). Considers the pro-rata stake of unconsolidated assets (Pipoca, Pirapora and Ventos da Bahia 1, 2 and 3). Considers the PPAs of Assuruá 4 and Assuruá 5, according to the assets ramp-up.</t>
  </si>
  <si>
    <t>Energy Portfolio (12/31/2022)</t>
  </si>
  <si>
    <t>EBITDA from Ventos da Bahia 1, 2 and 3 (proportional 50%)</t>
  </si>
  <si>
    <t>Energy gross profit from Ventos da Bahia 1, 2 and 3³ (proportional to 50%)</t>
  </si>
  <si>
    <r>
      <t>Adjusted EBITDA Margin</t>
    </r>
    <r>
      <rPr>
        <b/>
        <sz val="9"/>
        <color rgb="FFFFFFFF"/>
        <rFont val="Calibri"/>
        <family val="2"/>
      </rPr>
      <t>⁴</t>
    </r>
  </si>
  <si>
    <t>⁴ Adjusted EBITDA/Adjusted Energy Gross Profit</t>
  </si>
  <si>
    <t>³  Considers the pro-rata stake of Pirapora and Ventos da Bahia 1 and 2 in 4Q22 and the pro-rata participation of Ventos da Bahia 3 in December. 2022.</t>
  </si>
  <si>
    <t>Brazil: Loans, financing and debentures</t>
  </si>
  <si>
    <t>US: Offshore Loan</t>
  </si>
  <si>
    <t>TJLP + 2,15%</t>
  </si>
  <si>
    <t>IPCA + 5,77%</t>
  </si>
  <si>
    <t>TJLP + 3,18%</t>
  </si>
  <si>
    <t>IPCA + 4,22%</t>
  </si>
  <si>
    <t>IPCA + 1,77%</t>
  </si>
  <si>
    <t>TJLP + 2,72%</t>
  </si>
  <si>
    <t>TJLP + 2,50%</t>
  </si>
  <si>
    <t>IPCA + 3,87%</t>
  </si>
  <si>
    <t>TJLP + 2,48%</t>
  </si>
  <si>
    <t>CDI + 1,20%</t>
  </si>
  <si>
    <t>IPCA + 1,36%</t>
  </si>
  <si>
    <t>EBITDA from Joint Ventures²</t>
  </si>
  <si>
    <t>Energy Gross Profit from Joint Ventures</t>
  </si>
  <si>
    <t>CDI + 2,90%</t>
  </si>
  <si>
    <t>TJLP + 2,18%</t>
  </si>
  <si>
    <t>TJLP + 2,02%</t>
  </si>
  <si>
    <t>TJLP + 2,27%</t>
  </si>
  <si>
    <t>IPCA + 7,38%</t>
  </si>
  <si>
    <t>TJLP + 2,32%</t>
  </si>
  <si>
    <t>IPCA + 7,11%</t>
  </si>
  <si>
    <t>IPCA + 1,75% </t>
  </si>
  <si>
    <t>IPCA + 2,19%</t>
  </si>
  <si>
    <t>CDI + 1,30%</t>
  </si>
  <si>
    <t>IPCA + 5,60%</t>
  </si>
  <si>
    <t>IPCA + 5,00%</t>
  </si>
  <si>
    <t>IPCA + 4,37%</t>
  </si>
  <si>
    <t>CDI + 1,99%</t>
  </si>
  <si>
    <t>IPCA + 8,50%</t>
  </si>
  <si>
    <t>TJLP + 2,92%</t>
  </si>
  <si>
    <t>IPCA + 7,81%</t>
  </si>
  <si>
    <t>IPCA + 2,75%</t>
  </si>
  <si>
    <t>IPCA + 6,66%</t>
  </si>
  <si>
    <t>IPCA + 2,33%</t>
  </si>
  <si>
    <t>CDI + 2,76%</t>
  </si>
  <si>
    <t>IPCA + 2,04%</t>
  </si>
  <si>
    <t>FDNE</t>
  </si>
  <si>
    <t>IPCA + 2,30%</t>
  </si>
  <si>
    <t>CDI + 1,80%</t>
  </si>
  <si>
    <t>USD + 5,65%</t>
  </si>
  <si>
    <t>USD + 6,15%</t>
  </si>
  <si>
    <t>2022¹</t>
  </si>
  <si>
    <t>Indebtedness Breakdown (in R$ million) - 12/31/2022</t>
  </si>
  <si>
    <t>Sigla Ativo</t>
  </si>
  <si>
    <t>Código do Ativo</t>
  </si>
  <si>
    <t>CEG do Empreendimento</t>
  </si>
  <si>
    <t>Nome Empresarial</t>
  </si>
  <si>
    <t>Capacidade Instalada (MW)</t>
  </si>
  <si>
    <t>Garantia Física (MWm)</t>
  </si>
  <si>
    <t>Delta PI</t>
  </si>
  <si>
    <t>PORTO DAS BARCAS</t>
  </si>
  <si>
    <t>EOL.CV.PI.030827-7.01</t>
  </si>
  <si>
    <t>DELTA 1 I ENERGIA S.A.</t>
  </si>
  <si>
    <t>DELTA DO PARNAIBA</t>
  </si>
  <si>
    <t>EOL.CV.PI.030838-2.01</t>
  </si>
  <si>
    <t>DELTA 1 II ENERGIA S.A.</t>
  </si>
  <si>
    <t>PORTO SALGADO</t>
  </si>
  <si>
    <t>EOL.CV.PI.030830-7.01</t>
  </si>
  <si>
    <t>DELTA 1 III ENERGIA S.A.</t>
  </si>
  <si>
    <t>Assuruás</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</si>
  <si>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</si>
  <si>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</si>
  <si>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</si>
  <si>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</si>
  <si>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</si>
  <si>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</si>
  <si>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</si>
  <si>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</si>
  <si>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</si>
  <si>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</si>
  <si>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</si>
  <si>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</si>
  <si>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</si>
  <si>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</si>
  <si>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</si>
  <si>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</si>
  <si>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</si>
  <si>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</si>
  <si>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</si>
  <si>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</si>
  <si>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</si>
  <si>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</si>
  <si>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</si>
  <si>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</si>
  <si>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</si>
  <si>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</si>
  <si>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</si>
  <si>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</si>
  <si>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r>
      <rPr>
        <sz val="9"/>
        <color rgb="FF26395F"/>
        <rFont val="Calibri"/>
        <family val="2"/>
      </rPr>
      <t xml:space="preserve">¹ </t>
    </r>
    <r>
      <rPr>
        <sz val="9"/>
        <color rgb="FF26395F"/>
        <rFont val="Calibri"/>
        <family val="2"/>
        <scheme val="minor"/>
      </rPr>
      <t>Considers Omega's 50% stake of Pirapora and Ventos da Bahia 1, 2 and 3.</t>
    </r>
  </si>
  <si>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</si>
  <si>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</si>
  <si>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</si>
  <si>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</si>
  <si>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</si>
  <si>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</si>
  <si>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</si>
  <si>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</si>
  <si>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</si>
  <si>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</si>
  <si>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</si>
  <si>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</si>
  <si>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</si>
  <si>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</si>
  <si>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</si>
  <si>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</si>
  <si>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</si>
  <si>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</si>
  <si>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</si>
  <si>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</si>
  <si>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</si>
  <si>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</si>
  <si>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</si>
  <si>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</si>
  <si>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</si>
  <si>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</si>
  <si>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</si>
  <si>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</si>
  <si>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</si>
  <si>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</si>
  <si>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</si>
  <si>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</si>
  <si>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</si>
  <si>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</si>
  <si>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</si>
  <si>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</si>
  <si>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</si>
  <si>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</si>
  <si>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</si>
  <si>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</si>
  <si>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</si>
  <si>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</si>
  <si>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</si>
  <si>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</si>
  <si>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</si>
  <si>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</si>
  <si>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</si>
  <si>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</si>
  <si>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</si>
  <si>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</si>
  <si>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</si>
  <si>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</si>
  <si>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</si>
  <si>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</si>
  <si>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</si>
  <si>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</si>
  <si>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</si>
  <si>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</si>
  <si>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</si>
  <si>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</si>
  <si>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</si>
  <si>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</si>
  <si>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</si>
  <si>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</si>
  <si>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</si>
  <si>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</si>
  <si>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</si>
  <si>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</si>
  <si>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</si>
  <si>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</si>
  <si>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</si>
  <si>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</si>
  <si>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</si>
  <si>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</si>
  <si>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</si>
  <si>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</si>
  <si>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</si>
  <si>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</si>
  <si>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</si>
  <si>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</si>
  <si>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</si>
  <si>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</si>
  <si>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</si>
  <si>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</si>
  <si>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</si>
  <si>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</si>
  <si>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</si>
  <si>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</si>
  <si>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</si>
  <si>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</si>
  <si>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</si>
  <si>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</si>
  <si>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</si>
  <si>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</si>
  <si>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</si>
  <si>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</si>
  <si>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</si>
  <si>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</si>
  <si>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</si>
  <si>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</si>
  <si>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</si>
  <si>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</si>
  <si>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</si>
  <si>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</si>
  <si>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</si>
  <si>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</si>
  <si>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</si>
  <si>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</si>
  <si>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INDAIA GRANDE</t>
  </si>
  <si>
    <t>PCH.PH.MS.030078-0.01</t>
  </si>
  <si>
    <t>INDAIA GRANDE ENERGIA S/A</t>
  </si>
  <si>
    <t>Indaiázinho</t>
  </si>
  <si>
    <t>INDAIAZINHO</t>
  </si>
  <si>
    <t>PCH.PH.MS.030079-9.01</t>
  </si>
  <si>
    <t>INDAIAZINHO ENERGIA S.A.</t>
  </si>
  <si>
    <t>PIPOCA</t>
  </si>
  <si>
    <t>PCH.PH.MG.002069-9.01</t>
  </si>
  <si>
    <t>HIDRELETRICA PIPOCA S.A.</t>
  </si>
  <si>
    <t>PIRAPORA 2</t>
  </si>
  <si>
    <t>UFV.RS.MG.033185-6.01</t>
  </si>
  <si>
    <t>PIRAPORA II ENERGIAS RENOVAVEIS S.A.</t>
  </si>
  <si>
    <t>PIRAPORA 3</t>
  </si>
  <si>
    <t>UFV.RS.MG.033186-4.01</t>
  </si>
  <si>
    <t>PIRAPORA III ENERGIAS RENOVAVEIS S.A.</t>
  </si>
  <si>
    <t>PIRAPORA 4</t>
  </si>
  <si>
    <t>UFV.RS.MG.033187-2.01</t>
  </si>
  <si>
    <t>PIRAPORA IV ENERGIAS RENOVAVEIS S.A.</t>
  </si>
  <si>
    <t>PIRAPORA 5</t>
  </si>
  <si>
    <t>UFV.RS.MG.033188-0.01</t>
  </si>
  <si>
    <t>PIRAPORA V ENERGIAS RENOVAVEIS S.A.</t>
  </si>
  <si>
    <t>PIRAPORA 6</t>
  </si>
  <si>
    <t>UFV.RS.MG.033189-9.01</t>
  </si>
  <si>
    <t>PIRAPORA VI ENERGIAS RENOVAVEIS S.A.</t>
  </si>
  <si>
    <t>PIRAPORA 7</t>
  </si>
  <si>
    <t>UFV.RS.MG.033190-2.01</t>
  </si>
  <si>
    <t>PIRAPORA VII ENERGIAS RENOVAVEIS S.A.</t>
  </si>
  <si>
    <t>PIRAPORA 9</t>
  </si>
  <si>
    <t>UFV.RS.MG.033192-9.01</t>
  </si>
  <si>
    <t>PIRAPORA IX ENERGIAS RENOVAVEIS S.A.</t>
  </si>
  <si>
    <t>PIRAPORA 10</t>
  </si>
  <si>
    <t>UFV.RS.MG.033193-7.01</t>
  </si>
  <si>
    <t>PIRAPORA X ENERGIAS RENOVAVEIS S.A.</t>
  </si>
  <si>
    <t>VAZANTE 1</t>
  </si>
  <si>
    <t>UFV.RS.MG.032339-0.01</t>
  </si>
  <si>
    <t>VAZANTE I ENERGIAS RENOVAVEIS S.A.</t>
  </si>
  <si>
    <t>VAZANTE 2</t>
  </si>
  <si>
    <t>UFV.RS.MG.032340-3.01</t>
  </si>
  <si>
    <t>VAZANTE II ENERGIAS RENOVAVEIS S.A.</t>
  </si>
  <si>
    <t>VAZANTE 3</t>
  </si>
  <si>
    <t>UFV.RS.MG.032341-1.01</t>
  </si>
  <si>
    <t>VAZANTE III ENERGIAS RENOVAVEIS S.A.</t>
  </si>
  <si>
    <t xml:space="preserve">Gargaú </t>
  </si>
  <si>
    <t>GARGAU</t>
  </si>
  <si>
    <t>EOL.CV.RJ.028730-0.01</t>
  </si>
  <si>
    <t>CENTRAIS ELETRICAS BRASILEIRAS SA ELETROBRAS</t>
  </si>
  <si>
    <t>Santa Vitória do Palmar</t>
  </si>
  <si>
    <t>CHUI IV</t>
  </si>
  <si>
    <t>EOL.CV.RS.030754-8.01</t>
  </si>
  <si>
    <t>OMEGA GERACAO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</si>
  <si>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</si>
  <si>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</si>
  <si>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</si>
  <si>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</si>
  <si>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</si>
  <si>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</si>
  <si>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</si>
  <si>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</si>
  <si>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</si>
  <si>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</si>
  <si>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</si>
  <si>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</si>
  <si>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</si>
  <si>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</si>
  <si>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</si>
  <si>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</si>
  <si>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</si>
  <si>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</si>
  <si>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</si>
  <si>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</si>
  <si>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</si>
  <si>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</si>
  <si>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</si>
  <si>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</si>
  <si>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</si>
  <si>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</si>
  <si>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</si>
  <si>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</si>
  <si>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</si>
  <si>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</si>
  <si>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</si>
  <si>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</si>
  <si>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</si>
  <si>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</si>
  <si>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</si>
  <si>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</si>
  <si>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</si>
  <si>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</si>
  <si>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</si>
  <si>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</si>
  <si>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</si>
  <si>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</si>
  <si>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</si>
  <si>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</si>
  <si>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</si>
  <si>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</si>
  <si>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</si>
  <si>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</si>
  <si>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</si>
  <si>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</si>
  <si>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</si>
  <si>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</si>
  <si>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</si>
  <si>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</si>
  <si>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</si>
  <si>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Principal Amortization Curve (in R$ million) - 12/31/2022¹</t>
  </si>
  <si>
    <t>(Asset Code)</t>
  </si>
  <si>
    <t>(Asset abbreviation)</t>
  </si>
  <si>
    <t>(Enterprise CEG)</t>
  </si>
  <si>
    <t>(Company Name)</t>
  </si>
  <si>
    <t>(Installed Capacity)</t>
  </si>
  <si>
    <t>(Assured Energy)</t>
  </si>
  <si>
    <t>EOL ASSURUA 4 I</t>
  </si>
  <si>
    <t>EOL ASSURUA 4 II</t>
  </si>
  <si>
    <t>EOL ASSURUA 4 III</t>
  </si>
  <si>
    <t>EOL ASSURUA 4 IV</t>
  </si>
  <si>
    <t>EOL ASSURUA 4 V</t>
  </si>
  <si>
    <t>EOL ASSURUA 4 VI</t>
  </si>
  <si>
    <t>EOL.CV.BA.050463-7.01</t>
  </si>
  <si>
    <t>EOL.CV.BA.050464-5.01</t>
  </si>
  <si>
    <t>EOL.CV.BA.050465-3.01</t>
  </si>
  <si>
    <t>EOL.CV.BA.050466-1.01</t>
  </si>
  <si>
    <t>EOL.CV.BA.050467-0.01</t>
  </si>
  <si>
    <t>EOL.CV.BA.050468-8.01</t>
  </si>
  <si>
    <t>Garantia Física (MWm)¹</t>
  </si>
  <si>
    <t>¹  Specifically for Assuruá 4 (which has recently achieved COD), considers a preview of the asset's Assured Energy, measured by a third party certifier. The Assured Energy here presented is provisory, official regulatory agent is still analysing the official data.</t>
  </si>
  <si>
    <t>990.2²</t>
  </si>
  <si>
    <t>582.8</t>
  </si>
  <si>
    <t>265.5</t>
  </si>
  <si>
    <t>316.6</t>
  </si>
  <si>
    <t>209.6</t>
  </si>
  <si>
    <t>100.4</t>
  </si>
  <si>
    <t>298.0</t>
  </si>
  <si>
    <t>495.6²</t>
  </si>
  <si>
    <t>216.6</t>
  </si>
  <si>
    <t xml:space="preserve">² Considers 50% of Ventos da Bahia 1, 2 and 3. </t>
  </si>
  <si>
    <r>
      <t>Goodnight 1</t>
    </r>
    <r>
      <rPr>
        <sz val="9"/>
        <color rgb="FF26395F"/>
        <rFont val="Calibri"/>
        <family val="2"/>
      </rPr>
      <t>⁴</t>
    </r>
  </si>
  <si>
    <t>2,683.4</t>
  </si>
  <si>
    <t>1,277.6</t>
  </si>
  <si>
    <t>Assuruá 1, 2, 3, 4 and 5
Ventos da Bahia 1, 2 and 3</t>
  </si>
  <si>
    <r>
      <t xml:space="preserve">Assuruá 6 
</t>
    </r>
    <r>
      <rPr>
        <sz val="9"/>
        <color rgb="FFFFFFFF"/>
        <rFont val="Calibri"/>
        <family val="2"/>
        <scheme val="minor"/>
      </rPr>
      <t>(Short-term Pipeline)</t>
    </r>
  </si>
  <si>
    <t xml:space="preserve">¹ Considers grid and internal losses. Considers the pro-rata stake of unconsolidated assets (Pipoca, Pirapora and Ventos da Bahia 1, 2 and 3). </t>
  </si>
  <si>
    <t>Monthly</t>
  </si>
  <si>
    <t>Semiannual</t>
  </si>
  <si>
    <t>Customized</t>
  </si>
  <si>
    <t>Bullet</t>
  </si>
  <si>
    <t>Annual</t>
  </si>
  <si>
    <t>549.6</t>
  </si>
  <si>
    <t>101.4</t>
  </si>
  <si>
    <r>
      <rPr>
        <sz val="9"/>
        <color rgb="FF26395F"/>
        <rFont val="Calibri"/>
        <family val="2"/>
      </rPr>
      <t>⁴</t>
    </r>
    <r>
      <rPr>
        <sz val="9"/>
        <color rgb="FF26395F"/>
        <rFont val="Calibri"/>
        <family val="2"/>
        <scheme val="minor"/>
      </rPr>
      <t xml:space="preserve"> Goodnight 1 is expected to be fully operationa by 4Q23</t>
    </r>
  </si>
  <si>
    <t>96.8³</t>
  </si>
  <si>
    <t>1,107.0</t>
  </si>
  <si>
    <t>BR Average Sales Prices (R$/MWh)</t>
  </si>
  <si>
    <r>
      <t xml:space="preserve">Regulated
</t>
    </r>
    <r>
      <rPr>
        <sz val="8"/>
        <color rgb="FF26395F"/>
        <rFont val="Calibri"/>
        <family val="2"/>
        <scheme val="minor"/>
      </rPr>
      <t>(LER 2013, LER 2014, 
A-5/2014)</t>
    </r>
  </si>
  <si>
    <t>¹ Aquisition of Ventos da Bahia 3 was concluded on December 23, 2022. The pro rata stake considered in 2022 was the full month of December. Considers the pro-rata participation of Pirapora and Ventos da Bahia 1 and 2.</t>
  </si>
  <si>
    <t>Promissory 
Note</t>
  </si>
  <si>
    <t>Debentures</t>
  </si>
  <si>
    <t>Asset Structure (12/31/2022)</t>
  </si>
  <si>
    <t>¹ Differ from Gross Debt due to accrued interest and inflation adjustment in loans.</t>
  </si>
  <si>
    <t>CDI + 2,80%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</si>
</sst>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 #,##0.00_);_(* \(#,##0.00\);_(* &quot;-&quot;??_);_(@_)"/>
    <numFmt numFmtId="165" formatCode="0.0"/>
    <numFmt numFmtId="166" formatCode="0.0%"/>
    <numFmt numFmtId="167" formatCode="#,##0.0"/>
    <numFmt numFmtId="168" formatCode="_-* #,##0_-;\-* #,##0_-;_-* &quot;-&quot;??_-;_-@_-"/>
    <numFmt numFmtId="169" formatCode="_-* #,##0.0_-;\-* #,##0.0_-;_-* &quot;-&quot;??_-;_-@_-"/>
    <numFmt numFmtId="170" formatCode="[$-416]d\-mmm\-yy;@"/>
    <numFmt numFmtId="171" formatCode="0_ ;\-0\ "/>
    <numFmt numFmtId="172" formatCode="0.000%"/>
    <numFmt numFmtId="173" formatCode="_-* #,##0.000_-;\-* #,##0.000_-;_-* &quot;-&quot;??_-;_-@_-"/>
    <numFmt numFmtId="174" formatCode="_-* #,##0.0_-;\-* #,##0.0_-;_-* &quot;-&quot;?_-;_-@_-"/>
    <numFmt numFmtId="175" formatCode="_-&quot;R$&quot;\ * #,##0.00000_-;\-&quot;R$&quot;\ * #,##0.00000_-;_-&quot;R$&quot;\ * &quot;-&quot;??_-;_-@_-"/>
    <numFmt numFmtId="176" formatCode="_-* #,##0.000000_-;\-* #,##0.000000_-;_-* &quot;-&quot;??_-;_-@_-"/>
    <numFmt numFmtId="177" formatCode="[$-409]mmm\-yy;@"/>
    <numFmt numFmtId="178" formatCode="#,##0.000000"/>
  </numFmts>
  <fonts count="40">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theme="1"/>
      <name val="D-DIN"/>
      <family val="2"/>
    </font>
    <font>
      <b/>
      <sz val="11"/>
      <color theme="1"/>
      <name val="D-DIN"/>
      <family val="2"/>
    </font>
    <font>
      <sz val="14"/>
      <color theme="1"/>
      <name val="Calibri"/>
      <family val="2"/>
      <scheme val="minor"/>
    </font>
    <font>
      <b/>
      <sz val="9"/>
      <color rgb="FFFFFFFF"/>
      <name val="Calibri"/>
      <family val="2"/>
      <scheme val="minor"/>
    </font>
    <font>
      <sz val="9"/>
      <color theme="1"/>
      <name val="Calibri"/>
      <family val="2"/>
      <scheme val="minor"/>
    </font>
    <font>
      <sz val="9"/>
      <color rgb="FF1E4173"/>
      <name val="Calibri"/>
      <family val="2"/>
      <scheme val="minor"/>
    </font>
    <font>
      <b/>
      <sz val="9"/>
      <color rgb="FF1E4173"/>
      <name val="Calibri"/>
      <family val="2"/>
      <scheme val="minor"/>
    </font>
    <font>
      <sz val="9"/>
      <color rgb="FF395F72"/>
      <name val="Calibri"/>
      <family val="2"/>
      <scheme val="minor"/>
    </font>
    <font>
      <b/>
      <sz val="9"/>
      <color theme="0"/>
      <name val="Calibri"/>
      <family val="2"/>
      <scheme val="minor"/>
    </font>
    <font>
      <sz val="9"/>
      <color theme="0"/>
      <name val="Calibri"/>
      <family val="2"/>
      <scheme val="minor"/>
    </font>
    <font>
      <sz val="9"/>
      <color rgb="FF395F72"/>
      <name val="D-DIN"/>
      <family val="2"/>
    </font>
    <font>
      <sz val="8"/>
      <color rgb="FF395F72"/>
      <name val="D-DIN"/>
      <family val="2"/>
    </font>
    <font>
      <sz val="8"/>
      <color rgb="FF1E4173"/>
      <name val="D-DIN"/>
      <family val="2"/>
    </font>
    <font>
      <b/>
      <sz val="11"/>
      <color theme="4"/>
      <name val="Calibri"/>
      <family val="2"/>
      <scheme val="minor"/>
    </font>
    <font>
      <b/>
      <sz val="9"/>
      <color rgb="FF395F72"/>
      <name val="D-DIN"/>
      <family val="2"/>
    </font>
    <font>
      <sz val="9"/>
      <color rgb="FF26395F"/>
      <name val="Calibri"/>
      <family val="2"/>
      <scheme val="minor"/>
    </font>
    <font>
      <vertAlign val="superscript"/>
      <sz val="9"/>
      <color rgb="FF26395F"/>
      <name val="Calibri"/>
      <family val="2"/>
      <scheme val="minor"/>
    </font>
    <font>
      <b/>
      <sz val="9"/>
      <color rgb="FF26395F"/>
      <name val="Calibri"/>
      <family val="2"/>
      <scheme val="minor"/>
    </font>
    <font>
      <b/>
      <sz val="14"/>
      <color theme="0"/>
      <name val="Calibri"/>
      <family val="2"/>
      <scheme val="minor"/>
    </font>
    <font>
      <sz val="9"/>
      <color rgb="FF123660"/>
      <name val="Aeonik"/>
      <family val="2"/>
    </font>
    <font>
      <b/>
      <sz val="9"/>
      <color rgb="FF7F7F7F"/>
      <name val="Aeonik"/>
      <family val="2"/>
    </font>
    <font>
      <sz val="9"/>
      <color rgb="FF26395F"/>
      <name val="Calibri"/>
      <family val="2"/>
    </font>
    <font>
      <b/>
      <sz val="9"/>
      <color theme="0"/>
      <name val="Calibri"/>
      <family val="2"/>
    </font>
    <font>
      <sz val="8"/>
      <color theme="1"/>
      <name val="Calibri"/>
      <family val="2"/>
      <scheme val="minor"/>
    </font>
    <font>
      <i/>
      <sz val="9"/>
      <color rgb="FF26395F"/>
      <name val="Calibri"/>
      <family val="2"/>
      <scheme val="minor"/>
    </font>
    <font>
      <sz val="9"/>
      <color rgb="FFFFFFFF"/>
      <name val="Calibri"/>
      <family val="2"/>
      <scheme val="minor"/>
    </font>
    <font>
      <sz val="9"/>
      <color rgb="FFFF0000"/>
      <name val="Calibri"/>
      <family val="2"/>
      <scheme val="minor"/>
    </font>
    <font>
      <b/>
      <sz val="9"/>
      <color rgb="FF26395F"/>
      <name val="Calibri"/>
      <family val="2"/>
    </font>
    <font>
      <sz val="8"/>
      <color rgb="FF26395F"/>
      <name val="Calibri"/>
      <family val="2"/>
      <scheme val="minor"/>
    </font>
    <font>
      <b/>
      <sz val="9"/>
      <color rgb="FFFFFFFF"/>
      <name val="Calibri"/>
      <family val="2"/>
    </font>
    <font>
      <b/>
      <sz val="9"/>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i/>
      <sz val="10"/>
      <color theme="1"/>
      <name val="Calibri"/>
      <family val="2"/>
      <scheme val="minor"/>
    </font>
    <font>
      <b/>
      <sz val="8"/>
      <color theme="0"/>
      <name val="Calibri"/>
      <family val="2"/>
      <scheme val="minor"/>
    </font>
  </fonts>
  <fills count="9">
    <fill>
      <patternFill patternType="none"/>
    </fill>
    <fill>
      <patternFill patternType="gray125"/>
    </fill>
    <fill>
      <patternFill patternType="solid">
        <fgColor rgb="FF26395F"/>
        <bgColor indexed="64"/>
      </patternFill>
    </fill>
    <fill>
      <patternFill patternType="solid">
        <fgColor theme="0"/>
        <bgColor indexed="64"/>
      </patternFill>
    </fill>
    <fill>
      <patternFill patternType="solid">
        <fgColor theme="0" tint="-4.9989318521683403E-2"/>
        <bgColor indexed="64"/>
      </patternFill>
    </fill>
    <fill>
      <patternFill patternType="solid">
        <fgColor rgb="FFEC622A"/>
        <bgColor indexed="64"/>
      </patternFill>
    </fill>
    <fill>
      <patternFill patternType="solid">
        <fgColor rgb="FF5979F2"/>
        <bgColor indexed="64"/>
      </patternFill>
    </fill>
    <fill>
      <patternFill patternType="solid">
        <fgColor rgb="FF5B00C2"/>
        <bgColor indexed="64"/>
      </patternFill>
    </fill>
    <fill>
      <patternFill patternType="solid">
        <fgColor rgb="FFF2F2F2"/>
        <bgColor indexed="64"/>
      </patternFill>
    </fill>
  </fills>
  <borders count="23">
    <border>
      <left/>
      <right/>
      <top/>
      <bottom/>
      <diagonal/>
    </border>
    <border>
      <left/>
      <right/>
      <top style="thin">
        <color rgb="FF3465A4"/>
      </top>
      <bottom style="thin">
        <color rgb="FF3465A4"/>
      </bottom>
      <diagonal/>
    </border>
    <border>
      <left style="thin">
        <color rgb="FF26395F"/>
      </left>
      <right/>
      <top style="thin">
        <color rgb="FF26395F"/>
      </top>
      <bottom/>
      <diagonal/>
    </border>
    <border>
      <left/>
      <right/>
      <top style="thin">
        <color rgb="FF26395F"/>
      </top>
      <bottom/>
      <diagonal/>
    </border>
    <border>
      <left/>
      <right style="thin">
        <color rgb="FF26395F"/>
      </right>
      <top style="thin">
        <color rgb="FF26395F"/>
      </top>
      <bottom/>
      <diagonal/>
    </border>
    <border>
      <left style="thin">
        <color rgb="FF26395F"/>
      </left>
      <right/>
      <top/>
      <bottom/>
      <diagonal/>
    </border>
    <border>
      <left/>
      <right style="thin">
        <color rgb="FF26395F"/>
      </right>
      <top/>
      <bottom/>
      <diagonal/>
    </border>
    <border>
      <left style="thin">
        <color rgb="FF26395F"/>
      </left>
      <right/>
      <top/>
      <bottom style="thin">
        <color rgb="FF26395F"/>
      </bottom>
      <diagonal/>
    </border>
    <border>
      <left/>
      <right/>
      <top/>
      <bottom style="thin">
        <color rgb="FF26395F"/>
      </bottom>
      <diagonal/>
    </border>
    <border>
      <left/>
      <right style="thin">
        <color rgb="FF26395F"/>
      </right>
      <top/>
      <bottom style="thin">
        <color rgb="FF26395F"/>
      </bottom>
      <diagonal/>
    </border>
    <border>
      <left/>
      <right/>
      <top style="thin">
        <color rgb="FF3465A4"/>
      </top>
      <bottom/>
      <diagonal/>
    </border>
    <border>
      <left/>
      <right/>
      <top/>
      <bottom style="thin">
        <color rgb="FFEC622A"/>
      </bottom>
      <diagonal/>
    </border>
    <border>
      <left/>
      <right/>
      <top style="thin">
        <color rgb="FFEC622A"/>
      </top>
      <bottom style="thin">
        <color rgb="FFEC622A"/>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rgb="FF3465A4"/>
      </top>
      <bottom style="thin">
        <color rgb="FF26395F"/>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70" fontId="1" fillId="0" borderId="0"/>
    <xf numFmtId="0" fontId="1" fillId="0" borderId="0"/>
    <xf numFmtId="16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304">
    <xf numFmtId="0" fontId="0" fillId="0" borderId="0" xfId="0"/>
    <xf numFmtId="0" fontId="4" fillId="0" borderId="0" xfId="0" applyFont="1"/>
    <xf numFmtId="164" fontId="4" fillId="0" borderId="0" xfId="1" applyFont="1"/>
    <xf numFmtId="0" fontId="5" fillId="0" borderId="0" xfId="0" applyFont="1"/>
    <xf numFmtId="164" fontId="5" fillId="0" borderId="0" xfId="1" applyFont="1"/>
    <xf numFmtId="9" fontId="5" fillId="0" borderId="0" xfId="1" applyNumberFormat="1" applyFont="1"/>
    <xf numFmtId="0" fontId="5" fillId="0" borderId="0" xfId="0" applyFont="1" applyAlignment="1">
      <alignment horizontal="center"/>
    </xf>
    <xf numFmtId="0" fontId="8" fillId="0" borderId="0" xfId="0" applyFont="1"/>
    <xf numFmtId="0" fontId="11" fillId="0" borderId="0" xfId="0" applyFont="1" applyAlignment="1">
      <alignment vertical="center"/>
    </xf>
    <xf numFmtId="168" fontId="8" fillId="0" borderId="0" xfId="1" applyNumberFormat="1" applyFont="1"/>
    <xf numFmtId="0" fontId="10" fillId="0" borderId="0" xfId="0" applyFont="1"/>
    <xf numFmtId="165" fontId="9" fillId="0" borderId="0" xfId="0" applyNumberFormat="1" applyFont="1" applyAlignment="1">
      <alignment horizontal="right" vertical="center" wrapText="1"/>
    </xf>
    <xf numFmtId="167" fontId="8" fillId="0" borderId="0" xfId="0" applyNumberFormat="1" applyFont="1"/>
    <xf numFmtId="3" fontId="14" fillId="0" borderId="0" xfId="0" applyNumberFormat="1" applyFont="1" applyAlignment="1">
      <alignment horizontal="right" vertical="center"/>
    </xf>
    <xf numFmtId="0" fontId="16" fillId="0" borderId="0" xfId="0" applyFont="1" applyAlignment="1">
      <alignment horizontal="center" vertical="center" wrapText="1"/>
    </xf>
    <xf numFmtId="3" fontId="15" fillId="0" borderId="0" xfId="0" applyNumberFormat="1" applyFont="1" applyAlignment="1">
      <alignment horizontal="right" vertical="center" wrapText="1"/>
    </xf>
    <xf numFmtId="0" fontId="14" fillId="0" borderId="0" xfId="0" applyFont="1" applyAlignment="1">
      <alignment horizontal="right" vertical="center"/>
    </xf>
    <xf numFmtId="3" fontId="18" fillId="0" borderId="0" xfId="0" applyNumberFormat="1" applyFont="1" applyAlignment="1">
      <alignment horizontal="right" vertical="center"/>
    </xf>
    <xf numFmtId="0" fontId="19" fillId="0" borderId="0" xfId="0" applyFont="1" applyAlignment="1">
      <alignment horizontal="center" vertical="center" wrapText="1"/>
    </xf>
    <xf numFmtId="167" fontId="19" fillId="0" borderId="0" xfId="0" applyNumberFormat="1" applyFont="1" applyAlignment="1">
      <alignment horizontal="center" vertical="center" wrapText="1"/>
    </xf>
    <xf numFmtId="9" fontId="19" fillId="0" borderId="0" xfId="0" applyNumberFormat="1" applyFont="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9" fillId="0" borderId="0" xfId="0" applyFont="1"/>
    <xf numFmtId="0" fontId="12" fillId="2" borderId="1" xfId="0" applyFont="1" applyFill="1" applyBorder="1"/>
    <xf numFmtId="0" fontId="7" fillId="2" borderId="1" xfId="0" applyFont="1" applyFill="1" applyBorder="1" applyAlignment="1">
      <alignment horizontal="right" vertical="center" wrapText="1"/>
    </xf>
    <xf numFmtId="0" fontId="7" fillId="2" borderId="1" xfId="0" applyFont="1" applyFill="1" applyBorder="1" applyAlignment="1">
      <alignment horizontal="left" wrapText="1"/>
    </xf>
    <xf numFmtId="0" fontId="7" fillId="2" borderId="1" xfId="0" applyFont="1" applyFill="1" applyBorder="1" applyAlignment="1">
      <alignment horizontal="center" wrapText="1"/>
    </xf>
    <xf numFmtId="0" fontId="7" fillId="2" borderId="1" xfId="0" applyFont="1" applyFill="1" applyBorder="1" applyAlignment="1">
      <alignment horizontal="right" wrapText="1"/>
    </xf>
    <xf numFmtId="0" fontId="19" fillId="0" borderId="0" xfId="0" applyFont="1" applyAlignment="1">
      <alignment horizontal="left" wrapText="1"/>
    </xf>
    <xf numFmtId="165" fontId="19" fillId="0" borderId="0" xfId="0" applyNumberFormat="1" applyFont="1" applyAlignment="1">
      <alignment horizontal="right" wrapText="1"/>
    </xf>
    <xf numFmtId="0" fontId="21" fillId="0" borderId="0" xfId="0" applyFont="1" applyAlignment="1">
      <alignment horizontal="left" wrapText="1"/>
    </xf>
    <xf numFmtId="167" fontId="19" fillId="0" borderId="0" xfId="0" applyNumberFormat="1" applyFont="1" applyAlignment="1">
      <alignment wrapText="1"/>
    </xf>
    <xf numFmtId="0" fontId="22" fillId="2" borderId="0" xfId="0" applyFont="1" applyFill="1" applyAlignment="1">
      <alignment horizontal="justify" vertical="center"/>
    </xf>
    <xf numFmtId="165" fontId="19" fillId="0" borderId="0" xfId="0" applyNumberFormat="1" applyFont="1" applyAlignment="1">
      <alignment horizontal="center" vertical="center" wrapText="1"/>
    </xf>
    <xf numFmtId="167" fontId="19" fillId="0" borderId="0" xfId="0" quotePrefix="1" applyNumberFormat="1" applyFont="1" applyAlignment="1">
      <alignment horizontal="center" vertical="center" wrapText="1"/>
    </xf>
    <xf numFmtId="0" fontId="19" fillId="0" borderId="0" xfId="0" applyFont="1" applyAlignment="1">
      <alignment horizontal="left" vertical="center" wrapText="1"/>
    </xf>
    <xf numFmtId="0" fontId="19" fillId="0" borderId="0" xfId="1" applyNumberFormat="1" applyFont="1" applyAlignment="1">
      <alignment horizontal="left" vertical="center" wrapText="1" indent="1"/>
    </xf>
    <xf numFmtId="0" fontId="19" fillId="0" borderId="0" xfId="0" applyFont="1" applyAlignment="1">
      <alignment horizontal="left"/>
    </xf>
    <xf numFmtId="168" fontId="19" fillId="0" borderId="0" xfId="1" applyNumberFormat="1" applyFont="1"/>
    <xf numFmtId="165" fontId="19" fillId="0" borderId="0" xfId="0" applyNumberFormat="1" applyFont="1" applyAlignment="1">
      <alignment horizontal="right" vertical="center" wrapText="1"/>
    </xf>
    <xf numFmtId="0" fontId="22" fillId="2" borderId="0" xfId="0" applyFont="1" applyFill="1" applyAlignment="1">
      <alignment horizontal="justify" vertical="center" wrapText="1"/>
    </xf>
    <xf numFmtId="167" fontId="8" fillId="0" borderId="0" xfId="1" applyNumberFormat="1" applyFont="1"/>
    <xf numFmtId="167" fontId="23" fillId="0" borderId="0" xfId="0" applyNumberFormat="1" applyFont="1" applyAlignment="1">
      <alignment horizontal="center" vertical="center" wrapText="1"/>
    </xf>
    <xf numFmtId="3" fontId="24" fillId="0" borderId="0" xfId="0" applyNumberFormat="1" applyFont="1" applyAlignment="1">
      <alignment horizontal="right" vertical="center"/>
    </xf>
    <xf numFmtId="0" fontId="8" fillId="3" borderId="0" xfId="0" applyFont="1" applyFill="1"/>
    <xf numFmtId="0" fontId="7" fillId="2" borderId="0" xfId="0" applyFont="1" applyFill="1" applyAlignment="1">
      <alignment horizontal="center" vertical="center" wrapText="1"/>
    </xf>
    <xf numFmtId="0" fontId="21" fillId="0" borderId="0" xfId="0" applyFont="1" applyAlignment="1">
      <alignment horizontal="center" vertical="center" wrapText="1"/>
    </xf>
    <xf numFmtId="0" fontId="12" fillId="5" borderId="0" xfId="0" applyFont="1" applyFill="1" applyAlignment="1">
      <alignment horizontal="center" vertical="center" wrapText="1"/>
    </xf>
    <xf numFmtId="0" fontId="12" fillId="5" borderId="0" xfId="0" applyFont="1" applyFill="1" applyAlignment="1">
      <alignment vertical="center" wrapText="1"/>
    </xf>
    <xf numFmtId="165" fontId="12" fillId="5" borderId="0" xfId="0" applyNumberFormat="1" applyFont="1" applyFill="1" applyAlignment="1">
      <alignment horizontal="center" vertical="center" wrapText="1"/>
    </xf>
    <xf numFmtId="167" fontId="12" fillId="5" borderId="0" xfId="0" quotePrefix="1" applyNumberFormat="1" applyFont="1" applyFill="1" applyAlignment="1">
      <alignment horizontal="center" vertical="center" wrapText="1"/>
    </xf>
    <xf numFmtId="167" fontId="12" fillId="5" borderId="0" xfId="0" applyNumberFormat="1" applyFont="1" applyFill="1" applyAlignment="1">
      <alignment horizontal="center" vertical="center" wrapText="1"/>
    </xf>
    <xf numFmtId="0" fontId="21" fillId="4" borderId="0" xfId="0" applyFont="1" applyFill="1" applyAlignment="1">
      <alignment horizontal="center" vertical="center" wrapText="1"/>
    </xf>
    <xf numFmtId="0" fontId="19" fillId="4" borderId="0" xfId="0" applyFont="1" applyFill="1" applyAlignment="1">
      <alignment horizontal="center" vertical="center" wrapText="1"/>
    </xf>
    <xf numFmtId="167" fontId="19" fillId="4" borderId="0" xfId="0" applyNumberFormat="1" applyFont="1" applyFill="1" applyAlignment="1">
      <alignment horizontal="center" vertical="center" wrapText="1"/>
    </xf>
    <xf numFmtId="165" fontId="19" fillId="4" borderId="0" xfId="0" applyNumberFormat="1" applyFont="1" applyFill="1" applyAlignment="1">
      <alignment horizontal="center" vertical="center" wrapText="1"/>
    </xf>
    <xf numFmtId="9" fontId="19" fillId="4" borderId="0" xfId="0" applyNumberFormat="1" applyFont="1" applyFill="1" applyAlignment="1">
      <alignment horizontal="center" vertical="center" wrapText="1"/>
    </xf>
    <xf numFmtId="166" fontId="19" fillId="4" borderId="0" xfId="0" applyNumberFormat="1" applyFont="1" applyFill="1" applyAlignment="1">
      <alignment horizontal="center" vertical="center" wrapText="1"/>
    </xf>
    <xf numFmtId="0" fontId="19" fillId="3" borderId="0" xfId="0" applyFont="1" applyFill="1" applyAlignment="1">
      <alignment horizontal="center" vertical="center" wrapText="1"/>
    </xf>
    <xf numFmtId="4" fontId="19" fillId="3" borderId="0" xfId="0" quotePrefix="1" applyNumberFormat="1" applyFont="1" applyFill="1" applyAlignment="1">
      <alignment horizontal="center" vertical="center" wrapText="1"/>
    </xf>
    <xf numFmtId="4" fontId="19" fillId="4" borderId="0" xfId="0" quotePrefix="1" applyNumberFormat="1" applyFont="1" applyFill="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21" fillId="0" borderId="5" xfId="0" applyFont="1" applyBorder="1" applyAlignment="1">
      <alignment horizontal="center" vertical="center" wrapText="1"/>
    </xf>
    <xf numFmtId="165" fontId="21" fillId="0" borderId="6" xfId="0" applyNumberFormat="1" applyFont="1" applyBorder="1" applyAlignment="1">
      <alignment horizontal="center" vertical="center" wrapText="1"/>
    </xf>
    <xf numFmtId="0" fontId="21" fillId="4" borderId="5" xfId="0" applyFont="1" applyFill="1" applyBorder="1" applyAlignment="1">
      <alignment horizontal="center" vertical="center" wrapText="1"/>
    </xf>
    <xf numFmtId="166" fontId="21" fillId="4" borderId="6" xfId="0" applyNumberFormat="1" applyFont="1" applyFill="1" applyBorder="1" applyAlignment="1">
      <alignment horizontal="center" vertical="center" wrapText="1"/>
    </xf>
    <xf numFmtId="165" fontId="21" fillId="4" borderId="6"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21" fillId="4" borderId="6" xfId="0" applyFont="1" applyFill="1" applyBorder="1" applyAlignment="1">
      <alignment horizontal="center" vertical="center" wrapText="1"/>
    </xf>
    <xf numFmtId="165" fontId="21" fillId="3" borderId="6" xfId="0" applyNumberFormat="1" applyFont="1" applyFill="1" applyBorder="1" applyAlignment="1">
      <alignment horizontal="center" vertical="center" wrapText="1"/>
    </xf>
    <xf numFmtId="4" fontId="21" fillId="3" borderId="6" xfId="0" quotePrefix="1" applyNumberFormat="1" applyFont="1" applyFill="1" applyBorder="1" applyAlignment="1">
      <alignment horizontal="center" vertical="center" wrapText="1"/>
    </xf>
    <xf numFmtId="0" fontId="12" fillId="6" borderId="1" xfId="0" applyFont="1" applyFill="1" applyBorder="1"/>
    <xf numFmtId="0" fontId="13" fillId="6" borderId="1" xfId="0" applyFont="1" applyFill="1" applyBorder="1"/>
    <xf numFmtId="0" fontId="12" fillId="5" borderId="0" xfId="0" applyFont="1" applyFill="1" applyAlignment="1">
      <alignment horizontal="left" wrapText="1"/>
    </xf>
    <xf numFmtId="168" fontId="13" fillId="6" borderId="1" xfId="1" applyNumberFormat="1" applyFont="1" applyFill="1" applyBorder="1"/>
    <xf numFmtId="169" fontId="19" fillId="3" borderId="0" xfId="1" applyNumberFormat="1" applyFont="1" applyFill="1" applyAlignment="1">
      <alignment horizontal="right" vertical="center" wrapText="1"/>
    </xf>
    <xf numFmtId="169" fontId="19" fillId="0" borderId="0" xfId="1" applyNumberFormat="1" applyFont="1" applyFill="1" applyAlignment="1">
      <alignment horizontal="right" vertical="center" wrapText="1"/>
    </xf>
    <xf numFmtId="169" fontId="19" fillId="0" borderId="0" xfId="1" applyNumberFormat="1" applyFont="1" applyAlignment="1">
      <alignment horizontal="right" vertical="center" wrapText="1"/>
    </xf>
    <xf numFmtId="0" fontId="8" fillId="6" borderId="1" xfId="0" applyFont="1" applyFill="1" applyBorder="1"/>
    <xf numFmtId="0" fontId="19" fillId="0" borderId="0" xfId="0" applyFont="1" applyAlignment="1">
      <alignment wrapText="1"/>
    </xf>
    <xf numFmtId="0" fontId="7" fillId="5" borderId="12" xfId="0" applyFont="1" applyFill="1" applyBorder="1" applyAlignment="1">
      <alignment horizontal="left" wrapText="1"/>
    </xf>
    <xf numFmtId="0" fontId="19" fillId="0" borderId="0" xfId="1" applyNumberFormat="1" applyFont="1" applyBorder="1" applyAlignment="1">
      <alignment horizontal="left" wrapText="1" indent="1"/>
    </xf>
    <xf numFmtId="169" fontId="19" fillId="0" borderId="0" xfId="1" applyNumberFormat="1" applyFont="1" applyBorder="1" applyAlignment="1">
      <alignment horizontal="right" vertical="center" wrapText="1"/>
    </xf>
    <xf numFmtId="169" fontId="7" fillId="5" borderId="12" xfId="0" applyNumberFormat="1" applyFont="1" applyFill="1" applyBorder="1" applyAlignment="1">
      <alignment horizontal="right" vertical="center" wrapText="1"/>
    </xf>
    <xf numFmtId="169" fontId="7" fillId="5" borderId="12" xfId="0" applyNumberFormat="1" applyFont="1" applyFill="1" applyBorder="1" applyAlignment="1">
      <alignment horizontal="center" wrapText="1"/>
    </xf>
    <xf numFmtId="0" fontId="7" fillId="5" borderId="12" xfId="0" applyFont="1" applyFill="1" applyBorder="1" applyAlignment="1">
      <alignment horizontal="left" vertical="center" wrapText="1"/>
    </xf>
    <xf numFmtId="167" fontId="7" fillId="5" borderId="12" xfId="0" applyNumberFormat="1" applyFont="1" applyFill="1" applyBorder="1" applyAlignment="1">
      <alignment horizontal="right" vertical="center" wrapText="1"/>
    </xf>
    <xf numFmtId="167" fontId="19" fillId="4" borderId="0" xfId="0" quotePrefix="1" applyNumberFormat="1" applyFont="1" applyFill="1" applyAlignment="1">
      <alignment horizontal="center" vertical="center" wrapText="1"/>
    </xf>
    <xf numFmtId="167" fontId="7" fillId="3" borderId="0" xfId="0" applyNumberFormat="1" applyFont="1" applyFill="1" applyAlignment="1">
      <alignment horizontal="right" wrapText="1"/>
    </xf>
    <xf numFmtId="0" fontId="21" fillId="3" borderId="0" xfId="0" applyFont="1" applyFill="1" applyAlignment="1">
      <alignment horizontal="left" wrapText="1"/>
    </xf>
    <xf numFmtId="165" fontId="21" fillId="3" borderId="0" xfId="0" applyNumberFormat="1" applyFont="1" applyFill="1" applyAlignment="1">
      <alignment horizontal="right" wrapText="1"/>
    </xf>
    <xf numFmtId="0" fontId="19" fillId="3" borderId="0" xfId="0" applyFont="1" applyFill="1" applyAlignment="1">
      <alignment horizontal="left" wrapText="1"/>
    </xf>
    <xf numFmtId="165" fontId="19" fillId="3" borderId="0" xfId="0" applyNumberFormat="1" applyFont="1" applyFill="1" applyAlignment="1">
      <alignment horizontal="right" wrapText="1"/>
    </xf>
    <xf numFmtId="167" fontId="19" fillId="3" borderId="0" xfId="0" applyNumberFormat="1" applyFont="1" applyFill="1" applyAlignment="1">
      <alignment wrapText="1"/>
    </xf>
    <xf numFmtId="167" fontId="8" fillId="3" borderId="0" xfId="0" applyNumberFormat="1" applyFont="1" applyFill="1"/>
    <xf numFmtId="0" fontId="7" fillId="3" borderId="0" xfId="0" applyFont="1" applyFill="1" applyAlignment="1">
      <alignment horizontal="left" wrapText="1"/>
    </xf>
    <xf numFmtId="165" fontId="21" fillId="3" borderId="0" xfId="0" applyNumberFormat="1" applyFont="1" applyFill="1" applyAlignment="1">
      <alignment wrapText="1"/>
    </xf>
    <xf numFmtId="167" fontId="21" fillId="3" borderId="0" xfId="0" applyNumberFormat="1" applyFont="1" applyFill="1" applyAlignment="1">
      <alignment wrapText="1"/>
    </xf>
    <xf numFmtId="167" fontId="19" fillId="3" borderId="0" xfId="0" applyNumberFormat="1" applyFont="1" applyFill="1" applyAlignment="1">
      <alignment horizontal="right" wrapText="1"/>
    </xf>
    <xf numFmtId="166" fontId="7" fillId="3" borderId="0" xfId="0" applyNumberFormat="1" applyFont="1" applyFill="1" applyAlignment="1">
      <alignment horizontal="right" wrapText="1"/>
    </xf>
    <xf numFmtId="0" fontId="19" fillId="3" borderId="0" xfId="0" applyFont="1" applyFill="1"/>
    <xf numFmtId="0" fontId="7" fillId="0" borderId="0" xfId="0" applyFont="1" applyAlignment="1">
      <alignment horizontal="left" vertical="center" wrapText="1"/>
    </xf>
    <xf numFmtId="0" fontId="19" fillId="4" borderId="0" xfId="0" applyFont="1" applyFill="1" applyAlignment="1">
      <alignment horizontal="left" wrapText="1"/>
    </xf>
    <xf numFmtId="0" fontId="19" fillId="0" borderId="0" xfId="0" applyFont="1" applyAlignment="1">
      <alignment horizontal="left" wrapText="1" indent="1"/>
    </xf>
    <xf numFmtId="0" fontId="19" fillId="4" borderId="0" xfId="0" applyFont="1" applyFill="1" applyAlignment="1">
      <alignment horizontal="left" wrapText="1" indent="1"/>
    </xf>
    <xf numFmtId="0" fontId="12" fillId="2" borderId="1" xfId="0" applyFont="1" applyFill="1" applyBorder="1" applyAlignment="1">
      <alignment horizontal="right"/>
    </xf>
    <xf numFmtId="171" fontId="19" fillId="0" borderId="0" xfId="1" applyNumberFormat="1" applyFont="1" applyFill="1" applyAlignment="1">
      <alignment horizontal="left" wrapText="1"/>
    </xf>
    <xf numFmtId="169" fontId="19" fillId="0" borderId="0" xfId="1" applyNumberFormat="1" applyFont="1" applyFill="1" applyAlignment="1">
      <alignment horizontal="center" wrapText="1"/>
    </xf>
    <xf numFmtId="167" fontId="19" fillId="0" borderId="0" xfId="0" applyNumberFormat="1" applyFont="1" applyAlignment="1">
      <alignment horizontal="center" wrapText="1"/>
    </xf>
    <xf numFmtId="0" fontId="12" fillId="0" borderId="0" xfId="0" applyFont="1"/>
    <xf numFmtId="0" fontId="12" fillId="0" borderId="0" xfId="0" applyFont="1" applyAlignment="1">
      <alignment horizontal="left" wrapText="1"/>
    </xf>
    <xf numFmtId="0" fontId="7" fillId="0" borderId="0" xfId="0" applyFont="1" applyAlignment="1">
      <alignment horizontal="left" wrapText="1"/>
    </xf>
    <xf numFmtId="174" fontId="8" fillId="0" borderId="0" xfId="0" applyNumberFormat="1" applyFont="1"/>
    <xf numFmtId="0" fontId="27" fillId="3" borderId="0" xfId="0" applyFont="1" applyFill="1"/>
    <xf numFmtId="169" fontId="19" fillId="0" borderId="0" xfId="1" applyNumberFormat="1" applyFont="1" applyFill="1" applyBorder="1" applyAlignment="1">
      <alignment horizontal="right" vertical="center" wrapText="1"/>
    </xf>
    <xf numFmtId="0" fontId="12" fillId="2" borderId="1" xfId="0" applyFont="1" applyFill="1" applyBorder="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21" fillId="0" borderId="0" xfId="0" applyFont="1" applyAlignment="1">
      <alignment horizontal="left" vertical="center" wrapText="1"/>
    </xf>
    <xf numFmtId="9" fontId="19" fillId="0" borderId="0" xfId="0" applyNumberFormat="1" applyFont="1" applyAlignment="1">
      <alignment horizontal="left" vertical="center" wrapText="1"/>
    </xf>
    <xf numFmtId="9" fontId="19" fillId="0" borderId="0" xfId="0" applyNumberFormat="1" applyFont="1" applyAlignment="1">
      <alignment horizontal="left" wrapText="1"/>
    </xf>
    <xf numFmtId="44" fontId="19" fillId="0" borderId="0" xfId="11" applyFont="1" applyAlignment="1">
      <alignment wrapText="1"/>
    </xf>
    <xf numFmtId="175" fontId="19" fillId="0" borderId="0" xfId="11" applyNumberFormat="1" applyFont="1" applyAlignment="1">
      <alignment wrapText="1"/>
    </xf>
    <xf numFmtId="0" fontId="7" fillId="7" borderId="3" xfId="0" applyFont="1" applyFill="1" applyBorder="1" applyAlignment="1">
      <alignment horizontal="center" vertical="center" wrapText="1"/>
    </xf>
    <xf numFmtId="0" fontId="19" fillId="0" borderId="0" xfId="0" quotePrefix="1" applyFont="1" applyAlignment="1">
      <alignment horizontal="center" vertical="center" wrapText="1"/>
    </xf>
    <xf numFmtId="0" fontId="19" fillId="4" borderId="0" xfId="0" quotePrefix="1" applyFont="1" applyFill="1" applyAlignment="1">
      <alignment horizontal="center" vertical="center" wrapText="1"/>
    </xf>
    <xf numFmtId="0" fontId="19" fillId="3" borderId="0" xfId="0" quotePrefix="1" applyFont="1" applyFill="1" applyAlignment="1">
      <alignment horizontal="center" vertical="center" wrapText="1"/>
    </xf>
    <xf numFmtId="176" fontId="8" fillId="0" borderId="0" xfId="1" applyNumberFormat="1" applyFont="1"/>
    <xf numFmtId="168" fontId="19" fillId="3" borderId="0" xfId="1" applyNumberFormat="1" applyFont="1" applyFill="1" applyAlignment="1">
      <alignment horizontal="right" vertical="center" wrapText="1"/>
    </xf>
    <xf numFmtId="169" fontId="8" fillId="0" borderId="0" xfId="0" applyNumberFormat="1" applyFont="1"/>
    <xf numFmtId="165" fontId="19" fillId="4" borderId="0" xfId="0" quotePrefix="1" applyNumberFormat="1" applyFont="1" applyFill="1" applyAlignment="1">
      <alignment horizontal="center" vertical="center" wrapText="1"/>
    </xf>
    <xf numFmtId="165" fontId="19" fillId="0" borderId="0" xfId="0" quotePrefix="1" applyNumberFormat="1" applyFont="1" applyAlignment="1">
      <alignment horizontal="center" vertical="center" wrapText="1"/>
    </xf>
    <xf numFmtId="0" fontId="20" fillId="0" borderId="0" xfId="0" applyFont="1" applyAlignment="1">
      <alignment vertical="center"/>
    </xf>
    <xf numFmtId="0" fontId="19" fillId="0" borderId="0" xfId="0" applyFont="1" applyAlignment="1">
      <alignment vertical="center"/>
    </xf>
    <xf numFmtId="0" fontId="7" fillId="2" borderId="1" xfId="0" quotePrefix="1" applyFont="1" applyFill="1" applyBorder="1" applyAlignment="1">
      <alignment horizontal="right" vertical="center" wrapText="1"/>
    </xf>
    <xf numFmtId="167" fontId="19" fillId="0" borderId="0" xfId="0" applyNumberFormat="1" applyFont="1" applyAlignment="1">
      <alignment vertical="center" wrapText="1"/>
    </xf>
    <xf numFmtId="0" fontId="7" fillId="5" borderId="0" xfId="0" applyFont="1" applyFill="1" applyAlignment="1">
      <alignment horizontal="left" vertical="center" wrapText="1"/>
    </xf>
    <xf numFmtId="166" fontId="7" fillId="5" borderId="0" xfId="2" applyNumberFormat="1" applyFont="1" applyFill="1" applyBorder="1" applyAlignment="1">
      <alignment horizontal="right" vertical="center" wrapText="1"/>
    </xf>
    <xf numFmtId="0" fontId="12" fillId="6" borderId="1" xfId="0" applyFont="1" applyFill="1" applyBorder="1" applyAlignment="1">
      <alignment vertical="center"/>
    </xf>
    <xf numFmtId="0" fontId="13" fillId="6" borderId="1" xfId="0" applyFont="1" applyFill="1" applyBorder="1" applyAlignment="1">
      <alignment vertical="center"/>
    </xf>
    <xf numFmtId="0" fontId="8" fillId="0" borderId="0" xfId="0" applyFont="1" applyAlignment="1">
      <alignment vertical="center"/>
    </xf>
    <xf numFmtId="169" fontId="19" fillId="0" borderId="0" xfId="0" applyNumberFormat="1" applyFont="1" applyAlignment="1">
      <alignment horizontal="right" vertical="center" wrapText="1"/>
    </xf>
    <xf numFmtId="169" fontId="21" fillId="0" borderId="0" xfId="0" applyNumberFormat="1" applyFont="1" applyAlignment="1">
      <alignment horizontal="right" vertical="center" wrapText="1"/>
    </xf>
    <xf numFmtId="0" fontId="8" fillId="3" borderId="0" xfId="0" applyFont="1" applyFill="1" applyAlignment="1">
      <alignment vertical="center"/>
    </xf>
    <xf numFmtId="167" fontId="8" fillId="0" borderId="0" xfId="0" applyNumberFormat="1" applyFont="1" applyAlignment="1">
      <alignment vertical="center"/>
    </xf>
    <xf numFmtId="165" fontId="8" fillId="0" borderId="0" xfId="0" applyNumberFormat="1" applyFont="1" applyAlignment="1">
      <alignment vertical="center"/>
    </xf>
    <xf numFmtId="164" fontId="8" fillId="0" borderId="0" xfId="0" applyNumberFormat="1" applyFont="1" applyAlignment="1">
      <alignment vertical="center"/>
    </xf>
    <xf numFmtId="168" fontId="0" fillId="0" borderId="0" xfId="1" applyNumberFormat="1" applyFont="1" applyAlignment="1">
      <alignment vertical="center"/>
    </xf>
    <xf numFmtId="0" fontId="19" fillId="0" borderId="0" xfId="0" applyFont="1" applyAlignment="1">
      <alignment horizontal="left" vertical="center"/>
    </xf>
    <xf numFmtId="168" fontId="17" fillId="0" borderId="0" xfId="0" applyNumberFormat="1" applyFont="1" applyAlignment="1">
      <alignment vertical="center"/>
    </xf>
    <xf numFmtId="168" fontId="8" fillId="0" borderId="0" xfId="0" applyNumberFormat="1" applyFont="1" applyAlignment="1">
      <alignment vertical="center"/>
    </xf>
    <xf numFmtId="173" fontId="0" fillId="0" borderId="0" xfId="1" applyNumberFormat="1" applyFont="1" applyAlignment="1">
      <alignment vertical="center"/>
    </xf>
    <xf numFmtId="168" fontId="0" fillId="0" borderId="0" xfId="1" applyNumberFormat="1" applyFont="1" applyBorder="1" applyAlignment="1">
      <alignment vertical="center"/>
    </xf>
    <xf numFmtId="0" fontId="19" fillId="0" borderId="0" xfId="0" applyFont="1" applyAlignment="1">
      <alignment vertical="center" wrapText="1"/>
    </xf>
    <xf numFmtId="0" fontId="25" fillId="0" borderId="0" xfId="0" applyFont="1" applyAlignment="1">
      <alignment horizontal="left" vertical="center"/>
    </xf>
    <xf numFmtId="167" fontId="20" fillId="0" borderId="0" xfId="0" applyNumberFormat="1" applyFont="1" applyAlignment="1">
      <alignment vertical="center"/>
    </xf>
    <xf numFmtId="14" fontId="7" fillId="2" borderId="1" xfId="0" quotePrefix="1" applyNumberFormat="1" applyFont="1" applyFill="1" applyBorder="1" applyAlignment="1">
      <alignment horizontal="left" vertical="center" wrapText="1"/>
    </xf>
    <xf numFmtId="0" fontId="12" fillId="5" borderId="0" xfId="0" applyFont="1" applyFill="1" applyAlignment="1">
      <alignment horizontal="left" vertical="center" wrapText="1"/>
    </xf>
    <xf numFmtId="169" fontId="12" fillId="5" borderId="0" xfId="0" applyNumberFormat="1" applyFont="1" applyFill="1" applyAlignment="1">
      <alignment horizontal="right" vertical="center" wrapText="1"/>
    </xf>
    <xf numFmtId="169" fontId="12" fillId="5" borderId="0" xfId="2" applyNumberFormat="1" applyFont="1" applyFill="1" applyBorder="1" applyAlignment="1">
      <alignment horizontal="right" vertical="center" wrapText="1"/>
    </xf>
    <xf numFmtId="169" fontId="19" fillId="0" borderId="0" xfId="0" applyNumberFormat="1" applyFont="1" applyAlignment="1">
      <alignment horizontal="right" vertical="center"/>
    </xf>
    <xf numFmtId="0" fontId="8" fillId="6" borderId="1" xfId="0" applyFont="1" applyFill="1" applyBorder="1" applyAlignment="1">
      <alignment vertical="center"/>
    </xf>
    <xf numFmtId="0" fontId="12" fillId="2" borderId="10" xfId="0" applyFont="1" applyFill="1" applyBorder="1" applyAlignment="1">
      <alignment vertical="center"/>
    </xf>
    <xf numFmtId="0" fontId="12" fillId="5" borderId="11" xfId="0" applyFont="1" applyFill="1" applyBorder="1" applyAlignment="1">
      <alignment horizontal="left" vertical="center"/>
    </xf>
    <xf numFmtId="3" fontId="12" fillId="5" borderId="11" xfId="2" applyNumberFormat="1" applyFont="1" applyFill="1" applyBorder="1" applyAlignment="1">
      <alignment horizontal="center" vertical="center"/>
    </xf>
    <xf numFmtId="0" fontId="12" fillId="5" borderId="0" xfId="0" applyFont="1" applyFill="1" applyAlignment="1">
      <alignment horizontal="left" vertical="center"/>
    </xf>
    <xf numFmtId="3" fontId="12" fillId="5" borderId="0" xfId="2" applyNumberFormat="1" applyFont="1" applyFill="1" applyBorder="1" applyAlignment="1">
      <alignment horizontal="center" vertical="center"/>
    </xf>
    <xf numFmtId="0" fontId="28" fillId="0" borderId="0" xfId="0" applyFont="1" applyAlignment="1">
      <alignment vertical="center"/>
    </xf>
    <xf numFmtId="0" fontId="19" fillId="0" borderId="0" xfId="0" applyFont="1" applyAlignment="1">
      <alignment horizontal="center" vertical="center"/>
    </xf>
    <xf numFmtId="165" fontId="19" fillId="0" borderId="0" xfId="0" applyNumberFormat="1" applyFont="1" applyAlignment="1">
      <alignment horizontal="center" vertical="center"/>
    </xf>
    <xf numFmtId="0" fontId="8" fillId="0" borderId="0" xfId="0" applyFont="1" applyAlignment="1">
      <alignment horizontal="left" vertical="center"/>
    </xf>
    <xf numFmtId="172" fontId="8" fillId="0" borderId="0" xfId="2" applyNumberFormat="1" applyFont="1" applyAlignment="1">
      <alignment vertical="center"/>
    </xf>
    <xf numFmtId="9" fontId="8" fillId="0" borderId="0" xfId="2" applyFont="1" applyAlignment="1">
      <alignment vertical="center"/>
    </xf>
    <xf numFmtId="4" fontId="19" fillId="0" borderId="0" xfId="0" quotePrefix="1" applyNumberFormat="1" applyFont="1" applyAlignment="1">
      <alignment horizontal="center" vertical="center" wrapText="1"/>
    </xf>
    <xf numFmtId="0" fontId="6" fillId="2" borderId="0" xfId="0" applyFont="1" applyFill="1" applyAlignment="1">
      <alignment vertical="center"/>
    </xf>
    <xf numFmtId="0" fontId="6" fillId="0" borderId="0" xfId="0" applyFont="1" applyAlignment="1">
      <alignment vertical="center"/>
    </xf>
    <xf numFmtId="169" fontId="12" fillId="5" borderId="0" xfId="0" applyNumberFormat="1" applyFont="1" applyFill="1" applyAlignment="1">
      <alignment horizontal="right" vertical="center"/>
    </xf>
    <xf numFmtId="169" fontId="19" fillId="4" borderId="0" xfId="0" applyNumberFormat="1" applyFont="1" applyFill="1" applyAlignment="1">
      <alignment horizontal="right" vertical="center"/>
    </xf>
    <xf numFmtId="169" fontId="7" fillId="3" borderId="0" xfId="0" applyNumberFormat="1" applyFont="1" applyFill="1" applyAlignment="1">
      <alignment horizontal="right" vertical="center" wrapText="1"/>
    </xf>
    <xf numFmtId="169" fontId="7" fillId="2" borderId="1" xfId="0" applyNumberFormat="1" applyFont="1" applyFill="1" applyBorder="1" applyAlignment="1">
      <alignment horizontal="right" vertical="center" wrapText="1"/>
    </xf>
    <xf numFmtId="169" fontId="21" fillId="0" borderId="0" xfId="0" applyNumberFormat="1" applyFont="1" applyAlignment="1">
      <alignment horizontal="right" vertical="center"/>
    </xf>
    <xf numFmtId="0" fontId="12" fillId="2" borderId="0" xfId="0" applyFont="1" applyFill="1" applyAlignment="1">
      <alignment horizontal="center"/>
    </xf>
    <xf numFmtId="14" fontId="7" fillId="2" borderId="0" xfId="0" quotePrefix="1" applyNumberFormat="1" applyFont="1" applyFill="1" applyAlignment="1">
      <alignment horizontal="center" wrapText="1"/>
    </xf>
    <xf numFmtId="0" fontId="12" fillId="2" borderId="13" xfId="0" applyFont="1" applyFill="1" applyBorder="1" applyAlignment="1">
      <alignment horizontal="center"/>
    </xf>
    <xf numFmtId="0" fontId="12" fillId="2" borderId="13" xfId="0" applyFont="1" applyFill="1" applyBorder="1" applyAlignment="1">
      <alignment horizontal="right"/>
    </xf>
    <xf numFmtId="168" fontId="19" fillId="4" borderId="0" xfId="1" applyNumberFormat="1" applyFont="1" applyFill="1" applyAlignment="1">
      <alignment horizontal="right" vertical="center"/>
    </xf>
    <xf numFmtId="0" fontId="7" fillId="5" borderId="13" xfId="0" applyFont="1" applyFill="1" applyBorder="1" applyAlignment="1">
      <alignment horizontal="left" wrapText="1"/>
    </xf>
    <xf numFmtId="168" fontId="12" fillId="5" borderId="13" xfId="1" applyNumberFormat="1" applyFont="1" applyFill="1" applyBorder="1" applyAlignment="1">
      <alignment horizontal="right" vertical="center"/>
    </xf>
    <xf numFmtId="3" fontId="19" fillId="3" borderId="0" xfId="0" applyNumberFormat="1" applyFont="1" applyFill="1" applyAlignment="1">
      <alignment horizontal="left" wrapText="1"/>
    </xf>
    <xf numFmtId="168" fontId="19" fillId="4" borderId="0" xfId="0" applyNumberFormat="1" applyFont="1" applyFill="1" applyAlignment="1">
      <alignment horizontal="right" vertical="center"/>
    </xf>
    <xf numFmtId="168" fontId="19" fillId="0" borderId="0" xfId="0" applyNumberFormat="1" applyFont="1" applyAlignment="1">
      <alignment horizontal="right" vertical="center"/>
    </xf>
    <xf numFmtId="169" fontId="19" fillId="0" borderId="0" xfId="0" quotePrefix="1" applyNumberFormat="1" applyFont="1" applyAlignment="1">
      <alignment horizontal="right" vertical="center" wrapText="1"/>
    </xf>
    <xf numFmtId="169" fontId="7" fillId="5" borderId="0" xfId="2" applyNumberFormat="1" applyFont="1" applyFill="1" applyBorder="1" applyAlignment="1">
      <alignment horizontal="right" vertical="center" wrapText="1"/>
    </xf>
    <xf numFmtId="169" fontId="7" fillId="5" borderId="12" xfId="0" applyNumberFormat="1" applyFont="1" applyFill="1" applyBorder="1" applyAlignment="1">
      <alignment horizontal="right" wrapText="1"/>
    </xf>
    <xf numFmtId="169" fontId="19" fillId="0" borderId="0" xfId="1" applyNumberFormat="1" applyFont="1" applyBorder="1" applyAlignment="1">
      <alignment horizontal="right" wrapText="1"/>
    </xf>
    <xf numFmtId="169" fontId="8" fillId="0" borderId="0" xfId="1" applyNumberFormat="1" applyFont="1" applyFill="1" applyAlignment="1">
      <alignment horizontal="right" vertical="center" wrapText="1"/>
    </xf>
    <xf numFmtId="169" fontId="8" fillId="0" borderId="0" xfId="1" applyNumberFormat="1" applyFont="1" applyFill="1" applyBorder="1" applyAlignment="1">
      <alignment horizontal="right" vertical="center" wrapText="1"/>
    </xf>
    <xf numFmtId="169" fontId="19" fillId="4" borderId="0" xfId="0" applyNumberFormat="1" applyFont="1" applyFill="1" applyAlignment="1">
      <alignment horizontal="right" vertical="center" wrapText="1"/>
    </xf>
    <xf numFmtId="168" fontId="0" fillId="0" borderId="0" xfId="0" applyNumberFormat="1"/>
    <xf numFmtId="168" fontId="19" fillId="0" borderId="0" xfId="1" applyNumberFormat="1" applyFont="1" applyFill="1" applyAlignment="1">
      <alignment horizontal="right" vertical="center"/>
    </xf>
    <xf numFmtId="0" fontId="19" fillId="0" borderId="13" xfId="0" applyFont="1" applyBorder="1" applyAlignment="1">
      <alignment horizontal="left" wrapText="1"/>
    </xf>
    <xf numFmtId="168" fontId="19" fillId="0" borderId="13" xfId="1" applyNumberFormat="1" applyFont="1" applyFill="1" applyBorder="1" applyAlignment="1">
      <alignment horizontal="right" vertical="center"/>
    </xf>
    <xf numFmtId="168" fontId="19" fillId="4" borderId="0" xfId="0" applyNumberFormat="1" applyFont="1" applyFill="1" applyAlignment="1">
      <alignment horizontal="right" wrapText="1"/>
    </xf>
    <xf numFmtId="168" fontId="30" fillId="0" borderId="0" xfId="1" applyNumberFormat="1" applyFont="1" applyAlignment="1">
      <alignment horizontal="right" vertical="center"/>
    </xf>
    <xf numFmtId="168" fontId="30" fillId="4" borderId="0" xfId="0" applyNumberFormat="1" applyFont="1" applyFill="1" applyAlignment="1">
      <alignment horizontal="right" vertical="center"/>
    </xf>
    <xf numFmtId="168" fontId="30" fillId="4" borderId="0" xfId="1" applyNumberFormat="1" applyFont="1" applyFill="1" applyAlignment="1">
      <alignment horizontal="right" vertical="center"/>
    </xf>
    <xf numFmtId="168" fontId="19" fillId="0" borderId="13" xfId="0" applyNumberFormat="1" applyFont="1" applyBorder="1" applyAlignment="1">
      <alignment horizontal="right" vertical="center"/>
    </xf>
    <xf numFmtId="178" fontId="8" fillId="0" borderId="0" xfId="0" applyNumberFormat="1" applyFont="1" applyAlignment="1">
      <alignment vertical="center"/>
    </xf>
    <xf numFmtId="165" fontId="19" fillId="0" borderId="0" xfId="0" applyNumberFormat="1" applyFont="1" applyAlignment="1">
      <alignment vertical="center" wrapText="1"/>
    </xf>
    <xf numFmtId="167" fontId="19" fillId="0" borderId="0" xfId="13" applyNumberFormat="1" applyFont="1" applyAlignment="1">
      <alignment horizontal="center" vertical="center"/>
    </xf>
    <xf numFmtId="177" fontId="19" fillId="0" borderId="0" xfId="13" applyNumberFormat="1" applyFont="1" applyAlignment="1">
      <alignment horizontal="center" vertical="center"/>
    </xf>
    <xf numFmtId="0" fontId="12" fillId="5" borderId="0" xfId="0" quotePrefix="1" applyFont="1" applyFill="1" applyAlignment="1">
      <alignment horizontal="center" vertical="center"/>
    </xf>
    <xf numFmtId="167" fontId="12" fillId="5" borderId="0" xfId="13" applyNumberFormat="1" applyFont="1" applyFill="1" applyAlignment="1">
      <alignment horizontal="center" vertical="center"/>
    </xf>
    <xf numFmtId="177" fontId="12" fillId="5" borderId="0" xfId="13" applyNumberFormat="1" applyFont="1" applyFill="1" applyAlignment="1">
      <alignment horizontal="center" vertical="center"/>
    </xf>
    <xf numFmtId="0" fontId="12" fillId="5" borderId="0" xfId="0" applyFont="1" applyFill="1" applyAlignment="1">
      <alignment horizontal="center" vertical="center"/>
    </xf>
    <xf numFmtId="167" fontId="12" fillId="5" borderId="0" xfId="0" applyNumberFormat="1" applyFont="1" applyFill="1" applyAlignment="1">
      <alignment horizontal="center" vertical="center"/>
    </xf>
    <xf numFmtId="167" fontId="12" fillId="5" borderId="0" xfId="13" quotePrefix="1" applyNumberFormat="1" applyFont="1" applyFill="1" applyAlignment="1">
      <alignment horizontal="center" vertical="center"/>
    </xf>
    <xf numFmtId="177" fontId="12" fillId="5" borderId="0" xfId="13" quotePrefix="1" applyNumberFormat="1" applyFont="1" applyFill="1" applyAlignment="1">
      <alignment horizontal="center" vertical="center"/>
    </xf>
    <xf numFmtId="0" fontId="13" fillId="5" borderId="0" xfId="0" applyFont="1" applyFill="1" applyAlignment="1">
      <alignment horizontal="left" vertical="center"/>
    </xf>
    <xf numFmtId="167" fontId="13" fillId="5" borderId="0" xfId="13" applyNumberFormat="1" applyFont="1" applyFill="1" applyAlignment="1">
      <alignment horizontal="center" vertical="center"/>
    </xf>
    <xf numFmtId="0" fontId="19" fillId="0" borderId="14" xfId="0" applyFont="1" applyBorder="1" applyAlignment="1">
      <alignment horizontal="left" vertical="center"/>
    </xf>
    <xf numFmtId="167" fontId="19" fillId="0" borderId="15" xfId="13" applyNumberFormat="1" applyFont="1" applyBorder="1" applyAlignment="1">
      <alignment horizontal="center" vertical="center"/>
    </xf>
    <xf numFmtId="167" fontId="19" fillId="0" borderId="16" xfId="13" applyNumberFormat="1" applyFont="1" applyBorder="1" applyAlignment="1">
      <alignment horizontal="center" vertical="center"/>
    </xf>
    <xf numFmtId="0" fontId="19" fillId="0" borderId="17" xfId="0" applyFont="1" applyBorder="1" applyAlignment="1">
      <alignment horizontal="left" vertical="center"/>
    </xf>
    <xf numFmtId="167" fontId="19" fillId="0" borderId="18" xfId="13" applyNumberFormat="1" applyFont="1" applyBorder="1" applyAlignment="1">
      <alignment horizontal="center" vertical="center"/>
    </xf>
    <xf numFmtId="167" fontId="19" fillId="0" borderId="19" xfId="13" applyNumberFormat="1" applyFont="1" applyBorder="1" applyAlignment="1">
      <alignment horizontal="center" vertical="center"/>
    </xf>
    <xf numFmtId="0" fontId="19" fillId="0" borderId="20" xfId="0" applyFont="1" applyBorder="1" applyAlignment="1">
      <alignment horizontal="left" vertical="center"/>
    </xf>
    <xf numFmtId="167" fontId="19" fillId="0" borderId="0" xfId="13" applyNumberFormat="1" applyFont="1" applyBorder="1" applyAlignment="1">
      <alignment horizontal="center" vertical="center"/>
    </xf>
    <xf numFmtId="167" fontId="19" fillId="0" borderId="21" xfId="13" applyNumberFormat="1" applyFont="1" applyBorder="1" applyAlignment="1">
      <alignment horizontal="center" vertical="center"/>
    </xf>
    <xf numFmtId="9" fontId="19" fillId="0" borderId="15" xfId="2" applyFont="1" applyFill="1" applyBorder="1" applyAlignment="1">
      <alignment horizontal="center" vertical="center"/>
    </xf>
    <xf numFmtId="9" fontId="19" fillId="0" borderId="16" xfId="2" applyFont="1" applyFill="1" applyBorder="1" applyAlignment="1">
      <alignment horizontal="center" vertical="center"/>
    </xf>
    <xf numFmtId="9" fontId="19" fillId="0" borderId="0" xfId="2" applyFont="1" applyFill="1" applyBorder="1" applyAlignment="1">
      <alignment horizontal="center" vertical="center"/>
    </xf>
    <xf numFmtId="9" fontId="19" fillId="0" borderId="21" xfId="2" applyFont="1" applyFill="1" applyBorder="1" applyAlignment="1">
      <alignment horizontal="center" vertical="center"/>
    </xf>
    <xf numFmtId="9" fontId="19" fillId="0" borderId="18" xfId="2" applyFont="1" applyFill="1" applyBorder="1" applyAlignment="1">
      <alignment horizontal="center" vertical="center"/>
    </xf>
    <xf numFmtId="9" fontId="19" fillId="0" borderId="19" xfId="2" applyFont="1" applyFill="1" applyBorder="1" applyAlignment="1">
      <alignment horizontal="center" vertical="center"/>
    </xf>
    <xf numFmtId="9" fontId="19" fillId="0" borderId="0" xfId="2" applyFont="1" applyFill="1" applyAlignment="1">
      <alignment horizontal="center" vertical="center"/>
    </xf>
    <xf numFmtId="169" fontId="19" fillId="3" borderId="0" xfId="1" quotePrefix="1" applyNumberFormat="1" applyFont="1" applyFill="1" applyAlignment="1">
      <alignment horizontal="right" vertical="center" wrapText="1"/>
    </xf>
    <xf numFmtId="167" fontId="8" fillId="0" borderId="0" xfId="0" applyNumberFormat="1" applyFont="1" applyAlignment="1">
      <alignment horizontal="center" vertical="center"/>
    </xf>
    <xf numFmtId="0" fontId="7" fillId="2" borderId="10" xfId="0" applyFont="1" applyFill="1" applyBorder="1" applyAlignment="1">
      <alignment horizontal="center" vertical="center" wrapText="1"/>
    </xf>
    <xf numFmtId="0" fontId="35" fillId="0" borderId="0" xfId="0" applyFont="1"/>
    <xf numFmtId="0" fontId="35" fillId="0" borderId="0" xfId="0" applyFont="1" applyAlignment="1">
      <alignment horizontal="center"/>
    </xf>
    <xf numFmtId="167" fontId="35" fillId="0" borderId="0" xfId="0" applyNumberFormat="1" applyFont="1"/>
    <xf numFmtId="0" fontId="36" fillId="2" borderId="0" xfId="0" applyFont="1" applyFill="1"/>
    <xf numFmtId="0" fontId="36" fillId="2" borderId="0" xfId="0" applyFont="1" applyFill="1" applyAlignment="1">
      <alignment horizontal="center"/>
    </xf>
    <xf numFmtId="0" fontId="36" fillId="5" borderId="0" xfId="0" applyFont="1" applyFill="1"/>
    <xf numFmtId="0" fontId="36" fillId="5" borderId="0" xfId="0" applyFont="1" applyFill="1" applyAlignment="1">
      <alignment horizontal="center"/>
    </xf>
    <xf numFmtId="167" fontId="36" fillId="5" borderId="0" xfId="0" applyNumberFormat="1" applyFont="1" applyFill="1" applyAlignment="1">
      <alignment horizontal="center"/>
    </xf>
    <xf numFmtId="0" fontId="36" fillId="6" borderId="0" xfId="0" applyFont="1" applyFill="1"/>
    <xf numFmtId="0" fontId="36" fillId="6" borderId="0" xfId="0" applyFont="1" applyFill="1" applyAlignment="1">
      <alignment horizontal="center"/>
    </xf>
    <xf numFmtId="167" fontId="36" fillId="6" borderId="0" xfId="0" applyNumberFormat="1" applyFont="1" applyFill="1" applyAlignment="1">
      <alignment horizontal="center"/>
    </xf>
    <xf numFmtId="0" fontId="37" fillId="0" borderId="0" xfId="0" applyFont="1" applyAlignment="1">
      <alignment horizontal="left" indent="1"/>
    </xf>
    <xf numFmtId="0" fontId="37" fillId="0" borderId="0" xfId="0" applyFont="1" applyAlignment="1">
      <alignment horizontal="center"/>
    </xf>
    <xf numFmtId="167" fontId="37" fillId="0" borderId="0" xfId="0" applyNumberFormat="1" applyFont="1" applyAlignment="1">
      <alignment horizontal="center"/>
    </xf>
    <xf numFmtId="0" fontId="35" fillId="0" borderId="0" xfId="0" applyFont="1" applyAlignment="1">
      <alignment horizontal="left" indent="2"/>
    </xf>
    <xf numFmtId="167" fontId="35" fillId="0" borderId="0" xfId="0" applyNumberFormat="1" applyFont="1" applyAlignment="1">
      <alignment horizontal="center"/>
    </xf>
    <xf numFmtId="0" fontId="35" fillId="0" borderId="0" xfId="0" quotePrefix="1" applyFont="1" applyAlignment="1">
      <alignment horizontal="left" indent="2"/>
    </xf>
    <xf numFmtId="0" fontId="35" fillId="0" borderId="0" xfId="0" quotePrefix="1" applyFont="1" applyAlignment="1">
      <alignment horizontal="center"/>
    </xf>
    <xf numFmtId="0" fontId="38" fillId="0" borderId="0" xfId="0" applyFont="1" applyAlignment="1">
      <alignment horizontal="center"/>
    </xf>
    <xf numFmtId="0" fontId="35" fillId="0" borderId="18" xfId="0" applyFont="1" applyBorder="1" applyAlignment="1">
      <alignment horizontal="left" indent="2"/>
    </xf>
    <xf numFmtId="0" fontId="35" fillId="0" borderId="18" xfId="0" applyFont="1" applyBorder="1" applyAlignment="1">
      <alignment horizontal="center"/>
    </xf>
    <xf numFmtId="167" fontId="35" fillId="0" borderId="18" xfId="0" applyNumberFormat="1" applyFont="1" applyBorder="1" applyAlignment="1">
      <alignment horizontal="center"/>
    </xf>
    <xf numFmtId="166" fontId="35" fillId="0" borderId="0" xfId="2" applyNumberFormat="1" applyFont="1"/>
    <xf numFmtId="9" fontId="35" fillId="0" borderId="0" xfId="2" applyFont="1"/>
    <xf numFmtId="167" fontId="34" fillId="0" borderId="0" xfId="0" applyNumberFormat="1" applyFont="1" applyAlignment="1">
      <alignment horizontal="center" wrapText="1"/>
    </xf>
    <xf numFmtId="0" fontId="21" fillId="0" borderId="0" xfId="0" applyFont="1"/>
    <xf numFmtId="0" fontId="7" fillId="2" borderId="0" xfId="0" applyFont="1" applyFill="1" applyAlignment="1">
      <alignment horizontal="left" vertical="center" wrapText="1"/>
    </xf>
    <xf numFmtId="0" fontId="7" fillId="2" borderId="0" xfId="0" applyFont="1" applyFill="1" applyAlignment="1">
      <alignment horizontal="right" vertical="center" wrapText="1"/>
    </xf>
    <xf numFmtId="0" fontId="39" fillId="2" borderId="0" xfId="0" applyFont="1" applyFill="1"/>
    <xf numFmtId="0" fontId="39" fillId="2" borderId="0" xfId="0" applyFont="1" applyFill="1" applyAlignment="1">
      <alignment horizontal="center"/>
    </xf>
    <xf numFmtId="0" fontId="7" fillId="2" borderId="18" xfId="0" applyFont="1" applyFill="1" applyBorder="1" applyAlignment="1">
      <alignment horizontal="left" vertical="center" wrapText="1"/>
    </xf>
    <xf numFmtId="0" fontId="7" fillId="2" borderId="18" xfId="0" applyFont="1" applyFill="1" applyBorder="1" applyAlignment="1">
      <alignment horizontal="right" vertical="center" wrapText="1"/>
    </xf>
    <xf numFmtId="9" fontId="35" fillId="0" borderId="0" xfId="0" applyNumberFormat="1" applyFont="1"/>
    <xf numFmtId="0" fontId="0" fillId="0" borderId="18" xfId="0" applyBorder="1"/>
    <xf numFmtId="0" fontId="12" fillId="2" borderId="22" xfId="0" applyFont="1" applyFill="1" applyBorder="1" applyAlignment="1">
      <alignment vertical="center"/>
    </xf>
    <xf numFmtId="0" fontId="12" fillId="2" borderId="22" xfId="0" applyFont="1" applyFill="1" applyBorder="1" applyAlignment="1">
      <alignment horizontal="center" vertical="center"/>
    </xf>
    <xf numFmtId="0" fontId="12" fillId="5" borderId="12" xfId="0" applyFont="1" applyFill="1" applyBorder="1" applyAlignment="1">
      <alignment vertical="center"/>
    </xf>
    <xf numFmtId="0" fontId="13" fillId="5" borderId="12" xfId="0" applyFont="1" applyFill="1" applyBorder="1" applyAlignment="1">
      <alignment vertical="center"/>
    </xf>
    <xf numFmtId="168" fontId="13" fillId="5" borderId="12" xfId="1" applyNumberFormat="1" applyFont="1" applyFill="1" applyBorder="1" applyAlignment="1">
      <alignment vertical="center"/>
    </xf>
    <xf numFmtId="168" fontId="8" fillId="0" borderId="0" xfId="1" applyNumberFormat="1" applyFont="1" applyAlignment="1">
      <alignment vertical="center"/>
    </xf>
    <xf numFmtId="177" fontId="19" fillId="0" borderId="0" xfId="0" applyNumberFormat="1" applyFont="1" applyAlignment="1">
      <alignment horizontal="center" vertical="center" wrapText="1"/>
    </xf>
    <xf numFmtId="0" fontId="7" fillId="5" borderId="12" xfId="0" applyFont="1" applyFill="1" applyBorder="1" applyAlignment="1">
      <alignment horizontal="center" vertical="center" wrapText="1"/>
    </xf>
    <xf numFmtId="10" fontId="7" fillId="5" borderId="12" xfId="0" applyNumberFormat="1" applyFont="1" applyFill="1" applyBorder="1" applyAlignment="1">
      <alignment horizontal="center" vertical="center" wrapText="1"/>
    </xf>
    <xf numFmtId="167" fontId="7" fillId="5" borderId="12" xfId="0" applyNumberFormat="1" applyFont="1" applyFill="1" applyBorder="1" applyAlignment="1">
      <alignment horizontal="center" vertical="center" wrapText="1"/>
    </xf>
    <xf numFmtId="0" fontId="21" fillId="8" borderId="5" xfId="0" applyFont="1" applyFill="1" applyBorder="1" applyAlignment="1">
      <alignment horizontal="center" vertical="center" wrapText="1"/>
    </xf>
    <xf numFmtId="0" fontId="19" fillId="8" borderId="0" xfId="0" applyFont="1" applyFill="1" applyAlignment="1">
      <alignment horizontal="center" vertical="center" wrapText="1"/>
    </xf>
    <xf numFmtId="0" fontId="19" fillId="8" borderId="0" xfId="0" quotePrefix="1" applyFont="1" applyFill="1" applyAlignment="1">
      <alignment horizontal="center" vertical="center" wrapText="1"/>
    </xf>
    <xf numFmtId="4" fontId="19" fillId="8" borderId="0" xfId="0" quotePrefix="1" applyNumberFormat="1" applyFont="1" applyFill="1" applyAlignment="1">
      <alignment horizontal="center" vertical="center" wrapText="1"/>
    </xf>
    <xf numFmtId="4" fontId="21" fillId="8" borderId="6" xfId="0" quotePrefix="1" applyNumberFormat="1" applyFont="1" applyFill="1" applyBorder="1" applyAlignment="1">
      <alignment horizontal="center" vertical="center" wrapText="1"/>
    </xf>
    <xf numFmtId="4" fontId="21" fillId="0" borderId="6" xfId="0" quotePrefix="1" applyNumberFormat="1" applyFont="1" applyBorder="1" applyAlignment="1">
      <alignment horizontal="center" vertical="center" wrapText="1"/>
    </xf>
    <xf numFmtId="0" fontId="21" fillId="8" borderId="7"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19" fillId="8" borderId="8" xfId="0" quotePrefix="1" applyFont="1" applyFill="1" applyBorder="1" applyAlignment="1">
      <alignment horizontal="center" vertical="center" wrapText="1"/>
    </xf>
    <xf numFmtId="4" fontId="19" fillId="8" borderId="8" xfId="0" quotePrefix="1" applyNumberFormat="1" applyFont="1" applyFill="1" applyBorder="1" applyAlignment="1">
      <alignment horizontal="center" vertical="center" wrapText="1"/>
    </xf>
    <xf numFmtId="4" fontId="21" fillId="8" borderId="9" xfId="0" quotePrefix="1" applyNumberFormat="1" applyFont="1" applyFill="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left" wrapText="1"/>
    </xf>
    <xf numFmtId="14" fontId="7" fillId="2" borderId="13" xfId="0" quotePrefix="1" applyNumberFormat="1" applyFont="1" applyFill="1" applyBorder="1" applyAlignment="1">
      <alignment horizontal="center" wrapText="1"/>
    </xf>
    <xf numFmtId="0" fontId="12" fillId="2" borderId="13" xfId="0" applyFont="1" applyFill="1" applyBorder="1" applyAlignment="1">
      <alignment horizontal="center"/>
    </xf>
  </cellXfs>
  <cellStyles count="14">
    <cellStyle name="?餡_x000c_k?_x000d_^黇_x0001_??_x0007__x0001__x0001_" xfId="5" xr:uid="{C64E064B-485F-4E9B-923F-BB966C35281B}"/>
    <cellStyle name="?餡_x000c_k?_x000d_^黇_x0001_??_x0007__x0001__x0001_ 2" xfId="6" xr:uid="{ECF3D20F-74B9-43A6-BD01-91810238FE11}"/>
    <cellStyle name="Comma" xfId="1" builtinId="3"/>
    <cellStyle name="Currency" xfId="11" builtinId="4"/>
    <cellStyle name="Normal" xfId="0" builtinId="0"/>
    <cellStyle name="Normal 11 5 4" xfId="8" xr:uid="{C8D25CB3-9CB0-4B91-83B0-F784C21434A5}"/>
    <cellStyle name="Normal 13" xfId="9" xr:uid="{30C13446-077B-413F-9CC6-ACC403079254}"/>
    <cellStyle name="Normal 2" xfId="3" xr:uid="{E5943EE4-AC6F-445F-B86B-8BD26E5996FC}"/>
    <cellStyle name="Percent" xfId="2" builtinId="5"/>
    <cellStyle name="Separador de milhares 10" xfId="7" xr:uid="{125EA90E-0CC7-4BFB-B166-743967E78F7D}"/>
    <cellStyle name="Separador de milhares 18" xfId="4" xr:uid="{D7315CF5-1EEB-4506-A7AD-AB8CD19F8D14}"/>
    <cellStyle name="Vírgula 10" xfId="12" xr:uid="{24ECA6C9-C669-4546-8A0E-2E6098BA0A83}"/>
    <cellStyle name="Vírgula 2" xfId="10" xr:uid="{A77FD796-4F22-48E6-832E-E6AC1AAA4EAC}"/>
    <cellStyle name="Vírgula 2 2" xfId="13" xr:uid="{E4C2451C-0B48-42FE-842D-D00B58011E9E}"/>
  </cellStyles>
  <dxfs count="0"/>
  <tableStyles count="0" defaultTableStyle="TableStyleMedium2" defaultPivotStyle="PivotStyleLight16"/>
  <colors>
    <mruColors>
      <color rgb="FFF2F2F2"/>
      <color rgb="FF26395F"/>
      <color rgb="FF1E4173"/>
      <color rgb="FFEC622A"/>
      <color rgb="FF5B00C2"/>
      <color rgb="FF5979F2"/>
      <color rgb="FF3980FF"/>
      <color rgb="FF0081FF"/>
      <color rgb="FFFE6F03"/>
      <color rgb="FF3465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Indebtedness!$C$23</c:f>
              <c:strCache>
                <c:ptCount val="1"/>
                <c:pt idx="0">
                  <c:v>Consolidated 
Amortization</c:v>
                </c:pt>
              </c:strCache>
            </c:strRef>
          </c:tx>
          <c:spPr>
            <a:solidFill>
              <a:srgbClr val="26395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Indebtedness!$B$24:$B$35</c:f>
              <c:strCache>
                <c:ptCount val="12"/>
                <c:pt idx="0">
                  <c:v>2023 </c:v>
                </c:pt>
                <c:pt idx="1">
                  <c:v>2024 </c:v>
                </c:pt>
                <c:pt idx="2">
                  <c:v>2025 </c:v>
                </c:pt>
                <c:pt idx="3">
                  <c:v>2026 </c:v>
                </c:pt>
                <c:pt idx="4">
                  <c:v>2027 </c:v>
                </c:pt>
                <c:pt idx="5">
                  <c:v>2028 </c:v>
                </c:pt>
                <c:pt idx="6">
                  <c:v>2029 </c:v>
                </c:pt>
                <c:pt idx="7">
                  <c:v>2030 </c:v>
                </c:pt>
                <c:pt idx="8">
                  <c:v>2031 </c:v>
                </c:pt>
                <c:pt idx="9">
                  <c:v>2032 </c:v>
                </c:pt>
                <c:pt idx="10">
                  <c:v>2033 </c:v>
                </c:pt>
                <c:pt idx="11">
                  <c:v>2034 +</c:v>
                </c:pt>
              </c:strCache>
            </c:strRef>
          </c:cat>
          <c:val>
            <c:numRef>
              <c:f>Indebtedness!$C$24:$C$35</c:f>
              <c:numCache>
                <c:formatCode>_-* #,##0.0_-;\-* #,##0.0_-;_-* "-"??_-;_-@_-</c:formatCode>
                <c:ptCount val="12"/>
                <c:pt idx="0">
                  <c:v>867.58083017509011</c:v>
                </c:pt>
                <c:pt idx="1">
                  <c:v>1592.3515264293667</c:v>
                </c:pt>
                <c:pt idx="2">
                  <c:v>1150.1248383300276</c:v>
                </c:pt>
                <c:pt idx="3">
                  <c:v>573.00773908718816</c:v>
                </c:pt>
                <c:pt idx="4">
                  <c:v>645.15886261483467</c:v>
                </c:pt>
                <c:pt idx="5">
                  <c:v>661.60676925479231</c:v>
                </c:pt>
                <c:pt idx="6">
                  <c:v>686.83290199917349</c:v>
                </c:pt>
                <c:pt idx="7">
                  <c:v>301.44583971616248</c:v>
                </c:pt>
                <c:pt idx="8">
                  <c:v>288.67958557809237</c:v>
                </c:pt>
                <c:pt idx="9">
                  <c:v>305.39026309474104</c:v>
                </c:pt>
                <c:pt idx="10">
                  <c:v>275.71434173131757</c:v>
                </c:pt>
                <c:pt idx="11">
                  <c:v>651.63300068665296</c:v>
                </c:pt>
              </c:numCache>
            </c:numRef>
          </c:val>
          <c:extLst>
            <c:ext xmlns:c16="http://schemas.microsoft.com/office/drawing/2014/chart" uri="{C3380CC4-5D6E-409C-BE32-E72D297353CC}">
              <c16:uniqueId val="{00000000-72B5-40F8-A715-E370344B4ED3}"/>
            </c:ext>
          </c:extLst>
        </c:ser>
        <c:ser>
          <c:idx val="1"/>
          <c:order val="1"/>
          <c:tx>
            <c:strRef>
              <c:f>Indebtedness!$D$23</c:f>
              <c:strCache>
                <c:ptCount val="1"/>
                <c:pt idx="0">
                  <c:v>Amortization
from JVs</c:v>
                </c:pt>
              </c:strCache>
            </c:strRef>
          </c:tx>
          <c:spPr>
            <a:solidFill>
              <a:srgbClr val="EC622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Indebtedness!$B$24:$B$35</c:f>
              <c:strCache>
                <c:ptCount val="12"/>
                <c:pt idx="0">
                  <c:v>2023 </c:v>
                </c:pt>
                <c:pt idx="1">
                  <c:v>2024 </c:v>
                </c:pt>
                <c:pt idx="2">
                  <c:v>2025 </c:v>
                </c:pt>
                <c:pt idx="3">
                  <c:v>2026 </c:v>
                </c:pt>
                <c:pt idx="4">
                  <c:v>2027 </c:v>
                </c:pt>
                <c:pt idx="5">
                  <c:v>2028 </c:v>
                </c:pt>
                <c:pt idx="6">
                  <c:v>2029 </c:v>
                </c:pt>
                <c:pt idx="7">
                  <c:v>2030 </c:v>
                </c:pt>
                <c:pt idx="8">
                  <c:v>2031 </c:v>
                </c:pt>
                <c:pt idx="9">
                  <c:v>2032 </c:v>
                </c:pt>
                <c:pt idx="10">
                  <c:v>2033 </c:v>
                </c:pt>
                <c:pt idx="11">
                  <c:v>2034 +</c:v>
                </c:pt>
              </c:strCache>
            </c:strRef>
          </c:cat>
          <c:val>
            <c:numRef>
              <c:f>Indebtedness!$D$24:$D$35</c:f>
              <c:numCache>
                <c:formatCode>_-* #,##0.0_-;\-* #,##0.0_-;_-* "-"??_-;_-@_-</c:formatCode>
                <c:ptCount val="12"/>
                <c:pt idx="0">
                  <c:v>88.596152260077318</c:v>
                </c:pt>
                <c:pt idx="1">
                  <c:v>72.16712405537173</c:v>
                </c:pt>
                <c:pt idx="2">
                  <c:v>73.285287184640083</c:v>
                </c:pt>
                <c:pt idx="3">
                  <c:v>77.126841379813925</c:v>
                </c:pt>
                <c:pt idx="4">
                  <c:v>81.265389097498527</c:v>
                </c:pt>
                <c:pt idx="5">
                  <c:v>84.897030206320977</c:v>
                </c:pt>
                <c:pt idx="6">
                  <c:v>89.256585383000683</c:v>
                </c:pt>
                <c:pt idx="7">
                  <c:v>95.060605746747413</c:v>
                </c:pt>
                <c:pt idx="8">
                  <c:v>101.59424639416125</c:v>
                </c:pt>
                <c:pt idx="9">
                  <c:v>97.202605241913631</c:v>
                </c:pt>
                <c:pt idx="10">
                  <c:v>95.123210484461538</c:v>
                </c:pt>
                <c:pt idx="11">
                  <c:v>265.68066305500031</c:v>
                </c:pt>
              </c:numCache>
            </c:numRef>
          </c:val>
          <c:extLst>
            <c:ext xmlns:c16="http://schemas.microsoft.com/office/drawing/2014/chart" uri="{C3380CC4-5D6E-409C-BE32-E72D297353CC}">
              <c16:uniqueId val="{00000001-72B5-40F8-A715-E370344B4ED3}"/>
            </c:ext>
          </c:extLst>
        </c:ser>
        <c:dLbls>
          <c:showLegendKey val="0"/>
          <c:showVal val="0"/>
          <c:showCatName val="0"/>
          <c:showSerName val="0"/>
          <c:showPercent val="0"/>
          <c:showBubbleSize val="0"/>
        </c:dLbls>
        <c:gapWidth val="14"/>
        <c:overlap val="100"/>
        <c:axId val="2013929695"/>
        <c:axId val="984397984"/>
      </c:barChart>
      <c:catAx>
        <c:axId val="2013929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en-US"/>
          </a:p>
        </c:txPr>
        <c:crossAx val="984397984"/>
        <c:crosses val="autoZero"/>
        <c:auto val="1"/>
        <c:lblAlgn val="ctr"/>
        <c:lblOffset val="100"/>
        <c:noMultiLvlLbl val="0"/>
      </c:catAx>
      <c:valAx>
        <c:axId val="984397984"/>
        <c:scaling>
          <c:orientation val="minMax"/>
        </c:scaling>
        <c:delete val="1"/>
        <c:axPos val="l"/>
        <c:numFmt formatCode="_-* #,##0.0_-;\-* #,##0.0_-;_-* &quot;-&quot;??_-;_-@_-" sourceLinked="1"/>
        <c:majorTickMark val="none"/>
        <c:minorTickMark val="none"/>
        <c:tickLblPos val="nextTo"/>
        <c:crossAx val="20139296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mn-l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54428</xdr:rowOff>
    </xdr:from>
    <xdr:to>
      <xdr:col>0</xdr:col>
      <xdr:colOff>2787650</xdr:colOff>
      <xdr:row>3</xdr:row>
      <xdr:rowOff>124278</xdr:rowOff>
    </xdr:to>
    <xdr:pic>
      <xdr:nvPicPr>
        <xdr:cNvPr id="7" name="Imagem 6">
          <a:extLst>
            <a:ext uri="{FF2B5EF4-FFF2-40B4-BE49-F238E27FC236}">
              <a16:creationId xmlns:a16="http://schemas.microsoft.com/office/drawing/2014/main" id="{CAE8A58C-FA6E-4970-A863-2165936409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927" t="41928" r="32843" b="44337"/>
        <a:stretch/>
      </xdr:blipFill>
      <xdr:spPr>
        <a:xfrm>
          <a:off x="285750" y="299357"/>
          <a:ext cx="2505075" cy="556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87472</xdr:rowOff>
    </xdr:to>
    <xdr:pic>
      <xdr:nvPicPr>
        <xdr:cNvPr id="7" name="Imagem 6">
          <a:extLst>
            <a:ext uri="{FF2B5EF4-FFF2-40B4-BE49-F238E27FC236}">
              <a16:creationId xmlns:a16="http://schemas.microsoft.com/office/drawing/2014/main" id="{6ED050D1-837F-4137-A657-027A7846BE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87472</xdr:rowOff>
    </xdr:to>
    <xdr:pic>
      <xdr:nvPicPr>
        <xdr:cNvPr id="4" name="Imagem 3">
          <a:extLst>
            <a:ext uri="{FF2B5EF4-FFF2-40B4-BE49-F238E27FC236}">
              <a16:creationId xmlns:a16="http://schemas.microsoft.com/office/drawing/2014/main" id="{FF2D8C8D-BCD5-41F6-AA90-044F770F0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92529</xdr:colOff>
      <xdr:row>3</xdr:row>
      <xdr:rowOff>87472</xdr:rowOff>
    </xdr:to>
    <xdr:pic>
      <xdr:nvPicPr>
        <xdr:cNvPr id="3" name="Imagem 3">
          <a:extLst>
            <a:ext uri="{FF2B5EF4-FFF2-40B4-BE49-F238E27FC236}">
              <a16:creationId xmlns:a16="http://schemas.microsoft.com/office/drawing/2014/main" id="{1E8D36F2-7925-4543-AB93-6E65059673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80975"/>
          <a:ext cx="1626054" cy="389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73479</xdr:colOff>
      <xdr:row>3</xdr:row>
      <xdr:rowOff>87472</xdr:rowOff>
    </xdr:to>
    <xdr:pic>
      <xdr:nvPicPr>
        <xdr:cNvPr id="7" name="Imagem 6">
          <a:extLst>
            <a:ext uri="{FF2B5EF4-FFF2-40B4-BE49-F238E27FC236}">
              <a16:creationId xmlns:a16="http://schemas.microsoft.com/office/drawing/2014/main" id="{CDE09CF0-CBCF-4441-A50B-A2743ABBDF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349704</xdr:colOff>
      <xdr:row>3</xdr:row>
      <xdr:rowOff>84297</xdr:rowOff>
    </xdr:to>
    <xdr:pic>
      <xdr:nvPicPr>
        <xdr:cNvPr id="5" name="Imagem 4">
          <a:extLst>
            <a:ext uri="{FF2B5EF4-FFF2-40B4-BE49-F238E27FC236}">
              <a16:creationId xmlns:a16="http://schemas.microsoft.com/office/drawing/2014/main" id="{21B22889-C126-41C5-8FEF-BA0A7B5F12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692729" cy="389097"/>
    <xdr:pic>
      <xdr:nvPicPr>
        <xdr:cNvPr id="2" name="Imagem 1">
          <a:extLst>
            <a:ext uri="{FF2B5EF4-FFF2-40B4-BE49-F238E27FC236}">
              <a16:creationId xmlns:a16="http://schemas.microsoft.com/office/drawing/2014/main" id="{FAFFD60D-AEAD-4040-A309-017FD4FEF3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81000" y="152400"/>
          <a:ext cx="1692729" cy="3890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254454</xdr:colOff>
      <xdr:row>3</xdr:row>
      <xdr:rowOff>84297</xdr:rowOff>
    </xdr:to>
    <xdr:pic>
      <xdr:nvPicPr>
        <xdr:cNvPr id="4" name="Imagem 3">
          <a:extLst>
            <a:ext uri="{FF2B5EF4-FFF2-40B4-BE49-F238E27FC236}">
              <a16:creationId xmlns:a16="http://schemas.microsoft.com/office/drawing/2014/main" id="{C2622181-8E14-4AF3-8B3E-3B23317A0C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87472</xdr:rowOff>
    </xdr:to>
    <xdr:pic>
      <xdr:nvPicPr>
        <xdr:cNvPr id="4" name="Imagem 3">
          <a:extLst>
            <a:ext uri="{FF2B5EF4-FFF2-40B4-BE49-F238E27FC236}">
              <a16:creationId xmlns:a16="http://schemas.microsoft.com/office/drawing/2014/main" id="{D78F8DF7-0124-42D7-9753-E8919B0E1B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5125" y="150813"/>
          <a:ext cx="1626054" cy="3890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301625</xdr:colOff>
      <xdr:row>20</xdr:row>
      <xdr:rowOff>0</xdr:rowOff>
    </xdr:from>
    <xdr:to>
      <xdr:col>9</xdr:col>
      <xdr:colOff>2380150</xdr:colOff>
      <xdr:row>37</xdr:row>
      <xdr:rowOff>82575</xdr:rowOff>
    </xdr:to>
    <xdr:graphicFrame macro="">
      <xdr:nvGraphicFramePr>
        <xdr:cNvPr id="7" name="Chart 6">
          <a:extLst>
            <a:ext uri="{FF2B5EF4-FFF2-40B4-BE49-F238E27FC236}">
              <a16:creationId xmlns:a16="http://schemas.microsoft.com/office/drawing/2014/main" id="{5230CADA-5E1B-4DFA-BCD8-91DBAF3C3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0</xdr:rowOff>
    </xdr:from>
    <xdr:to>
      <xdr:col>1</xdr:col>
      <xdr:colOff>1626054</xdr:colOff>
      <xdr:row>3</xdr:row>
      <xdr:rowOff>84573</xdr:rowOff>
    </xdr:to>
    <xdr:pic>
      <xdr:nvPicPr>
        <xdr:cNvPr id="4" name="Imagem 3">
          <a:extLst>
            <a:ext uri="{FF2B5EF4-FFF2-40B4-BE49-F238E27FC236}">
              <a16:creationId xmlns:a16="http://schemas.microsoft.com/office/drawing/2014/main" id="{4006F93D-0FC0-4F22-B72A-AC50096E21B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789" t="42008" r="32598" b="43989"/>
        <a:stretch/>
      </xdr:blipFill>
      <xdr:spPr>
        <a:xfrm>
          <a:off x="364435" y="149087"/>
          <a:ext cx="1626054" cy="3890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410029</xdr:colOff>
      <xdr:row>3</xdr:row>
      <xdr:rowOff>87748</xdr:rowOff>
    </xdr:to>
    <xdr:pic>
      <xdr:nvPicPr>
        <xdr:cNvPr id="2" name="Imagem 1">
          <a:extLst>
            <a:ext uri="{FF2B5EF4-FFF2-40B4-BE49-F238E27FC236}">
              <a16:creationId xmlns:a16="http://schemas.microsoft.com/office/drawing/2014/main" id="{4A042DDF-9E07-4EBA-818B-284E9EBC40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373"/>
        </a:xfrm>
        <a:prstGeom prst="rect">
          <a:avLst/>
        </a:prstGeom>
      </xdr:spPr>
    </xdr:pic>
    <xdr:clientData/>
  </xdr:twoCellAnchor>
  <xdr:twoCellAnchor>
    <xdr:from>
      <xdr:col>1</xdr:col>
      <xdr:colOff>200025</xdr:colOff>
      <xdr:row>7</xdr:row>
      <xdr:rowOff>28575</xdr:rowOff>
    </xdr:from>
    <xdr:to>
      <xdr:col>18</xdr:col>
      <xdr:colOff>285843</xdr:colOff>
      <xdr:row>29</xdr:row>
      <xdr:rowOff>12220</xdr:rowOff>
    </xdr:to>
    <xdr:grpSp>
      <xdr:nvGrpSpPr>
        <xdr:cNvPr id="3" name="Agrupar 2">
          <a:extLst>
            <a:ext uri="{FF2B5EF4-FFF2-40B4-BE49-F238E27FC236}">
              <a16:creationId xmlns:a16="http://schemas.microsoft.com/office/drawing/2014/main" id="{C1138EF2-AC57-4395-BE39-C006730CF572}"/>
            </a:ext>
          </a:extLst>
        </xdr:cNvPr>
        <xdr:cNvGrpSpPr/>
      </xdr:nvGrpSpPr>
      <xdr:grpSpPr>
        <a:xfrm>
          <a:off x="577850" y="1092200"/>
          <a:ext cx="10937968" cy="3336445"/>
          <a:chOff x="9525" y="990600"/>
          <a:chExt cx="10449018" cy="3330095"/>
        </a:xfrm>
      </xdr:grpSpPr>
      <xdr:sp macro="" textlink="">
        <xdr:nvSpPr>
          <xdr:cNvPr id="4" name="Rectangle 37">
            <a:extLst>
              <a:ext uri="{FF2B5EF4-FFF2-40B4-BE49-F238E27FC236}">
                <a16:creationId xmlns:a16="http://schemas.microsoft.com/office/drawing/2014/main" id="{4F7BA01C-08EB-079C-5A18-8896E96017F1}"/>
              </a:ext>
            </a:extLst>
          </xdr:cNvPr>
          <xdr:cNvSpPr/>
        </xdr:nvSpPr>
        <xdr:spPr>
          <a:xfrm>
            <a:off x="3494991" y="990600"/>
            <a:ext cx="937498" cy="422075"/>
          </a:xfrm>
          <a:prstGeom prst="rect">
            <a:avLst/>
          </a:prstGeom>
          <a:solidFill>
            <a:srgbClr val="EC622A"/>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b="1">
                <a:solidFill>
                  <a:srgbClr val="FEFFFE"/>
                </a:solidFill>
                <a:latin typeface="Aeonik" panose="020B0503030300000000" pitchFamily="34" charset="0"/>
              </a:rPr>
              <a:t>Omega Energia</a:t>
            </a:r>
          </a:p>
        </xdr:txBody>
      </xdr:sp>
      <xdr:sp macro="" textlink="">
        <xdr:nvSpPr>
          <xdr:cNvPr id="5" name="Rectangle 37">
            <a:extLst>
              <a:ext uri="{FF2B5EF4-FFF2-40B4-BE49-F238E27FC236}">
                <a16:creationId xmlns:a16="http://schemas.microsoft.com/office/drawing/2014/main" id="{DF1F207B-10FF-D789-BDE4-62B0E89B1C7F}"/>
              </a:ext>
            </a:extLst>
          </xdr:cNvPr>
          <xdr:cNvSpPr/>
        </xdr:nvSpPr>
        <xdr:spPr>
          <a:xfrm>
            <a:off x="1741021" y="1816092"/>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Development</a:t>
            </a:r>
          </a:p>
          <a:p>
            <a:pPr algn="ctr"/>
            <a:r>
              <a:rPr lang="pt-BR" sz="600">
                <a:solidFill>
                  <a:srgbClr val="26395F"/>
                </a:solidFill>
                <a:latin typeface="Aeonik" panose="020B0503030300000000" pitchFamily="34" charset="0"/>
              </a:rPr>
              <a:t>(Omega Desenvolvimento)</a:t>
            </a:r>
            <a:endParaRPr lang="pt-BR" sz="800">
              <a:solidFill>
                <a:srgbClr val="26395F"/>
              </a:solidFill>
              <a:latin typeface="Aeonik" panose="020B0503030300000000" pitchFamily="34" charset="0"/>
            </a:endParaRPr>
          </a:p>
        </xdr:txBody>
      </xdr:sp>
      <xdr:sp macro="" textlink="">
        <xdr:nvSpPr>
          <xdr:cNvPr id="6" name="Rectangle 37">
            <a:extLst>
              <a:ext uri="{FF2B5EF4-FFF2-40B4-BE49-F238E27FC236}">
                <a16:creationId xmlns:a16="http://schemas.microsoft.com/office/drawing/2014/main" id="{245B1790-A951-4801-EFCE-47278DEC4CEB}"/>
              </a:ext>
            </a:extLst>
          </xdr:cNvPr>
          <xdr:cNvSpPr/>
        </xdr:nvSpPr>
        <xdr:spPr>
          <a:xfrm>
            <a:off x="4923234" y="1823216"/>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Operational</a:t>
            </a:r>
          </a:p>
          <a:p>
            <a:pPr algn="ctr"/>
            <a:r>
              <a:rPr lang="pt-BR" sz="600">
                <a:solidFill>
                  <a:srgbClr val="26395F"/>
                </a:solidFill>
                <a:latin typeface="Aeonik" panose="020B0503030300000000" pitchFamily="34" charset="0"/>
              </a:rPr>
              <a:t>(Omega Geração)</a:t>
            </a:r>
            <a:endParaRPr lang="pt-BR" sz="800">
              <a:solidFill>
                <a:srgbClr val="26395F"/>
              </a:solidFill>
              <a:latin typeface="Aeonik" panose="020B0503030300000000" pitchFamily="34" charset="0"/>
            </a:endParaRPr>
          </a:p>
        </xdr:txBody>
      </xdr:sp>
      <xdr:sp macro="" textlink="">
        <xdr:nvSpPr>
          <xdr:cNvPr id="7" name="CaixaDeTexto 20">
            <a:extLst>
              <a:ext uri="{FF2B5EF4-FFF2-40B4-BE49-F238E27FC236}">
                <a16:creationId xmlns:a16="http://schemas.microsoft.com/office/drawing/2014/main" id="{16DCD2E5-5075-5459-1B15-FAB7ECC6EFCF}"/>
              </a:ext>
            </a:extLst>
          </xdr:cNvPr>
          <xdr:cNvSpPr txBox="1"/>
        </xdr:nvSpPr>
        <xdr:spPr>
          <a:xfrm>
            <a:off x="4454217" y="1402501"/>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8" name="CaixaDeTexto 21">
            <a:extLst>
              <a:ext uri="{FF2B5EF4-FFF2-40B4-BE49-F238E27FC236}">
                <a16:creationId xmlns:a16="http://schemas.microsoft.com/office/drawing/2014/main" id="{06A5CA27-5733-FF0B-9980-30C0A8456260}"/>
              </a:ext>
            </a:extLst>
          </xdr:cNvPr>
          <xdr:cNvSpPr txBox="1"/>
        </xdr:nvSpPr>
        <xdr:spPr>
          <a:xfrm>
            <a:off x="2836393" y="1401143"/>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9" name="Rectangle 37">
            <a:extLst>
              <a:ext uri="{FF2B5EF4-FFF2-40B4-BE49-F238E27FC236}">
                <a16:creationId xmlns:a16="http://schemas.microsoft.com/office/drawing/2014/main" id="{00CED1C4-9ED8-833B-6B7C-124A4A13D76B}"/>
              </a:ext>
            </a:extLst>
          </xdr:cNvPr>
          <xdr:cNvSpPr/>
        </xdr:nvSpPr>
        <xdr:spPr>
          <a:xfrm>
            <a:off x="8243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Pipoca</a:t>
            </a:r>
          </a:p>
        </xdr:txBody>
      </xdr:sp>
      <xdr:sp macro="" textlink="">
        <xdr:nvSpPr>
          <xdr:cNvPr id="10" name="Rectangle 37">
            <a:extLst>
              <a:ext uri="{FF2B5EF4-FFF2-40B4-BE49-F238E27FC236}">
                <a16:creationId xmlns:a16="http://schemas.microsoft.com/office/drawing/2014/main" id="{B6F480BA-BCD2-EF13-B5E0-A004BC5C1445}"/>
              </a:ext>
            </a:extLst>
          </xdr:cNvPr>
          <xdr:cNvSpPr/>
        </xdr:nvSpPr>
        <xdr:spPr>
          <a:xfrm>
            <a:off x="448970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3</a:t>
            </a:r>
          </a:p>
        </xdr:txBody>
      </xdr:sp>
      <xdr:sp macro="" textlink="">
        <xdr:nvSpPr>
          <xdr:cNvPr id="11" name="Rectangle 37">
            <a:extLst>
              <a:ext uri="{FF2B5EF4-FFF2-40B4-BE49-F238E27FC236}">
                <a16:creationId xmlns:a16="http://schemas.microsoft.com/office/drawing/2014/main" id="{C77001B2-C96F-63AB-472A-2B8966A35D0C}"/>
              </a:ext>
            </a:extLst>
          </xdr:cNvPr>
          <xdr:cNvSpPr/>
        </xdr:nvSpPr>
        <xdr:spPr>
          <a:xfrm>
            <a:off x="3764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2</a:t>
            </a:r>
          </a:p>
        </xdr:txBody>
      </xdr:sp>
      <xdr:sp macro="" textlink="">
        <xdr:nvSpPr>
          <xdr:cNvPr id="12" name="Rectangle 37">
            <a:extLst>
              <a:ext uri="{FF2B5EF4-FFF2-40B4-BE49-F238E27FC236}">
                <a16:creationId xmlns:a16="http://schemas.microsoft.com/office/drawing/2014/main" id="{E27D6E3D-5251-28DC-03A4-2D4431DE444E}"/>
              </a:ext>
            </a:extLst>
          </xdr:cNvPr>
          <xdr:cNvSpPr/>
        </xdr:nvSpPr>
        <xdr:spPr>
          <a:xfrm>
            <a:off x="6526543" y="2284106"/>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Energy Platform</a:t>
            </a:r>
          </a:p>
        </xdr:txBody>
      </xdr:sp>
      <xdr:sp macro="" textlink="">
        <xdr:nvSpPr>
          <xdr:cNvPr id="13" name="Rectangle 37">
            <a:extLst>
              <a:ext uri="{FF2B5EF4-FFF2-40B4-BE49-F238E27FC236}">
                <a16:creationId xmlns:a16="http://schemas.microsoft.com/office/drawing/2014/main" id="{55AE702E-B3EC-329C-8BCA-E4F7FB68E152}"/>
              </a:ext>
            </a:extLst>
          </xdr:cNvPr>
          <xdr:cNvSpPr/>
        </xdr:nvSpPr>
        <xdr:spPr>
          <a:xfrm>
            <a:off x="3033247" y="3526404"/>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1</a:t>
            </a:r>
            <a:r>
              <a:rPr lang="pt-BR" sz="800" baseline="30000">
                <a:solidFill>
                  <a:srgbClr val="26395F"/>
                </a:solidFill>
                <a:latin typeface="Aeonik" panose="020B0503030300000000" pitchFamily="34" charset="0"/>
              </a:rPr>
              <a:t> </a:t>
            </a:r>
            <a:endParaRPr lang="pt-BR" sz="800">
              <a:solidFill>
                <a:srgbClr val="26395F"/>
              </a:solidFill>
              <a:latin typeface="Aeonik" panose="020B0503030300000000" pitchFamily="34" charset="0"/>
            </a:endParaRPr>
          </a:p>
        </xdr:txBody>
      </xdr:sp>
      <xdr:sp macro="" textlink="">
        <xdr:nvSpPr>
          <xdr:cNvPr id="14" name="Rectangle 37">
            <a:extLst>
              <a:ext uri="{FF2B5EF4-FFF2-40B4-BE49-F238E27FC236}">
                <a16:creationId xmlns:a16="http://schemas.microsoft.com/office/drawing/2014/main" id="{C5ED2FDF-3B81-18F9-53A1-21CCF172176A}"/>
              </a:ext>
            </a:extLst>
          </xdr:cNvPr>
          <xdr:cNvSpPr/>
        </xdr:nvSpPr>
        <xdr:spPr>
          <a:xfrm>
            <a:off x="73018"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a:t>
            </a:r>
          </a:p>
          <a:p>
            <a:pPr algn="ctr"/>
            <a:r>
              <a:rPr lang="pt-BR" sz="800">
                <a:solidFill>
                  <a:srgbClr val="26395F"/>
                </a:solidFill>
                <a:latin typeface="Aeonik" panose="020B0503030300000000" pitchFamily="34" charset="0"/>
              </a:rPr>
              <a:t>1 and 2</a:t>
            </a:r>
          </a:p>
        </xdr:txBody>
      </xdr:sp>
      <xdr:sp macro="" textlink="">
        <xdr:nvSpPr>
          <xdr:cNvPr id="15" name="Rectangle 37">
            <a:extLst>
              <a:ext uri="{FF2B5EF4-FFF2-40B4-BE49-F238E27FC236}">
                <a16:creationId xmlns:a16="http://schemas.microsoft.com/office/drawing/2014/main" id="{70EBD5AD-2491-43E8-F91B-4E114AC4C80A}"/>
              </a:ext>
            </a:extLst>
          </xdr:cNvPr>
          <xdr:cNvSpPr/>
        </xdr:nvSpPr>
        <xdr:spPr>
          <a:xfrm>
            <a:off x="5940249"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6</a:t>
            </a:r>
          </a:p>
        </xdr:txBody>
      </xdr:sp>
      <xdr:sp macro="" textlink="">
        <xdr:nvSpPr>
          <xdr:cNvPr id="16" name="Rectangle 37">
            <a:extLst>
              <a:ext uri="{FF2B5EF4-FFF2-40B4-BE49-F238E27FC236}">
                <a16:creationId xmlns:a16="http://schemas.microsoft.com/office/drawing/2014/main" id="{074A5DA6-9FAA-B355-64BA-49B28791C3F3}"/>
              </a:ext>
            </a:extLst>
          </xdr:cNvPr>
          <xdr:cNvSpPr/>
        </xdr:nvSpPr>
        <xdr:spPr>
          <a:xfrm>
            <a:off x="6665521"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7</a:t>
            </a:r>
          </a:p>
        </xdr:txBody>
      </xdr:sp>
      <xdr:sp macro="" textlink="">
        <xdr:nvSpPr>
          <xdr:cNvPr id="17" name="Rectangle 37">
            <a:extLst>
              <a:ext uri="{FF2B5EF4-FFF2-40B4-BE49-F238E27FC236}">
                <a16:creationId xmlns:a16="http://schemas.microsoft.com/office/drawing/2014/main" id="{FF7D90A7-FB27-88ED-FDC5-70591920F365}"/>
              </a:ext>
            </a:extLst>
          </xdr:cNvPr>
          <xdr:cNvSpPr/>
        </xdr:nvSpPr>
        <xdr:spPr>
          <a:xfrm>
            <a:off x="739079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8</a:t>
            </a:r>
          </a:p>
        </xdr:txBody>
      </xdr:sp>
      <xdr:sp macro="" textlink="">
        <xdr:nvSpPr>
          <xdr:cNvPr id="18" name="Rectangle 37">
            <a:extLst>
              <a:ext uri="{FF2B5EF4-FFF2-40B4-BE49-F238E27FC236}">
                <a16:creationId xmlns:a16="http://schemas.microsoft.com/office/drawing/2014/main" id="{2B4A6B57-66E1-C7E8-6EBF-B0ADA222BF19}"/>
              </a:ext>
            </a:extLst>
          </xdr:cNvPr>
          <xdr:cNvSpPr/>
        </xdr:nvSpPr>
        <xdr:spPr>
          <a:xfrm>
            <a:off x="798290"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3</a:t>
            </a:r>
          </a:p>
        </xdr:txBody>
      </xdr:sp>
      <xdr:grpSp>
        <xdr:nvGrpSpPr>
          <xdr:cNvPr id="19" name="Agrupar 18">
            <a:extLst>
              <a:ext uri="{FF2B5EF4-FFF2-40B4-BE49-F238E27FC236}">
                <a16:creationId xmlns:a16="http://schemas.microsoft.com/office/drawing/2014/main" id="{E8179553-FC89-C4BC-0566-8E47EAA484B0}"/>
              </a:ext>
            </a:extLst>
          </xdr:cNvPr>
          <xdr:cNvGrpSpPr/>
        </xdr:nvGrpSpPr>
        <xdr:grpSpPr>
          <a:xfrm>
            <a:off x="2255017" y="3482596"/>
            <a:ext cx="759855" cy="783146"/>
            <a:chOff x="4989633" y="4557116"/>
            <a:chExt cx="759855" cy="783146"/>
          </a:xfrm>
        </xdr:grpSpPr>
        <xdr:sp macro="" textlink="">
          <xdr:nvSpPr>
            <xdr:cNvPr id="49" name="Rectangle 37">
              <a:extLst>
                <a:ext uri="{FF2B5EF4-FFF2-40B4-BE49-F238E27FC236}">
                  <a16:creationId xmlns:a16="http://schemas.microsoft.com/office/drawing/2014/main" id="{6795268A-CACA-2261-5A1D-2A8F829285EA}"/>
                </a:ext>
              </a:extLst>
            </xdr:cNvPr>
            <xdr:cNvSpPr/>
          </xdr:nvSpPr>
          <xdr:spPr>
            <a:xfrm>
              <a:off x="5028228" y="460626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Indaiazinho</a:t>
              </a:r>
            </a:p>
          </xdr:txBody>
        </xdr:sp>
        <xdr:sp macro="" textlink="">
          <xdr:nvSpPr>
            <xdr:cNvPr id="50" name="Rectangle 37">
              <a:extLst>
                <a:ext uri="{FF2B5EF4-FFF2-40B4-BE49-F238E27FC236}">
                  <a16:creationId xmlns:a16="http://schemas.microsoft.com/office/drawing/2014/main" id="{A5BA1918-F06C-E6D0-DA21-CB0AC1FF40F8}"/>
                </a:ext>
              </a:extLst>
            </xdr:cNvPr>
            <xdr:cNvSpPr/>
          </xdr:nvSpPr>
          <xdr:spPr>
            <a:xfrm>
              <a:off x="5029658" y="4974210"/>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Indaiá Grande</a:t>
              </a:r>
            </a:p>
          </xdr:txBody>
        </xdr:sp>
        <xdr:sp macro="" textlink="">
          <xdr:nvSpPr>
            <xdr:cNvPr id="51" name="Retângulo 50">
              <a:extLst>
                <a:ext uri="{FF2B5EF4-FFF2-40B4-BE49-F238E27FC236}">
                  <a16:creationId xmlns:a16="http://schemas.microsoft.com/office/drawing/2014/main" id="{AFE5A879-70C1-A81F-E2A0-DC5D22A9F12D}"/>
                </a:ext>
              </a:extLst>
            </xdr:cNvPr>
            <xdr:cNvSpPr/>
          </xdr:nvSpPr>
          <xdr:spPr>
            <a:xfrm>
              <a:off x="4989633" y="4557116"/>
              <a:ext cx="759855" cy="783146"/>
            </a:xfrm>
            <a:prstGeom prst="rect">
              <a:avLst/>
            </a:prstGeom>
            <a:noFill/>
            <a:ln w="3175" cap="flat" cmpd="sng" algn="ctr">
              <a:solidFill>
                <a:srgbClr val="26395F"/>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800">
                <a:latin typeface="Aeonik" panose="020B0503030300000000" pitchFamily="34" charset="0"/>
              </a:endParaRPr>
            </a:p>
          </xdr:txBody>
        </xdr:sp>
      </xdr:grpSp>
      <xdr:sp macro="" textlink="">
        <xdr:nvSpPr>
          <xdr:cNvPr id="20" name="Rectangle 37">
            <a:extLst>
              <a:ext uri="{FF2B5EF4-FFF2-40B4-BE49-F238E27FC236}">
                <a16:creationId xmlns:a16="http://schemas.microsoft.com/office/drawing/2014/main" id="{525161B1-F9AD-BDC9-7B03-50529FC3BAF8}"/>
              </a:ext>
            </a:extLst>
          </xdr:cNvPr>
          <xdr:cNvSpPr/>
        </xdr:nvSpPr>
        <xdr:spPr>
          <a:xfrm>
            <a:off x="5214977"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5</a:t>
            </a:r>
          </a:p>
        </xdr:txBody>
      </xdr:sp>
      <xdr:sp macro="" textlink="">
        <xdr:nvSpPr>
          <xdr:cNvPr id="21" name="Rectangle 37">
            <a:extLst>
              <a:ext uri="{FF2B5EF4-FFF2-40B4-BE49-F238E27FC236}">
                <a16:creationId xmlns:a16="http://schemas.microsoft.com/office/drawing/2014/main" id="{775EC2AD-1208-97C6-B1EF-A9ED279002AC}"/>
              </a:ext>
            </a:extLst>
          </xdr:cNvPr>
          <xdr:cNvSpPr/>
        </xdr:nvSpPr>
        <xdr:spPr>
          <a:xfrm>
            <a:off x="152974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Serra das Agulhas</a:t>
            </a:r>
          </a:p>
        </xdr:txBody>
      </xdr:sp>
      <xdr:sp macro="" textlink="">
        <xdr:nvSpPr>
          <xdr:cNvPr id="22" name="Retângulo 21">
            <a:extLst>
              <a:ext uri="{FF2B5EF4-FFF2-40B4-BE49-F238E27FC236}">
                <a16:creationId xmlns:a16="http://schemas.microsoft.com/office/drawing/2014/main" id="{B2E4CE28-934B-046A-8A4E-DF8A4F1E62E6}"/>
              </a:ext>
            </a:extLst>
          </xdr:cNvPr>
          <xdr:cNvSpPr/>
        </xdr:nvSpPr>
        <xdr:spPr>
          <a:xfrm>
            <a:off x="9525" y="3179479"/>
            <a:ext cx="8129453"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cxnSp macro="">
        <xdr:nvCxnSpPr>
          <xdr:cNvPr id="23" name="Conector: Angulado 22">
            <a:extLst>
              <a:ext uri="{FF2B5EF4-FFF2-40B4-BE49-F238E27FC236}">
                <a16:creationId xmlns:a16="http://schemas.microsoft.com/office/drawing/2014/main" id="{2E99F82E-A2B1-B40A-F78B-EE323F9B8369}"/>
              </a:ext>
            </a:extLst>
          </xdr:cNvPr>
          <xdr:cNvCxnSpPr>
            <a:cxnSpLocks/>
            <a:stCxn id="6" idx="2"/>
            <a:endCxn id="22" idx="0"/>
          </xdr:cNvCxnSpPr>
        </xdr:nvCxnSpPr>
        <xdr:spPr>
          <a:xfrm rot="5400000">
            <a:off x="4296290" y="2023254"/>
            <a:ext cx="934188" cy="1378263"/>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4" name="Conector: Angulado 23">
            <a:extLst>
              <a:ext uri="{FF2B5EF4-FFF2-40B4-BE49-F238E27FC236}">
                <a16:creationId xmlns:a16="http://schemas.microsoft.com/office/drawing/2014/main" id="{0CA6D8E0-C3D0-7667-D6CA-C08F83476A63}"/>
              </a:ext>
            </a:extLst>
          </xdr:cNvPr>
          <xdr:cNvCxnSpPr>
            <a:stCxn id="4" idx="2"/>
            <a:endCxn id="5" idx="0"/>
          </xdr:cNvCxnSpPr>
        </xdr:nvCxnSpPr>
        <xdr:spPr>
          <a:xfrm rot="5400000">
            <a:off x="2915312" y="767665"/>
            <a:ext cx="403417" cy="1693438"/>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5" name="Conector: Angulado 24">
            <a:extLst>
              <a:ext uri="{FF2B5EF4-FFF2-40B4-BE49-F238E27FC236}">
                <a16:creationId xmlns:a16="http://schemas.microsoft.com/office/drawing/2014/main" id="{CEF4C964-B401-809E-01DF-68C14F1A9E67}"/>
              </a:ext>
            </a:extLst>
          </xdr:cNvPr>
          <xdr:cNvCxnSpPr>
            <a:stCxn id="4" idx="2"/>
            <a:endCxn id="6" idx="0"/>
          </xdr:cNvCxnSpPr>
        </xdr:nvCxnSpPr>
        <xdr:spPr>
          <a:xfrm rot="16200000" flipH="1">
            <a:off x="4502857" y="873557"/>
            <a:ext cx="410541" cy="1488775"/>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26" name="Rectangle 37">
            <a:extLst>
              <a:ext uri="{FF2B5EF4-FFF2-40B4-BE49-F238E27FC236}">
                <a16:creationId xmlns:a16="http://schemas.microsoft.com/office/drawing/2014/main" id="{58D878C6-CB78-C4D5-DED0-4494DC3AD55E}"/>
              </a:ext>
            </a:extLst>
          </xdr:cNvPr>
          <xdr:cNvSpPr/>
        </xdr:nvSpPr>
        <xdr:spPr>
          <a:xfrm>
            <a:off x="6526543" y="146473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Chuí</a:t>
            </a:r>
          </a:p>
        </xdr:txBody>
      </xdr:sp>
      <xdr:sp macro="" textlink="">
        <xdr:nvSpPr>
          <xdr:cNvPr id="27" name="Rectangle 37">
            <a:extLst>
              <a:ext uri="{FF2B5EF4-FFF2-40B4-BE49-F238E27FC236}">
                <a16:creationId xmlns:a16="http://schemas.microsoft.com/office/drawing/2014/main" id="{C9F7EC01-4878-B6C1-A8D1-F2DAD48CB3E3}"/>
              </a:ext>
            </a:extLst>
          </xdr:cNvPr>
          <xdr:cNvSpPr/>
        </xdr:nvSpPr>
        <xdr:spPr>
          <a:xfrm>
            <a:off x="8963994"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Pirapora</a:t>
            </a:r>
          </a:p>
        </xdr:txBody>
      </xdr:sp>
      <xdr:sp macro="" textlink="">
        <xdr:nvSpPr>
          <xdr:cNvPr id="28" name="Rectangle 37">
            <a:extLst>
              <a:ext uri="{FF2B5EF4-FFF2-40B4-BE49-F238E27FC236}">
                <a16:creationId xmlns:a16="http://schemas.microsoft.com/office/drawing/2014/main" id="{FDDF9B38-6282-6BB4-ED23-4A6743FF1029}"/>
              </a:ext>
            </a:extLst>
          </xdr:cNvPr>
          <xdr:cNvSpPr/>
        </xdr:nvSpPr>
        <xdr:spPr>
          <a:xfrm>
            <a:off x="9692826"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VDB 1,</a:t>
            </a:r>
            <a:r>
              <a:rPr lang="pt-BR" sz="800" baseline="0">
                <a:solidFill>
                  <a:srgbClr val="26395F"/>
                </a:solidFill>
                <a:latin typeface="Aeonik" panose="020B0503030300000000" pitchFamily="34" charset="0"/>
              </a:rPr>
              <a:t> </a:t>
            </a:r>
            <a:r>
              <a:rPr lang="pt-BR" sz="800">
                <a:solidFill>
                  <a:srgbClr val="26395F"/>
                </a:solidFill>
                <a:latin typeface="Aeonik" panose="020B0503030300000000" pitchFamily="34" charset="0"/>
              </a:rPr>
              <a:t>2 and 3</a:t>
            </a:r>
          </a:p>
        </xdr:txBody>
      </xdr:sp>
      <xdr:sp macro="" textlink="">
        <xdr:nvSpPr>
          <xdr:cNvPr id="29" name="Rectangle 37">
            <a:extLst>
              <a:ext uri="{FF2B5EF4-FFF2-40B4-BE49-F238E27FC236}">
                <a16:creationId xmlns:a16="http://schemas.microsoft.com/office/drawing/2014/main" id="{2C6FDE76-84A1-5AE1-C1CE-E617903F09C0}"/>
              </a:ext>
            </a:extLst>
          </xdr:cNvPr>
          <xdr:cNvSpPr/>
        </xdr:nvSpPr>
        <xdr:spPr>
          <a:xfrm>
            <a:off x="6526543" y="1874422"/>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Gargaú</a:t>
            </a:r>
          </a:p>
        </xdr:txBody>
      </xdr:sp>
      <xdr:sp macro="" textlink="">
        <xdr:nvSpPr>
          <xdr:cNvPr id="30" name="Retângulo 29">
            <a:extLst>
              <a:ext uri="{FF2B5EF4-FFF2-40B4-BE49-F238E27FC236}">
                <a16:creationId xmlns:a16="http://schemas.microsoft.com/office/drawing/2014/main" id="{DBDCE4BC-0C20-0AF7-949F-0902FE5FB496}"/>
              </a:ext>
            </a:extLst>
          </xdr:cNvPr>
          <xdr:cNvSpPr/>
        </xdr:nvSpPr>
        <xdr:spPr>
          <a:xfrm>
            <a:off x="6412111" y="1392715"/>
            <a:ext cx="937498" cy="1294572"/>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31" name="Conector de Seta Reta 30">
            <a:extLst>
              <a:ext uri="{FF2B5EF4-FFF2-40B4-BE49-F238E27FC236}">
                <a16:creationId xmlns:a16="http://schemas.microsoft.com/office/drawing/2014/main" id="{9C8DEABF-519E-9EEE-2072-699853A40856}"/>
              </a:ext>
            </a:extLst>
          </xdr:cNvPr>
          <xdr:cNvCxnSpPr>
            <a:stCxn id="6" idx="3"/>
            <a:endCxn id="30" idx="1"/>
          </xdr:cNvCxnSpPr>
        </xdr:nvCxnSpPr>
        <xdr:spPr>
          <a:xfrm>
            <a:off x="5981795" y="2034254"/>
            <a:ext cx="430316" cy="5747"/>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2" name="CaixaDeTexto 106">
            <a:extLst>
              <a:ext uri="{FF2B5EF4-FFF2-40B4-BE49-F238E27FC236}">
                <a16:creationId xmlns:a16="http://schemas.microsoft.com/office/drawing/2014/main" id="{2FA03DE2-7458-8F3A-4136-86B7576A52DA}"/>
              </a:ext>
            </a:extLst>
          </xdr:cNvPr>
          <xdr:cNvSpPr txBox="1"/>
        </xdr:nvSpPr>
        <xdr:spPr>
          <a:xfrm>
            <a:off x="6412111" y="1046776"/>
            <a:ext cx="937498" cy="328295"/>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Merged</a:t>
            </a:r>
          </a:p>
          <a:p>
            <a:pPr algn="ctr"/>
            <a:r>
              <a:rPr lang="pt-BR" sz="800" i="1">
                <a:latin typeface="Aeonik" panose="020B0503030300000000" pitchFamily="34" charset="0"/>
              </a:rPr>
              <a:t>Assets</a:t>
            </a:r>
          </a:p>
        </xdr:txBody>
      </xdr:sp>
      <xdr:sp macro="" textlink="">
        <xdr:nvSpPr>
          <xdr:cNvPr id="33" name="Retângulo 32">
            <a:extLst>
              <a:ext uri="{FF2B5EF4-FFF2-40B4-BE49-F238E27FC236}">
                <a16:creationId xmlns:a16="http://schemas.microsoft.com/office/drawing/2014/main" id="{E599BFEF-D187-7A9F-D21E-CA2B8FADDDC1}"/>
              </a:ext>
            </a:extLst>
          </xdr:cNvPr>
          <xdr:cNvSpPr/>
        </xdr:nvSpPr>
        <xdr:spPr>
          <a:xfrm>
            <a:off x="8170661" y="3179479"/>
            <a:ext cx="2287882"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sp macro="" textlink="">
        <xdr:nvSpPr>
          <xdr:cNvPr id="34" name="CaixaDeTexto 113">
            <a:extLst>
              <a:ext uri="{FF2B5EF4-FFF2-40B4-BE49-F238E27FC236}">
                <a16:creationId xmlns:a16="http://schemas.microsoft.com/office/drawing/2014/main" id="{AE26E611-2300-1592-B7A2-A486F8C5E70E}"/>
              </a:ext>
            </a:extLst>
          </xdr:cNvPr>
          <xdr:cNvSpPr txBox="1"/>
        </xdr:nvSpPr>
        <xdr:spPr>
          <a:xfrm>
            <a:off x="3354033"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Consolidated Assets</a:t>
            </a:r>
          </a:p>
        </xdr:txBody>
      </xdr:sp>
      <xdr:sp macro="" textlink="">
        <xdr:nvSpPr>
          <xdr:cNvPr id="35" name="CaixaDeTexto 114">
            <a:extLst>
              <a:ext uri="{FF2B5EF4-FFF2-40B4-BE49-F238E27FC236}">
                <a16:creationId xmlns:a16="http://schemas.microsoft.com/office/drawing/2014/main" id="{54BF2961-8F30-C790-22E5-CEC38355FA41}"/>
              </a:ext>
            </a:extLst>
          </xdr:cNvPr>
          <xdr:cNvSpPr txBox="1"/>
        </xdr:nvSpPr>
        <xdr:spPr>
          <a:xfrm>
            <a:off x="8573077"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JVs</a:t>
            </a:r>
          </a:p>
        </xdr:txBody>
      </xdr:sp>
      <xdr:sp macro="" textlink="">
        <xdr:nvSpPr>
          <xdr:cNvPr id="36" name="CaixaDeTexto 115">
            <a:extLst>
              <a:ext uri="{FF2B5EF4-FFF2-40B4-BE49-F238E27FC236}">
                <a16:creationId xmlns:a16="http://schemas.microsoft.com/office/drawing/2014/main" id="{D6A00FD7-A8D1-605A-FF20-2D8658389DCA}"/>
              </a:ext>
            </a:extLst>
          </xdr:cNvPr>
          <xdr:cNvSpPr txBox="1"/>
        </xdr:nvSpPr>
        <xdr:spPr>
          <a:xfrm>
            <a:off x="4536954" y="2514967"/>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cxnSp macro="">
        <xdr:nvCxnSpPr>
          <xdr:cNvPr id="37" name="Conector: Angulado 36">
            <a:extLst>
              <a:ext uri="{FF2B5EF4-FFF2-40B4-BE49-F238E27FC236}">
                <a16:creationId xmlns:a16="http://schemas.microsoft.com/office/drawing/2014/main" id="{FDC6DDCE-96BB-D1C0-B2CF-DC71D90BCEB5}"/>
              </a:ext>
            </a:extLst>
          </xdr:cNvPr>
          <xdr:cNvCxnSpPr>
            <a:stCxn id="6" idx="2"/>
            <a:endCxn id="35" idx="0"/>
          </xdr:cNvCxnSpPr>
        </xdr:nvCxnSpPr>
        <xdr:spPr>
          <a:xfrm rot="16200000" flipH="1">
            <a:off x="6938809" y="758996"/>
            <a:ext cx="940978" cy="3913567"/>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8" name="CaixaDeTexto 120">
            <a:extLst>
              <a:ext uri="{FF2B5EF4-FFF2-40B4-BE49-F238E27FC236}">
                <a16:creationId xmlns:a16="http://schemas.microsoft.com/office/drawing/2014/main" id="{B0450197-3E8B-450D-5385-61CD3E18E6C0}"/>
              </a:ext>
            </a:extLst>
          </xdr:cNvPr>
          <xdr:cNvSpPr txBox="1"/>
        </xdr:nvSpPr>
        <xdr:spPr>
          <a:xfrm>
            <a:off x="833758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51%</a:t>
            </a:r>
          </a:p>
        </xdr:txBody>
      </xdr:sp>
      <xdr:sp macro="" textlink="">
        <xdr:nvSpPr>
          <xdr:cNvPr id="39" name="CaixaDeTexto 121">
            <a:extLst>
              <a:ext uri="{FF2B5EF4-FFF2-40B4-BE49-F238E27FC236}">
                <a16:creationId xmlns:a16="http://schemas.microsoft.com/office/drawing/2014/main" id="{DC58D9DB-C7A4-152D-957A-CC7F9B1DE489}"/>
              </a:ext>
            </a:extLst>
          </xdr:cNvPr>
          <xdr:cNvSpPr txBox="1"/>
        </xdr:nvSpPr>
        <xdr:spPr>
          <a:xfrm>
            <a:off x="9816903"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0" name="CaixaDeTexto 122">
            <a:extLst>
              <a:ext uri="{FF2B5EF4-FFF2-40B4-BE49-F238E27FC236}">
                <a16:creationId xmlns:a16="http://schemas.microsoft.com/office/drawing/2014/main" id="{D4176394-19CB-4919-668E-82A3A24E09FB}"/>
              </a:ext>
            </a:extLst>
          </xdr:cNvPr>
          <xdr:cNvSpPr txBox="1"/>
        </xdr:nvSpPr>
        <xdr:spPr>
          <a:xfrm>
            <a:off x="910395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1" name="CaixaDeTexto 123">
            <a:extLst>
              <a:ext uri="{FF2B5EF4-FFF2-40B4-BE49-F238E27FC236}">
                <a16:creationId xmlns:a16="http://schemas.microsoft.com/office/drawing/2014/main" id="{C57DC7B8-D057-77F0-F26E-DA421BDC800E}"/>
              </a:ext>
            </a:extLst>
          </xdr:cNvPr>
          <xdr:cNvSpPr txBox="1"/>
        </xdr:nvSpPr>
        <xdr:spPr>
          <a:xfrm>
            <a:off x="8219358" y="2497238"/>
            <a:ext cx="637008"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51%/50%</a:t>
            </a:r>
          </a:p>
        </xdr:txBody>
      </xdr:sp>
      <xdr:sp macro="" textlink="">
        <xdr:nvSpPr>
          <xdr:cNvPr id="42" name="CaixaDeTexto 124">
            <a:extLst>
              <a:ext uri="{FF2B5EF4-FFF2-40B4-BE49-F238E27FC236}">
                <a16:creationId xmlns:a16="http://schemas.microsoft.com/office/drawing/2014/main" id="{D5D13C70-F6FF-7082-4E90-2FAE72E34C37}"/>
              </a:ext>
            </a:extLst>
          </xdr:cNvPr>
          <xdr:cNvSpPr txBox="1"/>
        </xdr:nvSpPr>
        <xdr:spPr>
          <a:xfrm>
            <a:off x="5954924" y="1839948"/>
            <a:ext cx="4840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100%</a:t>
            </a:r>
          </a:p>
        </xdr:txBody>
      </xdr:sp>
      <xdr:sp macro="" textlink="">
        <xdr:nvSpPr>
          <xdr:cNvPr id="43" name="Rectangle 37">
            <a:extLst>
              <a:ext uri="{FF2B5EF4-FFF2-40B4-BE49-F238E27FC236}">
                <a16:creationId xmlns:a16="http://schemas.microsoft.com/office/drawing/2014/main" id="{0AD05C4F-1FCB-AFCB-117D-BB5E534DEB76}"/>
              </a:ext>
            </a:extLst>
          </xdr:cNvPr>
          <xdr:cNvSpPr/>
        </xdr:nvSpPr>
        <xdr:spPr>
          <a:xfrm>
            <a:off x="1544252"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4</a:t>
            </a:r>
          </a:p>
        </xdr:txBody>
      </xdr:sp>
      <xdr:sp macro="" textlink="">
        <xdr:nvSpPr>
          <xdr:cNvPr id="44" name="Rectangle 37">
            <a:extLst>
              <a:ext uri="{FF2B5EF4-FFF2-40B4-BE49-F238E27FC236}">
                <a16:creationId xmlns:a16="http://schemas.microsoft.com/office/drawing/2014/main" id="{39AF2D72-1519-E38D-565C-DCA660D33BA3}"/>
              </a:ext>
            </a:extLst>
          </xdr:cNvPr>
          <xdr:cNvSpPr/>
        </xdr:nvSpPr>
        <xdr:spPr>
          <a:xfrm>
            <a:off x="2269524"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5</a:t>
            </a:r>
          </a:p>
        </xdr:txBody>
      </xdr:sp>
      <xdr:sp macro="" textlink="">
        <xdr:nvSpPr>
          <xdr:cNvPr id="45" name="Rectangle 37">
            <a:extLst>
              <a:ext uri="{FF2B5EF4-FFF2-40B4-BE49-F238E27FC236}">
                <a16:creationId xmlns:a16="http://schemas.microsoft.com/office/drawing/2014/main" id="{FF34DBED-861B-BAC0-E8B8-AF6A2DE21CD2}"/>
              </a:ext>
            </a:extLst>
          </xdr:cNvPr>
          <xdr:cNvSpPr/>
        </xdr:nvSpPr>
        <xdr:spPr>
          <a:xfrm>
            <a:off x="3000979"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Other</a:t>
            </a:r>
            <a:r>
              <a:rPr lang="pt-BR" sz="800" baseline="0">
                <a:solidFill>
                  <a:srgbClr val="26395F"/>
                </a:solidFill>
                <a:latin typeface="Aeonik" panose="020B0503030300000000" pitchFamily="34" charset="0"/>
              </a:rPr>
              <a:t> Projects</a:t>
            </a:r>
            <a:endParaRPr lang="pt-BR" sz="800">
              <a:solidFill>
                <a:srgbClr val="26395F"/>
              </a:solidFill>
              <a:latin typeface="Aeonik" panose="020B0503030300000000" pitchFamily="34" charset="0"/>
            </a:endParaRPr>
          </a:p>
        </xdr:txBody>
      </xdr:sp>
      <xdr:sp macro="" textlink="">
        <xdr:nvSpPr>
          <xdr:cNvPr id="46" name="Retângulo 45">
            <a:extLst>
              <a:ext uri="{FF2B5EF4-FFF2-40B4-BE49-F238E27FC236}">
                <a16:creationId xmlns:a16="http://schemas.microsoft.com/office/drawing/2014/main" id="{1A7FBF59-C7CB-63CD-C375-78332A3C7635}"/>
              </a:ext>
            </a:extLst>
          </xdr:cNvPr>
          <xdr:cNvSpPr/>
        </xdr:nvSpPr>
        <xdr:spPr>
          <a:xfrm>
            <a:off x="749594" y="2433883"/>
            <a:ext cx="3040599" cy="494500"/>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47" name="Conector de Seta Reta 46">
            <a:extLst>
              <a:ext uri="{FF2B5EF4-FFF2-40B4-BE49-F238E27FC236}">
                <a16:creationId xmlns:a16="http://schemas.microsoft.com/office/drawing/2014/main" id="{95FDEDBE-B0B1-4567-7628-CC0D70A7D205}"/>
              </a:ext>
            </a:extLst>
          </xdr:cNvPr>
          <xdr:cNvCxnSpPr>
            <a:stCxn id="5" idx="2"/>
            <a:endCxn id="46" idx="0"/>
          </xdr:cNvCxnSpPr>
        </xdr:nvCxnSpPr>
        <xdr:spPr>
          <a:xfrm flipH="1">
            <a:off x="2269893" y="2238167"/>
            <a:ext cx="408" cy="195716"/>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48" name="CaixaDeTexto 131">
            <a:extLst>
              <a:ext uri="{FF2B5EF4-FFF2-40B4-BE49-F238E27FC236}">
                <a16:creationId xmlns:a16="http://schemas.microsoft.com/office/drawing/2014/main" id="{6A6BB349-FA5A-1877-3CF1-AB3D34BE5909}"/>
              </a:ext>
            </a:extLst>
          </xdr:cNvPr>
          <xdr:cNvSpPr txBox="1"/>
        </xdr:nvSpPr>
        <xdr:spPr>
          <a:xfrm>
            <a:off x="2289124" y="2229042"/>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grpSp>
    <xdr:clientData/>
  </xdr:twoCellAnchor>
  <xdr:twoCellAnchor>
    <xdr:from>
      <xdr:col>2</xdr:col>
      <xdr:colOff>406400</xdr:colOff>
      <xdr:row>17</xdr:row>
      <xdr:rowOff>41274</xdr:rowOff>
    </xdr:from>
    <xdr:to>
      <xdr:col>3</xdr:col>
      <xdr:colOff>501676</xdr:colOff>
      <xdr:row>19</xdr:row>
      <xdr:rowOff>71274</xdr:rowOff>
    </xdr:to>
    <xdr:sp macro="" textlink="">
      <xdr:nvSpPr>
        <xdr:cNvPr id="53" name="Rectangle 37">
          <a:extLst>
            <a:ext uri="{FF2B5EF4-FFF2-40B4-BE49-F238E27FC236}">
              <a16:creationId xmlns:a16="http://schemas.microsoft.com/office/drawing/2014/main" id="{E0418871-0CD1-4F78-9F29-A702029173C2}"/>
            </a:ext>
          </a:extLst>
        </xdr:cNvPr>
        <xdr:cNvSpPr/>
      </xdr:nvSpPr>
      <xdr:spPr>
        <a:xfrm>
          <a:off x="1428750" y="2632074"/>
          <a:ext cx="736626"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Goodnight 1</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1711779</xdr:colOff>
      <xdr:row>3</xdr:row>
      <xdr:rowOff>74772</xdr:rowOff>
    </xdr:to>
    <xdr:pic>
      <xdr:nvPicPr>
        <xdr:cNvPr id="2" name="Imagem 6">
          <a:extLst>
            <a:ext uri="{FF2B5EF4-FFF2-40B4-BE49-F238E27FC236}">
              <a16:creationId xmlns:a16="http://schemas.microsoft.com/office/drawing/2014/main" id="{923EACE6-556C-499B-80F0-561C414D66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65100"/>
          <a:ext cx="1711779" cy="4049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7979E-6BDA-497F-9AC9-A8FFA63C5E99}">
  <sheetPr>
    <tabColor theme="0" tint="-0.499984740745262"/>
  </sheetPr>
  <dimension ref="A1:B6"/>
  <sheetViews>
    <sheetView showGridLines="0" tabSelected="1" zoomScaleNormal="100" workbookViewId="0"/>
  </sheetViews>
  <sheetFormatPr defaultColWidth="0" defaultRowHeight="0" customHeight="1" zeroHeight="1"/>
  <cols>
    <col min="1" max="1" width="187.453125" style="179" customWidth="1"/>
    <col min="2" max="2" width="4.7265625" style="179" customWidth="1"/>
    <col min="3" max="16384" width="8.81640625" style="179" hidden="1"/>
  </cols>
  <sheetData>
    <row r="1" spans="1:2" ht="18.5">
      <c r="A1" s="178"/>
      <c r="B1" s="178"/>
    </row>
    <row r="2" spans="1:2" ht="18.5">
      <c r="A2" s="178"/>
      <c r="B2" s="178"/>
    </row>
    <row r="3" spans="1:2" ht="18.5">
      <c r="A3" s="178"/>
      <c r="B3" s="178"/>
    </row>
    <row r="4" spans="1:2" ht="18.5">
      <c r="A4" s="178"/>
      <c r="B4" s="178"/>
    </row>
    <row r="5" spans="1:2" ht="108.65" customHeight="1">
      <c r="A5" s="33" t="s">
        <v>0</v>
      </c>
      <c r="B5" s="178"/>
    </row>
    <row r="6" spans="1:2" ht="108.65" customHeight="1">
      <c r="A6" s="41" t="s">
        <v>1</v>
      </c>
      <c r="B6" s="178"/>
    </row>
  </sheetData>
  <pageMargins left="0.511811024" right="0.511811024" top="0.78740157499999996" bottom="0.78740157499999996" header="0.31496062000000002" footer="0.31496062000000002"/>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0FCD-A4D7-479B-BB40-995F29573F73}">
  <sheetPr>
    <tabColor rgb="FF26395F"/>
  </sheetPr>
  <dimension ref="B3:L153"/>
  <sheetViews>
    <sheetView showGridLines="0" zoomScaleNormal="100" workbookViewId="0"/>
  </sheetViews>
  <sheetFormatPr defaultRowHeight="13"/>
  <cols>
    <col min="1" max="1" width="8.7265625" style="243"/>
    <col min="2" max="2" width="38.26953125" style="243" bestFit="1" customWidth="1"/>
    <col min="3" max="3" width="35" style="244" customWidth="1"/>
    <col min="4" max="4" width="24.08984375" style="244" customWidth="1"/>
    <col min="5" max="5" width="39.26953125" style="244" bestFit="1" customWidth="1"/>
    <col min="6" max="7" width="39.26953125" style="243" bestFit="1" customWidth="1"/>
    <col min="8" max="9" width="8.7265625" style="243"/>
    <col min="10" max="10" width="14.7265625" style="243" customWidth="1"/>
    <col min="11" max="11" width="8.7265625" style="243"/>
    <col min="12" max="12" width="18.54296875" style="243" customWidth="1"/>
    <col min="13" max="16384" width="8.7265625" style="243"/>
  </cols>
  <sheetData>
    <row r="3" spans="2:12">
      <c r="F3" s="245"/>
    </row>
    <row r="4" spans="2:12">
      <c r="F4" s="245"/>
    </row>
    <row r="5" spans="2:12">
      <c r="F5" s="245"/>
    </row>
    <row r="6" spans="2:12">
      <c r="B6" s="246" t="s">
        <v>389</v>
      </c>
      <c r="C6" s="247" t="s">
        <v>390</v>
      </c>
      <c r="D6" s="247" t="s">
        <v>391</v>
      </c>
      <c r="E6" s="247" t="s">
        <v>392</v>
      </c>
      <c r="F6" s="247" t="s">
        <v>393</v>
      </c>
      <c r="G6" s="247" t="s">
        <v>394</v>
      </c>
      <c r="J6" s="269" t="s">
        <v>71</v>
      </c>
      <c r="K6" s="269" t="s">
        <v>189</v>
      </c>
      <c r="L6" s="270" t="s">
        <v>5</v>
      </c>
    </row>
    <row r="7" spans="2:12">
      <c r="B7" s="271" t="s">
        <v>651</v>
      </c>
      <c r="C7" s="272" t="s">
        <v>650</v>
      </c>
      <c r="D7" s="272" t="s">
        <v>652</v>
      </c>
      <c r="E7" s="272" t="s">
        <v>653</v>
      </c>
      <c r="F7" s="272" t="s">
        <v>654</v>
      </c>
      <c r="G7" s="272" t="s">
        <v>655</v>
      </c>
      <c r="J7" s="273"/>
      <c r="K7" s="273"/>
      <c r="L7" s="274"/>
    </row>
    <row r="8" spans="2:12">
      <c r="B8" s="248" t="s">
        <v>10</v>
      </c>
      <c r="C8" s="249" t="s">
        <v>21</v>
      </c>
      <c r="D8" s="249" t="s">
        <v>21</v>
      </c>
      <c r="E8" s="249" t="s">
        <v>21</v>
      </c>
      <c r="F8" s="250">
        <f>SUM(F9,F18)</f>
        <v>573.79999999999995</v>
      </c>
      <c r="G8" s="250">
        <f>SUM(G9,G18)</f>
        <v>301.12</v>
      </c>
      <c r="J8" s="36" t="s">
        <v>78</v>
      </c>
      <c r="K8" s="123">
        <v>1</v>
      </c>
      <c r="L8" s="40" t="s">
        <v>12</v>
      </c>
    </row>
    <row r="9" spans="2:12">
      <c r="B9" s="251" t="s">
        <v>395</v>
      </c>
      <c r="C9" s="252" t="s">
        <v>21</v>
      </c>
      <c r="D9" s="252" t="s">
        <v>21</v>
      </c>
      <c r="E9" s="252" t="s">
        <v>21</v>
      </c>
      <c r="F9" s="253">
        <f>SUM(F10,F14)</f>
        <v>147.80000000000001</v>
      </c>
      <c r="G9" s="253">
        <f>SUM(G10,G14)</f>
        <v>73.400000000000006</v>
      </c>
      <c r="J9" s="36" t="s">
        <v>80</v>
      </c>
      <c r="K9" s="123">
        <v>1</v>
      </c>
      <c r="L9" s="40" t="s">
        <v>12</v>
      </c>
    </row>
    <row r="10" spans="2:12">
      <c r="B10" s="254" t="s">
        <v>78</v>
      </c>
      <c r="C10" s="255" t="s">
        <v>21</v>
      </c>
      <c r="D10" s="255" t="s">
        <v>21</v>
      </c>
      <c r="E10" s="255" t="s">
        <v>21</v>
      </c>
      <c r="F10" s="256">
        <f>SUM(F11:F13)</f>
        <v>70</v>
      </c>
      <c r="G10" s="256">
        <f>SUM(G11:G13)</f>
        <v>31</v>
      </c>
      <c r="J10" s="36" t="s">
        <v>81</v>
      </c>
      <c r="K10" s="123">
        <v>1</v>
      </c>
      <c r="L10" s="40" t="s">
        <v>12</v>
      </c>
    </row>
    <row r="11" spans="2:12">
      <c r="B11" s="257" t="s">
        <v>396</v>
      </c>
      <c r="C11" s="244">
        <v>76890</v>
      </c>
      <c r="D11" s="244" t="s">
        <v>397</v>
      </c>
      <c r="E11" s="244" t="s">
        <v>398</v>
      </c>
      <c r="F11" s="258">
        <v>20</v>
      </c>
      <c r="G11" s="258">
        <v>9</v>
      </c>
      <c r="J11" s="36" t="s">
        <v>272</v>
      </c>
      <c r="K11" s="123">
        <v>1</v>
      </c>
      <c r="L11" s="40" t="s">
        <v>12</v>
      </c>
    </row>
    <row r="12" spans="2:12">
      <c r="B12" s="257" t="s">
        <v>399</v>
      </c>
      <c r="C12" s="244">
        <v>76901</v>
      </c>
      <c r="D12" s="244" t="s">
        <v>400</v>
      </c>
      <c r="E12" s="244" t="s">
        <v>401</v>
      </c>
      <c r="F12" s="258">
        <v>30</v>
      </c>
      <c r="G12" s="258">
        <v>14.2</v>
      </c>
      <c r="J12" s="36" t="s">
        <v>172</v>
      </c>
      <c r="K12" s="123">
        <v>1</v>
      </c>
      <c r="L12" s="40" t="s">
        <v>12</v>
      </c>
    </row>
    <row r="13" spans="2:12">
      <c r="B13" s="257" t="s">
        <v>402</v>
      </c>
      <c r="C13" s="244">
        <v>76892</v>
      </c>
      <c r="D13" s="244" t="s">
        <v>403</v>
      </c>
      <c r="E13" s="244" t="s">
        <v>404</v>
      </c>
      <c r="F13" s="258">
        <v>20</v>
      </c>
      <c r="G13" s="258">
        <v>7.8</v>
      </c>
      <c r="J13" s="36" t="s">
        <v>87</v>
      </c>
      <c r="K13" s="123">
        <v>1</v>
      </c>
      <c r="L13" s="40" t="s">
        <v>12</v>
      </c>
    </row>
    <row r="14" spans="2:12">
      <c r="B14" s="254" t="s">
        <v>80</v>
      </c>
      <c r="C14" s="255" t="s">
        <v>21</v>
      </c>
      <c r="D14" s="255" t="s">
        <v>21</v>
      </c>
      <c r="E14" s="255" t="s">
        <v>21</v>
      </c>
      <c r="F14" s="256">
        <f>SUM(F15:F17)</f>
        <v>77.8</v>
      </c>
      <c r="G14" s="256">
        <f>SUM(G15:G17)</f>
        <v>42.400000000000006</v>
      </c>
      <c r="J14" s="36" t="s">
        <v>405</v>
      </c>
      <c r="K14" s="123">
        <v>1</v>
      </c>
      <c r="L14" s="40" t="s">
        <v>12</v>
      </c>
    </row>
    <row r="15" spans="2:12">
      <c r="B15" s="257" t="s">
        <v>406</v>
      </c>
      <c r="C15" s="244">
        <v>92872</v>
      </c>
      <c r="D15" s="244" t="s">
        <v>407</v>
      </c>
      <c r="E15" s="244" t="s">
        <v>408</v>
      </c>
      <c r="F15" s="258">
        <v>30.8</v>
      </c>
      <c r="G15" s="258">
        <v>17.8</v>
      </c>
      <c r="J15" s="36" t="s">
        <v>173</v>
      </c>
      <c r="K15" s="123">
        <v>1</v>
      </c>
      <c r="L15" s="40" t="s">
        <v>12</v>
      </c>
    </row>
    <row r="16" spans="2:12">
      <c r="B16" s="257" t="s">
        <v>409</v>
      </c>
      <c r="C16" s="244">
        <v>86718</v>
      </c>
      <c r="D16" s="244" t="s">
        <v>410</v>
      </c>
      <c r="E16" s="244" t="s">
        <v>411</v>
      </c>
      <c r="F16" s="258">
        <v>23</v>
      </c>
      <c r="G16" s="258">
        <v>12.9</v>
      </c>
      <c r="J16" s="36" t="s">
        <v>174</v>
      </c>
      <c r="K16" s="123">
        <v>1</v>
      </c>
      <c r="L16" s="40" t="s">
        <v>12</v>
      </c>
    </row>
    <row r="17" spans="2:12">
      <c r="B17" s="257" t="s">
        <v>412</v>
      </c>
      <c r="C17" s="244">
        <v>86682</v>
      </c>
      <c r="D17" s="244" t="s">
        <v>413</v>
      </c>
      <c r="E17" s="244" t="s">
        <v>414</v>
      </c>
      <c r="F17" s="258">
        <v>24</v>
      </c>
      <c r="G17" s="258">
        <v>11.7</v>
      </c>
      <c r="J17" s="36" t="s">
        <v>193</v>
      </c>
      <c r="K17" s="123">
        <v>1</v>
      </c>
      <c r="L17" s="40" t="s">
        <v>12</v>
      </c>
    </row>
    <row r="18" spans="2:12">
      <c r="B18" s="251" t="s">
        <v>415</v>
      </c>
      <c r="C18" s="252" t="s">
        <v>21</v>
      </c>
      <c r="D18" s="252" t="s">
        <v>21</v>
      </c>
      <c r="E18" s="252" t="s">
        <v>21</v>
      </c>
      <c r="F18" s="253">
        <f>SUM(F19,F28,F33)</f>
        <v>425.99999999999994</v>
      </c>
      <c r="G18" s="253">
        <f>SUM(G19,G28,G33)</f>
        <v>227.72000000000003</v>
      </c>
      <c r="J18" s="29" t="s">
        <v>93</v>
      </c>
      <c r="K18" s="124">
        <v>0.5</v>
      </c>
      <c r="L18" s="40" t="s">
        <v>12</v>
      </c>
    </row>
    <row r="19" spans="2:12">
      <c r="B19" s="254" t="s">
        <v>81</v>
      </c>
      <c r="C19" s="255" t="s">
        <v>21</v>
      </c>
      <c r="D19" s="255" t="s">
        <v>21</v>
      </c>
      <c r="E19" s="255" t="s">
        <v>21</v>
      </c>
      <c r="F19" s="256">
        <f>SUM(F20:F27)</f>
        <v>220.79999999999998</v>
      </c>
      <c r="G19" s="256">
        <f>SUM(G20:G27)</f>
        <v>116.82000000000001</v>
      </c>
      <c r="J19" s="36" t="s">
        <v>190</v>
      </c>
      <c r="K19" s="123">
        <v>1</v>
      </c>
      <c r="L19" s="40" t="s">
        <v>194</v>
      </c>
    </row>
    <row r="20" spans="2:12">
      <c r="B20" s="257" t="s">
        <v>416</v>
      </c>
      <c r="C20" s="244">
        <v>98536</v>
      </c>
      <c r="D20" s="244" t="s">
        <v>417</v>
      </c>
      <c r="E20" s="244" t="s">
        <v>418</v>
      </c>
      <c r="F20" s="258">
        <v>27.6</v>
      </c>
      <c r="G20" s="258">
        <v>12.61</v>
      </c>
      <c r="J20" s="36" t="s">
        <v>191</v>
      </c>
      <c r="K20" s="123">
        <v>1</v>
      </c>
      <c r="L20" s="40" t="s">
        <v>194</v>
      </c>
    </row>
    <row r="21" spans="2:12">
      <c r="B21" s="257" t="s">
        <v>419</v>
      </c>
      <c r="C21" s="244">
        <v>98589</v>
      </c>
      <c r="D21" s="244" t="s">
        <v>420</v>
      </c>
      <c r="E21" s="244" t="s">
        <v>421</v>
      </c>
      <c r="F21" s="258">
        <v>27.6</v>
      </c>
      <c r="G21" s="258">
        <v>13.28</v>
      </c>
      <c r="J21" s="36" t="s">
        <v>89</v>
      </c>
      <c r="K21" s="123">
        <v>0.51</v>
      </c>
      <c r="L21" s="40" t="s">
        <v>194</v>
      </c>
    </row>
    <row r="22" spans="2:12">
      <c r="B22" s="257" t="s">
        <v>422</v>
      </c>
      <c r="C22" s="244">
        <v>98573</v>
      </c>
      <c r="D22" s="244" t="s">
        <v>423</v>
      </c>
      <c r="E22" s="244" t="s">
        <v>424</v>
      </c>
      <c r="F22" s="258">
        <v>27.6</v>
      </c>
      <c r="G22" s="258">
        <v>13.1</v>
      </c>
      <c r="J22" s="36" t="s">
        <v>95</v>
      </c>
      <c r="K22" s="123">
        <v>1</v>
      </c>
      <c r="L22" s="40" t="s">
        <v>194</v>
      </c>
    </row>
    <row r="23" spans="2:12">
      <c r="B23" s="257" t="s">
        <v>425</v>
      </c>
      <c r="C23" s="244">
        <v>98574</v>
      </c>
      <c r="D23" s="244" t="s">
        <v>426</v>
      </c>
      <c r="E23" s="244" t="s">
        <v>427</v>
      </c>
      <c r="F23" s="258">
        <v>27.6</v>
      </c>
      <c r="G23" s="258">
        <v>15.86</v>
      </c>
      <c r="J23" s="29" t="s">
        <v>97</v>
      </c>
      <c r="K23" s="124">
        <v>0.5</v>
      </c>
      <c r="L23" s="40" t="s">
        <v>195</v>
      </c>
    </row>
    <row r="24" spans="2:12">
      <c r="B24" s="257" t="s">
        <v>428</v>
      </c>
      <c r="C24" s="244">
        <v>98575</v>
      </c>
      <c r="D24" s="244" t="s">
        <v>429</v>
      </c>
      <c r="E24" s="244" t="s">
        <v>430</v>
      </c>
      <c r="F24" s="258">
        <v>27.6</v>
      </c>
      <c r="G24" s="258">
        <v>15.14</v>
      </c>
      <c r="J24" s="89" t="s">
        <v>90</v>
      </c>
      <c r="K24" s="89"/>
      <c r="L24" s="90"/>
    </row>
    <row r="25" spans="2:12">
      <c r="B25" s="257" t="s">
        <v>431</v>
      </c>
      <c r="C25" s="244">
        <v>98576</v>
      </c>
      <c r="D25" s="244" t="s">
        <v>432</v>
      </c>
      <c r="E25" s="244" t="s">
        <v>433</v>
      </c>
      <c r="F25" s="258">
        <v>27.6</v>
      </c>
      <c r="G25" s="258">
        <v>15.22</v>
      </c>
      <c r="J25" s="38" t="s">
        <v>434</v>
      </c>
      <c r="K25" s="38"/>
      <c r="L25" s="11"/>
    </row>
    <row r="26" spans="2:12">
      <c r="B26" s="257" t="s">
        <v>435</v>
      </c>
      <c r="C26" s="244">
        <v>98570</v>
      </c>
      <c r="D26" s="244" t="s">
        <v>436</v>
      </c>
      <c r="E26" s="244" t="s">
        <v>437</v>
      </c>
      <c r="F26" s="258">
        <v>27.6</v>
      </c>
      <c r="G26" s="258">
        <v>16.309999999999999</v>
      </c>
    </row>
    <row r="27" spans="2:12">
      <c r="B27" s="257" t="s">
        <v>438</v>
      </c>
      <c r="C27" s="244">
        <v>98590</v>
      </c>
      <c r="D27" s="244" t="s">
        <v>439</v>
      </c>
      <c r="E27" s="244" t="s">
        <v>440</v>
      </c>
      <c r="F27" s="258">
        <v>27.6</v>
      </c>
      <c r="G27" s="258">
        <v>15.3</v>
      </c>
    </row>
    <row r="28" spans="2:12">
      <c r="B28" s="254" t="s">
        <v>272</v>
      </c>
      <c r="C28" s="255" t="s">
        <v>21</v>
      </c>
      <c r="D28" s="255" t="s">
        <v>21</v>
      </c>
      <c r="E28" s="255" t="s">
        <v>21</v>
      </c>
      <c r="F28" s="256">
        <f>SUM(F29:F32)</f>
        <v>108</v>
      </c>
      <c r="G28" s="256">
        <f>SUM(G29:G32)</f>
        <v>60.900000000000006</v>
      </c>
    </row>
    <row r="29" spans="2:12">
      <c r="B29" s="257" t="s">
        <v>441</v>
      </c>
      <c r="C29" s="244">
        <v>107202</v>
      </c>
      <c r="D29" s="244" t="s">
        <v>442</v>
      </c>
      <c r="E29" s="244" t="s">
        <v>443</v>
      </c>
      <c r="F29" s="258">
        <v>27</v>
      </c>
      <c r="G29" s="258">
        <v>15.5</v>
      </c>
    </row>
    <row r="30" spans="2:12">
      <c r="B30" s="257" t="s">
        <v>444</v>
      </c>
      <c r="C30" s="244">
        <v>107121</v>
      </c>
      <c r="D30" s="244" t="s">
        <v>445</v>
      </c>
      <c r="E30" s="244" t="s">
        <v>446</v>
      </c>
      <c r="F30" s="258">
        <v>27</v>
      </c>
      <c r="G30" s="258">
        <v>15.6</v>
      </c>
    </row>
    <row r="31" spans="2:12">
      <c r="B31" s="257" t="s">
        <v>447</v>
      </c>
      <c r="C31" s="244">
        <v>107120</v>
      </c>
      <c r="D31" s="244" t="s">
        <v>448</v>
      </c>
      <c r="E31" s="244" t="s">
        <v>449</v>
      </c>
      <c r="F31" s="258">
        <v>29.7</v>
      </c>
      <c r="G31" s="258">
        <v>16.600000000000001</v>
      </c>
    </row>
    <row r="32" spans="2:12">
      <c r="B32" s="257" t="s">
        <v>450</v>
      </c>
      <c r="C32" s="244">
        <v>107119</v>
      </c>
      <c r="D32" s="244" t="s">
        <v>451</v>
      </c>
      <c r="E32" s="244" t="s">
        <v>452</v>
      </c>
      <c r="F32" s="258">
        <v>24.3</v>
      </c>
      <c r="G32" s="258">
        <v>13.2</v>
      </c>
    </row>
    <row r="33" spans="2:12">
      <c r="B33" s="254" t="s">
        <v>273</v>
      </c>
      <c r="C33" s="255" t="s">
        <v>21</v>
      </c>
      <c r="D33" s="255" t="s">
        <v>21</v>
      </c>
      <c r="E33" s="255" t="s">
        <v>21</v>
      </c>
      <c r="F33" s="256">
        <f>SUM(F34:F36)</f>
        <v>97.2</v>
      </c>
      <c r="G33" s="256">
        <f>SUM(G34:G36)</f>
        <v>50</v>
      </c>
    </row>
    <row r="34" spans="2:12">
      <c r="B34" s="257" t="s">
        <v>453</v>
      </c>
      <c r="C34" s="244">
        <v>125763</v>
      </c>
      <c r="D34" s="244" t="s">
        <v>454</v>
      </c>
      <c r="E34" s="244" t="s">
        <v>455</v>
      </c>
      <c r="F34" s="258">
        <v>27</v>
      </c>
      <c r="G34" s="258">
        <v>14</v>
      </c>
    </row>
    <row r="35" spans="2:12">
      <c r="B35" s="257" t="s">
        <v>456</v>
      </c>
      <c r="C35" s="244">
        <v>125872</v>
      </c>
      <c r="D35" s="244" t="s">
        <v>457</v>
      </c>
      <c r="E35" s="244" t="s">
        <v>458</v>
      </c>
      <c r="F35" s="258">
        <v>35.1</v>
      </c>
      <c r="G35" s="258">
        <v>18.2</v>
      </c>
    </row>
    <row r="36" spans="2:12">
      <c r="B36" s="259" t="s">
        <v>459</v>
      </c>
      <c r="C36" s="260">
        <v>125873</v>
      </c>
      <c r="D36" s="244" t="s">
        <v>460</v>
      </c>
      <c r="E36" s="244" t="s">
        <v>461</v>
      </c>
      <c r="F36" s="258">
        <v>35.1</v>
      </c>
      <c r="G36" s="258">
        <v>17.8</v>
      </c>
    </row>
    <row r="37" spans="2:12">
      <c r="B37" s="248" t="s">
        <v>13</v>
      </c>
      <c r="C37" s="249" t="s">
        <v>21</v>
      </c>
      <c r="D37" s="249" t="s">
        <v>21</v>
      </c>
      <c r="E37" s="249" t="s">
        <v>21</v>
      </c>
      <c r="F37" s="250">
        <f>SUM(F38,F56)</f>
        <v>535.04999999999995</v>
      </c>
      <c r="G37" s="250">
        <f>SUM(G38,G56)</f>
        <v>251.25000000000003</v>
      </c>
    </row>
    <row r="38" spans="2:12">
      <c r="B38" s="251" t="s">
        <v>85</v>
      </c>
      <c r="C38" s="252" t="s">
        <v>21</v>
      </c>
      <c r="D38" s="252" t="s">
        <v>21</v>
      </c>
      <c r="E38" s="252" t="s">
        <v>21</v>
      </c>
      <c r="F38" s="253">
        <f>SUM(F39,F53)</f>
        <v>353</v>
      </c>
      <c r="G38" s="253">
        <f>SUM(G39,G53)</f>
        <v>164.90000000000003</v>
      </c>
      <c r="J38" s="36"/>
      <c r="K38" s="123"/>
      <c r="L38" s="40"/>
    </row>
    <row r="39" spans="2:12">
      <c r="B39" s="254" t="s">
        <v>192</v>
      </c>
      <c r="C39" s="255" t="s">
        <v>21</v>
      </c>
      <c r="D39" s="255" t="s">
        <v>21</v>
      </c>
      <c r="E39" s="255" t="s">
        <v>21</v>
      </c>
      <c r="F39" s="256">
        <f>SUM(F40:F52)</f>
        <v>303</v>
      </c>
      <c r="G39" s="256">
        <f>SUM(G40:G52)</f>
        <v>138.00000000000003</v>
      </c>
    </row>
    <row r="40" spans="2:12">
      <c r="B40" s="257" t="s">
        <v>462</v>
      </c>
      <c r="C40" s="244">
        <v>82287</v>
      </c>
      <c r="D40" s="244" t="s">
        <v>463</v>
      </c>
      <c r="E40" s="244" t="s">
        <v>464</v>
      </c>
      <c r="F40" s="258">
        <v>20</v>
      </c>
      <c r="G40" s="258">
        <v>10.1</v>
      </c>
    </row>
    <row r="41" spans="2:12">
      <c r="B41" s="257" t="s">
        <v>465</v>
      </c>
      <c r="C41" s="244">
        <v>78664</v>
      </c>
      <c r="D41" s="244" t="s">
        <v>466</v>
      </c>
      <c r="E41" s="244" t="s">
        <v>467</v>
      </c>
      <c r="F41" s="258">
        <v>30</v>
      </c>
      <c r="G41" s="258">
        <v>14.6</v>
      </c>
    </row>
    <row r="42" spans="2:12">
      <c r="B42" s="257" t="s">
        <v>468</v>
      </c>
      <c r="C42" s="244">
        <v>82288</v>
      </c>
      <c r="D42" s="244" t="s">
        <v>469</v>
      </c>
      <c r="E42" s="244" t="s">
        <v>470</v>
      </c>
      <c r="F42" s="258">
        <v>18</v>
      </c>
      <c r="G42" s="258">
        <v>8.9</v>
      </c>
    </row>
    <row r="43" spans="2:12">
      <c r="B43" s="257" t="s">
        <v>471</v>
      </c>
      <c r="C43" s="244">
        <v>99783</v>
      </c>
      <c r="D43" s="244" t="s">
        <v>472</v>
      </c>
      <c r="E43" s="244" t="s">
        <v>473</v>
      </c>
      <c r="F43" s="258">
        <v>12.5</v>
      </c>
      <c r="G43" s="258">
        <v>5.9</v>
      </c>
    </row>
    <row r="44" spans="2:12">
      <c r="B44" s="257" t="s">
        <v>474</v>
      </c>
      <c r="C44" s="244">
        <v>99259</v>
      </c>
      <c r="D44" s="244" t="s">
        <v>475</v>
      </c>
      <c r="E44" s="244" t="s">
        <v>476</v>
      </c>
      <c r="F44" s="258">
        <v>30</v>
      </c>
      <c r="G44" s="258">
        <v>13.1</v>
      </c>
    </row>
    <row r="45" spans="2:12">
      <c r="B45" s="257" t="s">
        <v>477</v>
      </c>
      <c r="C45" s="244">
        <v>99784</v>
      </c>
      <c r="D45" s="244" t="s">
        <v>478</v>
      </c>
      <c r="E45" s="244" t="s">
        <v>479</v>
      </c>
      <c r="F45" s="258">
        <v>27.5</v>
      </c>
      <c r="G45" s="258">
        <v>11.6</v>
      </c>
    </row>
    <row r="46" spans="2:12">
      <c r="B46" s="257" t="s">
        <v>480</v>
      </c>
      <c r="C46" s="244">
        <v>99785</v>
      </c>
      <c r="D46" s="244" t="s">
        <v>481</v>
      </c>
      <c r="E46" s="244" t="s">
        <v>482</v>
      </c>
      <c r="F46" s="258">
        <v>20</v>
      </c>
      <c r="G46" s="258">
        <v>9</v>
      </c>
    </row>
    <row r="47" spans="2:12">
      <c r="B47" s="257" t="s">
        <v>483</v>
      </c>
      <c r="C47" s="244">
        <v>99786</v>
      </c>
      <c r="D47" s="244" t="s">
        <v>484</v>
      </c>
      <c r="E47" s="244" t="s">
        <v>485</v>
      </c>
      <c r="F47" s="258">
        <v>27.5</v>
      </c>
      <c r="G47" s="258">
        <v>13.5</v>
      </c>
    </row>
    <row r="48" spans="2:12">
      <c r="B48" s="257" t="s">
        <v>486</v>
      </c>
      <c r="C48" s="244">
        <v>99787</v>
      </c>
      <c r="D48" s="244" t="s">
        <v>487</v>
      </c>
      <c r="E48" s="244" t="s">
        <v>488</v>
      </c>
      <c r="F48" s="258">
        <v>17.5</v>
      </c>
      <c r="G48" s="258">
        <v>7.7</v>
      </c>
    </row>
    <row r="49" spans="2:7">
      <c r="B49" s="257" t="s">
        <v>489</v>
      </c>
      <c r="C49" s="244">
        <v>99788</v>
      </c>
      <c r="D49" s="244" t="s">
        <v>490</v>
      </c>
      <c r="E49" s="244" t="s">
        <v>491</v>
      </c>
      <c r="F49" s="258">
        <v>17.5</v>
      </c>
      <c r="G49" s="258">
        <v>7.9</v>
      </c>
    </row>
    <row r="50" spans="2:7">
      <c r="B50" s="257" t="s">
        <v>492</v>
      </c>
      <c r="C50" s="244">
        <v>99795</v>
      </c>
      <c r="D50" s="244" t="s">
        <v>493</v>
      </c>
      <c r="E50" s="244" t="s">
        <v>494</v>
      </c>
      <c r="F50" s="258">
        <v>27.5</v>
      </c>
      <c r="G50" s="258">
        <v>11.7</v>
      </c>
    </row>
    <row r="51" spans="2:7">
      <c r="B51" s="257" t="s">
        <v>495</v>
      </c>
      <c r="C51" s="244">
        <v>99796</v>
      </c>
      <c r="D51" s="244" t="s">
        <v>496</v>
      </c>
      <c r="E51" s="244" t="s">
        <v>497</v>
      </c>
      <c r="F51" s="258">
        <v>30</v>
      </c>
      <c r="G51" s="258">
        <v>13.2</v>
      </c>
    </row>
    <row r="52" spans="2:7">
      <c r="B52" s="257" t="s">
        <v>498</v>
      </c>
      <c r="C52" s="244">
        <v>99797</v>
      </c>
      <c r="D52" s="244" t="s">
        <v>499</v>
      </c>
      <c r="E52" s="244" t="s">
        <v>500</v>
      </c>
      <c r="F52" s="258">
        <v>25</v>
      </c>
      <c r="G52" s="258">
        <v>10.8</v>
      </c>
    </row>
    <row r="53" spans="2:7">
      <c r="B53" s="254" t="s">
        <v>178</v>
      </c>
      <c r="C53" s="255" t="s">
        <v>21</v>
      </c>
      <c r="D53" s="261" t="s">
        <v>21</v>
      </c>
      <c r="E53" s="261" t="s">
        <v>21</v>
      </c>
      <c r="F53" s="256">
        <f>SUM(F54:F55)</f>
        <v>50</v>
      </c>
      <c r="G53" s="256">
        <f>SUM(G54:G55)</f>
        <v>26.9</v>
      </c>
    </row>
    <row r="54" spans="2:7">
      <c r="B54" s="257" t="s">
        <v>501</v>
      </c>
      <c r="C54" s="244">
        <v>99977</v>
      </c>
      <c r="D54" s="244" t="s">
        <v>502</v>
      </c>
      <c r="E54" s="244" t="s">
        <v>503</v>
      </c>
      <c r="F54" s="258">
        <v>25</v>
      </c>
      <c r="G54" s="258">
        <v>13.3</v>
      </c>
    </row>
    <row r="55" spans="2:7">
      <c r="B55" s="257" t="s">
        <v>504</v>
      </c>
      <c r="C55" s="244">
        <v>99978</v>
      </c>
      <c r="D55" s="244" t="s">
        <v>505</v>
      </c>
      <c r="E55" s="244" t="s">
        <v>506</v>
      </c>
      <c r="F55" s="258">
        <v>25</v>
      </c>
      <c r="G55" s="258">
        <v>13.6</v>
      </c>
    </row>
    <row r="56" spans="2:7">
      <c r="B56" s="251" t="s">
        <v>196</v>
      </c>
      <c r="C56" s="252" t="s">
        <v>21</v>
      </c>
      <c r="D56" s="252" t="s">
        <v>21</v>
      </c>
      <c r="E56" s="252" t="s">
        <v>21</v>
      </c>
      <c r="F56" s="253">
        <f>SUM(F57,F61,F66)</f>
        <v>182.05</v>
      </c>
      <c r="G56" s="253">
        <f>SUM(G57,G61,G66)</f>
        <v>86.35</v>
      </c>
    </row>
    <row r="57" spans="2:7">
      <c r="B57" s="254" t="s">
        <v>183</v>
      </c>
      <c r="C57" s="255" t="s">
        <v>21</v>
      </c>
      <c r="D57" s="261" t="s">
        <v>21</v>
      </c>
      <c r="E57" s="261" t="s">
        <v>21</v>
      </c>
      <c r="F57" s="256">
        <f>SUM(F58:F60)</f>
        <v>33</v>
      </c>
      <c r="G57" s="256">
        <f>SUM(G58:G60)</f>
        <v>16.850000000000001</v>
      </c>
    </row>
    <row r="58" spans="2:7">
      <c r="B58" s="257" t="s">
        <v>507</v>
      </c>
      <c r="C58" s="244">
        <v>98675</v>
      </c>
      <c r="D58" s="244" t="s">
        <v>508</v>
      </c>
      <c r="E58" s="244" t="s">
        <v>509</v>
      </c>
      <c r="F58" s="258">
        <v>13.5</v>
      </c>
      <c r="G58" s="258">
        <v>7</v>
      </c>
    </row>
    <row r="59" spans="2:7">
      <c r="B59" s="257" t="s">
        <v>510</v>
      </c>
      <c r="C59" s="244">
        <v>98990</v>
      </c>
      <c r="D59" s="244" t="s">
        <v>511</v>
      </c>
      <c r="E59" s="244" t="s">
        <v>512</v>
      </c>
      <c r="F59" s="258">
        <v>6</v>
      </c>
      <c r="G59" s="258">
        <v>3</v>
      </c>
    </row>
    <row r="60" spans="2:7">
      <c r="B60" s="257" t="s">
        <v>513</v>
      </c>
      <c r="C60" s="244">
        <v>98871</v>
      </c>
      <c r="D60" s="244" t="s">
        <v>514</v>
      </c>
      <c r="E60" s="244" t="s">
        <v>515</v>
      </c>
      <c r="F60" s="258">
        <v>13.5</v>
      </c>
      <c r="G60" s="258">
        <v>6.85</v>
      </c>
    </row>
    <row r="61" spans="2:7">
      <c r="B61" s="254" t="s">
        <v>184</v>
      </c>
      <c r="C61" s="255" t="s">
        <v>21</v>
      </c>
      <c r="D61" s="261" t="s">
        <v>21</v>
      </c>
      <c r="E61" s="261" t="s">
        <v>21</v>
      </c>
      <c r="F61" s="256">
        <f>SUM(F62:F65)</f>
        <v>58.3</v>
      </c>
      <c r="G61" s="256">
        <f>SUM(G62:G65)</f>
        <v>27.2</v>
      </c>
    </row>
    <row r="62" spans="2:7">
      <c r="B62" s="257" t="s">
        <v>516</v>
      </c>
      <c r="C62" s="244">
        <v>100916</v>
      </c>
      <c r="D62" s="244" t="s">
        <v>517</v>
      </c>
      <c r="E62" s="244" t="s">
        <v>518</v>
      </c>
      <c r="F62" s="258">
        <v>14.3</v>
      </c>
      <c r="G62" s="258">
        <v>6.55</v>
      </c>
    </row>
    <row r="63" spans="2:7">
      <c r="B63" s="257" t="s">
        <v>519</v>
      </c>
      <c r="C63" s="244">
        <v>100917</v>
      </c>
      <c r="D63" s="244" t="s">
        <v>520</v>
      </c>
      <c r="E63" s="244" t="s">
        <v>521</v>
      </c>
      <c r="F63" s="258">
        <v>15.4</v>
      </c>
      <c r="G63" s="258">
        <v>7.25</v>
      </c>
    </row>
    <row r="64" spans="2:7">
      <c r="B64" s="257" t="s">
        <v>522</v>
      </c>
      <c r="C64" s="244">
        <v>100918</v>
      </c>
      <c r="D64" s="244" t="s">
        <v>523</v>
      </c>
      <c r="E64" s="244" t="s">
        <v>524</v>
      </c>
      <c r="F64" s="258">
        <v>14.3</v>
      </c>
      <c r="G64" s="258">
        <v>6.7</v>
      </c>
    </row>
    <row r="65" spans="2:7">
      <c r="B65" s="257" t="s">
        <v>525</v>
      </c>
      <c r="C65" s="244">
        <v>100939</v>
      </c>
      <c r="D65" s="244" t="s">
        <v>526</v>
      </c>
      <c r="E65" s="244" t="s">
        <v>527</v>
      </c>
      <c r="F65" s="258">
        <v>14.3</v>
      </c>
      <c r="G65" s="258">
        <v>6.7</v>
      </c>
    </row>
    <row r="66" spans="2:7">
      <c r="B66" s="254" t="s">
        <v>318</v>
      </c>
      <c r="C66" s="255" t="s">
        <v>21</v>
      </c>
      <c r="D66" s="261" t="s">
        <v>21</v>
      </c>
      <c r="E66" s="261" t="s">
        <v>21</v>
      </c>
      <c r="F66" s="256">
        <f>SUM(F67:F70)</f>
        <v>90.75</v>
      </c>
      <c r="G66" s="256">
        <f>SUM(G67:G70)</f>
        <v>42.3</v>
      </c>
    </row>
    <row r="67" spans="2:7">
      <c r="B67" s="257" t="s">
        <v>528</v>
      </c>
      <c r="C67" s="244">
        <v>143432</v>
      </c>
      <c r="D67" s="244" t="s">
        <v>529</v>
      </c>
      <c r="E67" s="244" t="s">
        <v>530</v>
      </c>
      <c r="F67" s="258">
        <v>24.75</v>
      </c>
      <c r="G67" s="258">
        <v>11.85</v>
      </c>
    </row>
    <row r="68" spans="2:7">
      <c r="B68" s="257" t="s">
        <v>531</v>
      </c>
      <c r="C68" s="244">
        <v>143433</v>
      </c>
      <c r="D68" s="244" t="s">
        <v>532</v>
      </c>
      <c r="E68" s="244" t="s">
        <v>533</v>
      </c>
      <c r="F68" s="258">
        <v>16.5</v>
      </c>
      <c r="G68" s="258">
        <v>7.2</v>
      </c>
    </row>
    <row r="69" spans="2:7">
      <c r="B69" s="257" t="s">
        <v>534</v>
      </c>
      <c r="C69" s="244">
        <v>143435</v>
      </c>
      <c r="D69" s="244" t="s">
        <v>535</v>
      </c>
      <c r="E69" s="244" t="s">
        <v>536</v>
      </c>
      <c r="F69" s="258">
        <v>24.75</v>
      </c>
      <c r="G69" s="258">
        <v>11.35</v>
      </c>
    </row>
    <row r="70" spans="2:7">
      <c r="B70" s="257" t="s">
        <v>537</v>
      </c>
      <c r="C70" s="244">
        <v>143434</v>
      </c>
      <c r="D70" s="244" t="s">
        <v>538</v>
      </c>
      <c r="E70" s="244" t="s">
        <v>539</v>
      </c>
      <c r="F70" s="258">
        <v>24.75</v>
      </c>
      <c r="G70" s="258">
        <v>11.9</v>
      </c>
    </row>
    <row r="71" spans="2:7">
      <c r="B71" s="248" t="s">
        <v>15</v>
      </c>
      <c r="C71" s="249" t="s">
        <v>21</v>
      </c>
      <c r="D71" s="249" t="s">
        <v>21</v>
      </c>
      <c r="E71" s="249" t="s">
        <v>21</v>
      </c>
      <c r="F71" s="250">
        <f>SUM(F72,F75,F80,F83,F96)</f>
        <v>271.05</v>
      </c>
      <c r="G71" s="250">
        <f>SUM(G72,G75,G80,G83,G96)</f>
        <v>96.82</v>
      </c>
    </row>
    <row r="72" spans="2:7">
      <c r="B72" s="251" t="s">
        <v>95</v>
      </c>
      <c r="C72" s="252" t="s">
        <v>21</v>
      </c>
      <c r="D72" s="252" t="s">
        <v>21</v>
      </c>
      <c r="E72" s="252" t="s">
        <v>21</v>
      </c>
      <c r="F72" s="253">
        <f>SUM(F73)</f>
        <v>30</v>
      </c>
      <c r="G72" s="253">
        <f>SUM(G73)</f>
        <v>12.87</v>
      </c>
    </row>
    <row r="73" spans="2:7">
      <c r="B73" s="254" t="s">
        <v>95</v>
      </c>
      <c r="C73" s="255" t="s">
        <v>21</v>
      </c>
      <c r="D73" s="261" t="s">
        <v>21</v>
      </c>
      <c r="E73" s="261" t="s">
        <v>21</v>
      </c>
      <c r="F73" s="256">
        <f>SUM(F74)</f>
        <v>30</v>
      </c>
      <c r="G73" s="256">
        <f>SUM(G74)</f>
        <v>12.87</v>
      </c>
    </row>
    <row r="74" spans="2:7">
      <c r="B74" s="257" t="s">
        <v>540</v>
      </c>
      <c r="C74" s="244">
        <v>93832</v>
      </c>
      <c r="D74" s="244" t="s">
        <v>541</v>
      </c>
      <c r="E74" s="244" t="s">
        <v>542</v>
      </c>
      <c r="F74" s="258">
        <v>30</v>
      </c>
      <c r="G74" s="258">
        <v>12.87</v>
      </c>
    </row>
    <row r="75" spans="2:7">
      <c r="B75" s="251" t="s">
        <v>96</v>
      </c>
      <c r="C75" s="252" t="s">
        <v>21</v>
      </c>
      <c r="D75" s="252" t="s">
        <v>21</v>
      </c>
      <c r="E75" s="252" t="s">
        <v>21</v>
      </c>
      <c r="F75" s="253">
        <f>SUM(F76,F78)</f>
        <v>32.5</v>
      </c>
      <c r="G75" s="253">
        <f>SUM(G76,G78)</f>
        <v>22.4</v>
      </c>
    </row>
    <row r="76" spans="2:7">
      <c r="B76" s="254" t="s">
        <v>190</v>
      </c>
      <c r="C76" s="255" t="s">
        <v>21</v>
      </c>
      <c r="D76" s="261" t="s">
        <v>21</v>
      </c>
      <c r="E76" s="261" t="s">
        <v>21</v>
      </c>
      <c r="F76" s="256">
        <f>SUM(F77)</f>
        <v>20</v>
      </c>
      <c r="G76" s="256">
        <f>SUM(G77)</f>
        <v>13.4</v>
      </c>
    </row>
    <row r="77" spans="2:7">
      <c r="B77" s="257" t="s">
        <v>543</v>
      </c>
      <c r="C77" s="244">
        <v>8976</v>
      </c>
      <c r="D77" s="244" t="s">
        <v>544</v>
      </c>
      <c r="E77" s="244" t="s">
        <v>545</v>
      </c>
      <c r="F77" s="258">
        <v>20</v>
      </c>
      <c r="G77" s="258">
        <v>13.4</v>
      </c>
    </row>
    <row r="78" spans="2:7">
      <c r="B78" s="254" t="s">
        <v>546</v>
      </c>
      <c r="C78" s="255" t="s">
        <v>21</v>
      </c>
      <c r="D78" s="261" t="s">
        <v>21</v>
      </c>
      <c r="E78" s="261" t="s">
        <v>21</v>
      </c>
      <c r="F78" s="256">
        <f>SUM(F79)</f>
        <v>12.5</v>
      </c>
      <c r="G78" s="256">
        <f>SUM(G79)</f>
        <v>9</v>
      </c>
    </row>
    <row r="79" spans="2:7">
      <c r="B79" s="257" t="s">
        <v>547</v>
      </c>
      <c r="C79" s="244">
        <v>8990</v>
      </c>
      <c r="D79" s="244" t="s">
        <v>548</v>
      </c>
      <c r="E79" s="244" t="s">
        <v>549</v>
      </c>
      <c r="F79" s="258">
        <v>12.5</v>
      </c>
      <c r="G79" s="258">
        <v>9</v>
      </c>
    </row>
    <row r="80" spans="2:7">
      <c r="B80" s="251" t="s">
        <v>89</v>
      </c>
      <c r="C80" s="252" t="s">
        <v>21</v>
      </c>
      <c r="D80" s="252" t="s">
        <v>21</v>
      </c>
      <c r="E80" s="252" t="s">
        <v>21</v>
      </c>
      <c r="F80" s="253">
        <f>SUM(F81)</f>
        <v>20</v>
      </c>
      <c r="G80" s="253">
        <f>SUM(G81)</f>
        <v>11.9</v>
      </c>
    </row>
    <row r="81" spans="2:7">
      <c r="B81" s="254" t="s">
        <v>89</v>
      </c>
      <c r="C81" s="255" t="s">
        <v>21</v>
      </c>
      <c r="D81" s="261" t="s">
        <v>21</v>
      </c>
      <c r="E81" s="261" t="s">
        <v>21</v>
      </c>
      <c r="F81" s="256">
        <f>SUM(F82)</f>
        <v>20</v>
      </c>
      <c r="G81" s="256">
        <f>SUM(G82)</f>
        <v>11.9</v>
      </c>
    </row>
    <row r="82" spans="2:7">
      <c r="B82" s="257" t="s">
        <v>550</v>
      </c>
      <c r="C82" s="244">
        <v>8742</v>
      </c>
      <c r="D82" s="244" t="s">
        <v>551</v>
      </c>
      <c r="E82" s="244" t="s">
        <v>552</v>
      </c>
      <c r="F82" s="258">
        <v>20</v>
      </c>
      <c r="G82" s="258">
        <v>11.9</v>
      </c>
    </row>
    <row r="83" spans="2:7">
      <c r="B83" s="251" t="s">
        <v>88</v>
      </c>
      <c r="C83" s="252" t="s">
        <v>21</v>
      </c>
      <c r="D83" s="252" t="s">
        <v>21</v>
      </c>
      <c r="E83" s="252" t="s">
        <v>21</v>
      </c>
      <c r="F83" s="253">
        <f>SUM(F84)</f>
        <v>160.5</v>
      </c>
      <c r="G83" s="253">
        <f>SUM(G84)</f>
        <v>42.6</v>
      </c>
    </row>
    <row r="84" spans="2:7">
      <c r="B84" s="254" t="s">
        <v>88</v>
      </c>
      <c r="C84" s="255" t="s">
        <v>21</v>
      </c>
      <c r="D84" s="261" t="s">
        <v>21</v>
      </c>
      <c r="E84" s="261" t="s">
        <v>21</v>
      </c>
      <c r="F84" s="256">
        <f>SUM(F85:F95)</f>
        <v>160.5</v>
      </c>
      <c r="G84" s="256">
        <f>SUM(G85:G95)</f>
        <v>42.6</v>
      </c>
    </row>
    <row r="85" spans="2:7">
      <c r="B85" s="257" t="s">
        <v>553</v>
      </c>
      <c r="C85" s="244">
        <v>100966</v>
      </c>
      <c r="D85" s="244" t="s">
        <v>554</v>
      </c>
      <c r="E85" s="244" t="s">
        <v>555</v>
      </c>
      <c r="F85" s="258">
        <v>15</v>
      </c>
      <c r="G85" s="258">
        <v>4.2</v>
      </c>
    </row>
    <row r="86" spans="2:7">
      <c r="B86" s="257" t="s">
        <v>556</v>
      </c>
      <c r="C86" s="244">
        <v>100967</v>
      </c>
      <c r="D86" s="244" t="s">
        <v>557</v>
      </c>
      <c r="E86" s="244" t="s">
        <v>558</v>
      </c>
      <c r="F86" s="258">
        <v>15</v>
      </c>
      <c r="G86" s="258">
        <v>4.2</v>
      </c>
    </row>
    <row r="87" spans="2:7">
      <c r="B87" s="257" t="s">
        <v>559</v>
      </c>
      <c r="C87" s="244">
        <v>100968</v>
      </c>
      <c r="D87" s="244" t="s">
        <v>560</v>
      </c>
      <c r="E87" s="244" t="s">
        <v>561</v>
      </c>
      <c r="F87" s="258">
        <v>15</v>
      </c>
      <c r="G87" s="258">
        <v>4.2</v>
      </c>
    </row>
    <row r="88" spans="2:7">
      <c r="B88" s="257" t="s">
        <v>562</v>
      </c>
      <c r="C88" s="244">
        <v>99860</v>
      </c>
      <c r="D88" s="244" t="s">
        <v>563</v>
      </c>
      <c r="E88" s="244" t="s">
        <v>564</v>
      </c>
      <c r="F88" s="258">
        <v>15</v>
      </c>
      <c r="G88" s="258">
        <v>4.2</v>
      </c>
    </row>
    <row r="89" spans="2:7">
      <c r="B89" s="257" t="s">
        <v>565</v>
      </c>
      <c r="C89" s="244">
        <v>99861</v>
      </c>
      <c r="D89" s="244" t="s">
        <v>566</v>
      </c>
      <c r="E89" s="244" t="s">
        <v>567</v>
      </c>
      <c r="F89" s="258">
        <v>15</v>
      </c>
      <c r="G89" s="258">
        <v>4.2</v>
      </c>
    </row>
    <row r="90" spans="2:7">
      <c r="B90" s="257" t="s">
        <v>568</v>
      </c>
      <c r="C90" s="244">
        <v>99862</v>
      </c>
      <c r="D90" s="244" t="s">
        <v>569</v>
      </c>
      <c r="E90" s="244" t="s">
        <v>570</v>
      </c>
      <c r="F90" s="258">
        <v>15</v>
      </c>
      <c r="G90" s="258">
        <v>4.2</v>
      </c>
    </row>
    <row r="91" spans="2:7">
      <c r="B91" s="257" t="s">
        <v>571</v>
      </c>
      <c r="C91" s="244">
        <v>99863</v>
      </c>
      <c r="D91" s="244" t="s">
        <v>572</v>
      </c>
      <c r="E91" s="244" t="s">
        <v>573</v>
      </c>
      <c r="F91" s="258">
        <v>15</v>
      </c>
      <c r="G91" s="258">
        <v>4.2</v>
      </c>
    </row>
    <row r="92" spans="2:7">
      <c r="B92" s="257" t="s">
        <v>574</v>
      </c>
      <c r="C92" s="244">
        <v>100055</v>
      </c>
      <c r="D92" s="244" t="s">
        <v>575</v>
      </c>
      <c r="E92" s="244" t="s">
        <v>576</v>
      </c>
      <c r="F92" s="258">
        <v>15</v>
      </c>
      <c r="G92" s="258">
        <v>4.2</v>
      </c>
    </row>
    <row r="93" spans="2:7">
      <c r="B93" s="257" t="s">
        <v>577</v>
      </c>
      <c r="C93" s="244">
        <v>99840</v>
      </c>
      <c r="D93" s="244" t="s">
        <v>578</v>
      </c>
      <c r="E93" s="244" t="s">
        <v>579</v>
      </c>
      <c r="F93" s="258">
        <v>13.5</v>
      </c>
      <c r="G93" s="258">
        <v>3</v>
      </c>
    </row>
    <row r="94" spans="2:7">
      <c r="B94" s="257" t="s">
        <v>580</v>
      </c>
      <c r="C94" s="244">
        <v>99841</v>
      </c>
      <c r="D94" s="244" t="s">
        <v>581</v>
      </c>
      <c r="E94" s="244" t="s">
        <v>582</v>
      </c>
      <c r="F94" s="258">
        <v>13.5</v>
      </c>
      <c r="G94" s="258">
        <v>3</v>
      </c>
    </row>
    <row r="95" spans="2:7">
      <c r="B95" s="257" t="s">
        <v>583</v>
      </c>
      <c r="C95" s="244">
        <v>99842</v>
      </c>
      <c r="D95" s="244" t="s">
        <v>584</v>
      </c>
      <c r="E95" s="244" t="s">
        <v>585</v>
      </c>
      <c r="F95" s="258">
        <v>13.5</v>
      </c>
      <c r="G95" s="258">
        <v>3</v>
      </c>
    </row>
    <row r="96" spans="2:7">
      <c r="B96" s="251" t="s">
        <v>586</v>
      </c>
      <c r="C96" s="252" t="s">
        <v>21</v>
      </c>
      <c r="D96" s="252" t="s">
        <v>21</v>
      </c>
      <c r="E96" s="252" t="s">
        <v>21</v>
      </c>
      <c r="F96" s="253">
        <f>SUM(F97)</f>
        <v>28.05</v>
      </c>
      <c r="G96" s="253">
        <f>SUM(G97)</f>
        <v>7.05</v>
      </c>
    </row>
    <row r="97" spans="2:7">
      <c r="B97" s="254" t="s">
        <v>586</v>
      </c>
      <c r="C97" s="255" t="s">
        <v>21</v>
      </c>
      <c r="D97" s="261" t="s">
        <v>21</v>
      </c>
      <c r="E97" s="261" t="s">
        <v>21</v>
      </c>
      <c r="F97" s="256">
        <f>SUM(F98)</f>
        <v>28.05</v>
      </c>
      <c r="G97" s="256">
        <f>SUM(G98)</f>
        <v>7.05</v>
      </c>
    </row>
    <row r="98" spans="2:7">
      <c r="B98" s="257" t="s">
        <v>587</v>
      </c>
      <c r="C98" s="244">
        <v>8755</v>
      </c>
      <c r="D98" s="244" t="s">
        <v>588</v>
      </c>
      <c r="E98" s="244" t="s">
        <v>589</v>
      </c>
      <c r="F98" s="258">
        <v>28.05</v>
      </c>
      <c r="G98" s="258">
        <v>7.05</v>
      </c>
    </row>
    <row r="99" spans="2:7">
      <c r="B99" s="248" t="s">
        <v>18</v>
      </c>
      <c r="C99" s="249" t="s">
        <v>21</v>
      </c>
      <c r="D99" s="249" t="s">
        <v>21</v>
      </c>
      <c r="E99" s="249" t="s">
        <v>21</v>
      </c>
      <c r="F99" s="250">
        <f>SUM(F100,F118)</f>
        <v>582.79</v>
      </c>
      <c r="G99" s="250">
        <f>SUM(G100,G118)</f>
        <v>218.90000000000003</v>
      </c>
    </row>
    <row r="100" spans="2:7">
      <c r="B100" s="251" t="s">
        <v>590</v>
      </c>
      <c r="C100" s="252" t="s">
        <v>21</v>
      </c>
      <c r="D100" s="252" t="s">
        <v>21</v>
      </c>
      <c r="E100" s="252" t="s">
        <v>21</v>
      </c>
      <c r="F100" s="253">
        <f>SUM(F101)</f>
        <v>402</v>
      </c>
      <c r="G100" s="253">
        <f>SUM(G101)</f>
        <v>147.60000000000002</v>
      </c>
    </row>
    <row r="101" spans="2:7">
      <c r="B101" s="254" t="s">
        <v>590</v>
      </c>
      <c r="C101" s="255" t="s">
        <v>21</v>
      </c>
      <c r="D101" s="261" t="s">
        <v>21</v>
      </c>
      <c r="E101" s="261" t="s">
        <v>21</v>
      </c>
      <c r="F101" s="256">
        <f>SUM(F102:F117)</f>
        <v>402</v>
      </c>
      <c r="G101" s="256">
        <f>SUM(G102:G117)</f>
        <v>147.60000000000002</v>
      </c>
    </row>
    <row r="102" spans="2:7">
      <c r="B102" s="257" t="s">
        <v>591</v>
      </c>
      <c r="C102" s="244">
        <v>76899</v>
      </c>
      <c r="D102" s="244" t="s">
        <v>592</v>
      </c>
      <c r="E102" s="244" t="s">
        <v>593</v>
      </c>
      <c r="F102" s="258">
        <v>22</v>
      </c>
      <c r="G102" s="258">
        <v>7.8</v>
      </c>
    </row>
    <row r="103" spans="2:7">
      <c r="B103" s="257" t="s">
        <v>594</v>
      </c>
      <c r="C103" s="244">
        <v>76924</v>
      </c>
      <c r="D103" s="244" t="s">
        <v>595</v>
      </c>
      <c r="E103" s="244" t="s">
        <v>593</v>
      </c>
      <c r="F103" s="258">
        <v>30</v>
      </c>
      <c r="G103" s="258">
        <v>11</v>
      </c>
    </row>
    <row r="104" spans="2:7">
      <c r="B104" s="257" t="s">
        <v>596</v>
      </c>
      <c r="C104" s="244">
        <v>76926</v>
      </c>
      <c r="D104" s="244" t="s">
        <v>597</v>
      </c>
      <c r="E104" s="244" t="s">
        <v>593</v>
      </c>
      <c r="F104" s="258">
        <v>24</v>
      </c>
      <c r="G104" s="258">
        <v>9.3000000000000007</v>
      </c>
    </row>
    <row r="105" spans="2:7">
      <c r="B105" s="257" t="s">
        <v>598</v>
      </c>
      <c r="C105" s="244">
        <v>77087</v>
      </c>
      <c r="D105" s="244" t="s">
        <v>599</v>
      </c>
      <c r="E105" s="244" t="s">
        <v>593</v>
      </c>
      <c r="F105" s="258">
        <v>22</v>
      </c>
      <c r="G105" s="258">
        <v>7.9</v>
      </c>
    </row>
    <row r="106" spans="2:7">
      <c r="B106" s="257" t="s">
        <v>600</v>
      </c>
      <c r="C106" s="244">
        <v>76906</v>
      </c>
      <c r="D106" s="244" t="s">
        <v>601</v>
      </c>
      <c r="E106" s="244" t="s">
        <v>593</v>
      </c>
      <c r="F106" s="258">
        <v>18</v>
      </c>
      <c r="G106" s="258">
        <v>6.5</v>
      </c>
    </row>
    <row r="107" spans="2:7">
      <c r="B107" s="257" t="s">
        <v>602</v>
      </c>
      <c r="C107" s="244">
        <v>76898</v>
      </c>
      <c r="D107" s="244" t="s">
        <v>603</v>
      </c>
      <c r="E107" s="244" t="s">
        <v>593</v>
      </c>
      <c r="F107" s="258">
        <v>30</v>
      </c>
      <c r="G107" s="258">
        <v>11.7</v>
      </c>
    </row>
    <row r="108" spans="2:7">
      <c r="B108" s="257" t="s">
        <v>604</v>
      </c>
      <c r="C108" s="244">
        <v>77085</v>
      </c>
      <c r="D108" s="244" t="s">
        <v>605</v>
      </c>
      <c r="E108" s="244" t="s">
        <v>593</v>
      </c>
      <c r="F108" s="258">
        <v>20</v>
      </c>
      <c r="G108" s="258">
        <v>7.2</v>
      </c>
    </row>
    <row r="109" spans="2:7">
      <c r="B109" s="257" t="s">
        <v>606</v>
      </c>
      <c r="C109" s="244">
        <v>76905</v>
      </c>
      <c r="D109" s="244" t="s">
        <v>607</v>
      </c>
      <c r="E109" s="244" t="s">
        <v>593</v>
      </c>
      <c r="F109" s="258">
        <v>20</v>
      </c>
      <c r="G109" s="258">
        <v>7.5</v>
      </c>
    </row>
    <row r="110" spans="2:7">
      <c r="B110" s="257" t="s">
        <v>608</v>
      </c>
      <c r="C110" s="244">
        <v>76895</v>
      </c>
      <c r="D110" s="244" t="s">
        <v>609</v>
      </c>
      <c r="E110" s="244" t="s">
        <v>593</v>
      </c>
      <c r="F110" s="258">
        <v>26</v>
      </c>
      <c r="G110" s="258">
        <v>9.4</v>
      </c>
    </row>
    <row r="111" spans="2:7">
      <c r="B111" s="257" t="s">
        <v>610</v>
      </c>
      <c r="C111" s="244">
        <v>77086</v>
      </c>
      <c r="D111" s="244" t="s">
        <v>611</v>
      </c>
      <c r="E111" s="244" t="s">
        <v>593</v>
      </c>
      <c r="F111" s="258">
        <v>30</v>
      </c>
      <c r="G111" s="258">
        <v>11.4</v>
      </c>
    </row>
    <row r="112" spans="2:7">
      <c r="B112" s="257" t="s">
        <v>612</v>
      </c>
      <c r="C112" s="244">
        <v>76904</v>
      </c>
      <c r="D112" s="244" t="s">
        <v>613</v>
      </c>
      <c r="E112" s="244" t="s">
        <v>593</v>
      </c>
      <c r="F112" s="258">
        <v>30</v>
      </c>
      <c r="G112" s="258">
        <v>10.9</v>
      </c>
    </row>
    <row r="113" spans="2:7">
      <c r="B113" s="257" t="s">
        <v>614</v>
      </c>
      <c r="C113" s="244">
        <v>77004</v>
      </c>
      <c r="D113" s="244" t="s">
        <v>615</v>
      </c>
      <c r="E113" s="244" t="s">
        <v>593</v>
      </c>
      <c r="F113" s="258">
        <v>28</v>
      </c>
      <c r="G113" s="258">
        <v>10.6</v>
      </c>
    </row>
    <row r="114" spans="2:7">
      <c r="B114" s="257" t="s">
        <v>616</v>
      </c>
      <c r="C114" s="244">
        <v>76897</v>
      </c>
      <c r="D114" s="244" t="s">
        <v>617</v>
      </c>
      <c r="E114" s="244" t="s">
        <v>593</v>
      </c>
      <c r="F114" s="258">
        <v>26</v>
      </c>
      <c r="G114" s="258">
        <v>9.4</v>
      </c>
    </row>
    <row r="115" spans="2:7">
      <c r="B115" s="257" t="s">
        <v>618</v>
      </c>
      <c r="C115" s="244">
        <v>76944</v>
      </c>
      <c r="D115" s="244" t="s">
        <v>619</v>
      </c>
      <c r="E115" s="244" t="s">
        <v>593</v>
      </c>
      <c r="F115" s="258">
        <v>24</v>
      </c>
      <c r="G115" s="258">
        <v>8.6</v>
      </c>
    </row>
    <row r="116" spans="2:7">
      <c r="B116" s="257" t="s">
        <v>620</v>
      </c>
      <c r="C116" s="244">
        <v>76984</v>
      </c>
      <c r="D116" s="244" t="s">
        <v>621</v>
      </c>
      <c r="E116" s="244" t="s">
        <v>593</v>
      </c>
      <c r="F116" s="258">
        <v>30</v>
      </c>
      <c r="G116" s="258">
        <v>10.9</v>
      </c>
    </row>
    <row r="117" spans="2:7">
      <c r="B117" s="257" t="s">
        <v>622</v>
      </c>
      <c r="C117" s="244">
        <v>77005</v>
      </c>
      <c r="D117" s="244" t="s">
        <v>623</v>
      </c>
      <c r="E117" s="244" t="s">
        <v>593</v>
      </c>
      <c r="F117" s="258">
        <v>22</v>
      </c>
      <c r="G117" s="258">
        <v>7.5</v>
      </c>
    </row>
    <row r="118" spans="2:7">
      <c r="B118" s="251" t="s">
        <v>624</v>
      </c>
      <c r="C118" s="252" t="s">
        <v>21</v>
      </c>
      <c r="D118" s="252" t="s">
        <v>21</v>
      </c>
      <c r="E118" s="252" t="s">
        <v>21</v>
      </c>
      <c r="F118" s="253">
        <f>SUM(F119)</f>
        <v>180.79</v>
      </c>
      <c r="G118" s="253">
        <f>SUM(G119)</f>
        <v>71.3</v>
      </c>
    </row>
    <row r="119" spans="2:7">
      <c r="B119" s="254" t="s">
        <v>624</v>
      </c>
      <c r="C119" s="255" t="s">
        <v>21</v>
      </c>
      <c r="D119" s="261" t="s">
        <v>21</v>
      </c>
      <c r="E119" s="261" t="s">
        <v>21</v>
      </c>
      <c r="F119" s="256">
        <f>SUM(F120:F131)</f>
        <v>180.79</v>
      </c>
      <c r="G119" s="256">
        <f>SUM(G120:G131)</f>
        <v>71.3</v>
      </c>
    </row>
    <row r="120" spans="2:7">
      <c r="B120" s="257" t="s">
        <v>625</v>
      </c>
      <c r="C120" s="244">
        <v>80901</v>
      </c>
      <c r="D120" s="244" t="s">
        <v>626</v>
      </c>
      <c r="E120" s="244" t="s">
        <v>593</v>
      </c>
      <c r="F120" s="258">
        <v>17.899999999999999</v>
      </c>
      <c r="G120" s="258">
        <v>6.6</v>
      </c>
    </row>
    <row r="121" spans="2:7">
      <c r="B121" s="257" t="s">
        <v>627</v>
      </c>
      <c r="C121" s="244">
        <v>81768</v>
      </c>
      <c r="D121" s="244" t="s">
        <v>628</v>
      </c>
      <c r="E121" s="244" t="s">
        <v>593</v>
      </c>
      <c r="F121" s="258">
        <v>12.53</v>
      </c>
      <c r="G121" s="258">
        <v>4.8</v>
      </c>
    </row>
    <row r="122" spans="2:7">
      <c r="B122" s="257" t="s">
        <v>629</v>
      </c>
      <c r="C122" s="244">
        <v>81708</v>
      </c>
      <c r="D122" s="244" t="s">
        <v>630</v>
      </c>
      <c r="E122" s="244" t="s">
        <v>593</v>
      </c>
      <c r="F122" s="258">
        <v>7.16</v>
      </c>
      <c r="G122" s="258">
        <v>2.7</v>
      </c>
    </row>
    <row r="123" spans="2:7">
      <c r="B123" s="257" t="s">
        <v>631</v>
      </c>
      <c r="C123" s="244">
        <v>81733</v>
      </c>
      <c r="D123" s="244" t="s">
        <v>632</v>
      </c>
      <c r="E123" s="244" t="s">
        <v>593</v>
      </c>
      <c r="F123" s="258">
        <v>17.899999999999999</v>
      </c>
      <c r="G123" s="258">
        <v>6.6</v>
      </c>
    </row>
    <row r="124" spans="2:7">
      <c r="B124" s="257" t="s">
        <v>633</v>
      </c>
      <c r="C124" s="244">
        <v>81735</v>
      </c>
      <c r="D124" s="244" t="s">
        <v>634</v>
      </c>
      <c r="E124" s="244" t="s">
        <v>593</v>
      </c>
      <c r="F124" s="258">
        <v>8.9499999999999993</v>
      </c>
      <c r="G124" s="258">
        <v>3.6</v>
      </c>
    </row>
    <row r="125" spans="2:7">
      <c r="B125" s="257" t="s">
        <v>635</v>
      </c>
      <c r="C125" s="244">
        <v>81730</v>
      </c>
      <c r="D125" s="244" t="s">
        <v>636</v>
      </c>
      <c r="E125" s="244" t="s">
        <v>593</v>
      </c>
      <c r="F125" s="258">
        <v>14.32</v>
      </c>
      <c r="G125" s="258">
        <v>6.2</v>
      </c>
    </row>
    <row r="126" spans="2:7">
      <c r="B126" s="257" t="s">
        <v>637</v>
      </c>
      <c r="C126" s="244">
        <v>81668</v>
      </c>
      <c r="D126" s="244" t="s">
        <v>638</v>
      </c>
      <c r="E126" s="244" t="s">
        <v>593</v>
      </c>
      <c r="F126" s="258">
        <v>19.690000000000001</v>
      </c>
      <c r="G126" s="258">
        <v>8.6</v>
      </c>
    </row>
    <row r="127" spans="2:7">
      <c r="B127" s="257" t="s">
        <v>639</v>
      </c>
      <c r="C127" s="244">
        <v>81732</v>
      </c>
      <c r="D127" s="244" t="s">
        <v>640</v>
      </c>
      <c r="E127" s="244" t="s">
        <v>593</v>
      </c>
      <c r="F127" s="258">
        <v>12.53</v>
      </c>
      <c r="G127" s="258">
        <v>4.8</v>
      </c>
    </row>
    <row r="128" spans="2:7">
      <c r="B128" s="257" t="s">
        <v>641</v>
      </c>
      <c r="C128" s="244">
        <v>81731</v>
      </c>
      <c r="D128" s="244" t="s">
        <v>642</v>
      </c>
      <c r="E128" s="244" t="s">
        <v>593</v>
      </c>
      <c r="F128" s="258">
        <v>16.11</v>
      </c>
      <c r="G128" s="258">
        <v>7</v>
      </c>
    </row>
    <row r="129" spans="2:7">
      <c r="B129" s="257" t="s">
        <v>643</v>
      </c>
      <c r="C129" s="244">
        <v>81736</v>
      </c>
      <c r="D129" s="244" t="s">
        <v>644</v>
      </c>
      <c r="E129" s="244" t="s">
        <v>593</v>
      </c>
      <c r="F129" s="258">
        <v>14.32</v>
      </c>
      <c r="G129" s="258">
        <v>5.7</v>
      </c>
    </row>
    <row r="130" spans="2:7">
      <c r="B130" s="257" t="s">
        <v>645</v>
      </c>
      <c r="C130" s="244">
        <v>81734</v>
      </c>
      <c r="D130" s="244" t="s">
        <v>646</v>
      </c>
      <c r="E130" s="244" t="s">
        <v>593</v>
      </c>
      <c r="F130" s="258">
        <v>17.899999999999999</v>
      </c>
      <c r="G130" s="258">
        <v>6.7</v>
      </c>
    </row>
    <row r="131" spans="2:7">
      <c r="B131" s="262" t="s">
        <v>647</v>
      </c>
      <c r="C131" s="263">
        <v>81737</v>
      </c>
      <c r="D131" s="263" t="s">
        <v>648</v>
      </c>
      <c r="E131" s="263" t="s">
        <v>593</v>
      </c>
      <c r="F131" s="264">
        <v>21.48</v>
      </c>
      <c r="G131" s="264">
        <v>8</v>
      </c>
    </row>
    <row r="133" spans="2:7">
      <c r="E133" s="258"/>
      <c r="F133" s="245"/>
      <c r="G133" s="265"/>
    </row>
    <row r="134" spans="2:7">
      <c r="B134" s="246" t="s">
        <v>389</v>
      </c>
      <c r="C134" s="247" t="s">
        <v>391</v>
      </c>
      <c r="D134" s="247" t="s">
        <v>393</v>
      </c>
      <c r="E134" s="247" t="s">
        <v>668</v>
      </c>
    </row>
    <row r="135" spans="2:7">
      <c r="B135" s="271" t="s">
        <v>651</v>
      </c>
      <c r="C135" s="272" t="s">
        <v>652</v>
      </c>
      <c r="D135" s="272" t="s">
        <v>654</v>
      </c>
      <c r="E135" s="272" t="s">
        <v>655</v>
      </c>
    </row>
    <row r="136" spans="2:7">
      <c r="B136" s="248" t="s">
        <v>179</v>
      </c>
      <c r="C136" s="249" t="s">
        <v>21</v>
      </c>
      <c r="D136" s="250">
        <f>SUM(D137)</f>
        <v>211.5</v>
      </c>
      <c r="E136" s="250">
        <f>SUM(E137)</f>
        <v>117.47799999999999</v>
      </c>
    </row>
    <row r="137" spans="2:7">
      <c r="B137" s="251" t="s">
        <v>179</v>
      </c>
      <c r="C137" s="252" t="s">
        <v>21</v>
      </c>
      <c r="D137" s="253">
        <f>SUM(D138)</f>
        <v>211.5</v>
      </c>
      <c r="E137" s="253">
        <f>SUM(E138)</f>
        <v>117.47799999999999</v>
      </c>
    </row>
    <row r="138" spans="2:7">
      <c r="B138" s="254" t="s">
        <v>179</v>
      </c>
      <c r="C138" s="255" t="s">
        <v>21</v>
      </c>
      <c r="D138" s="256">
        <f>SUM(D139:D144)</f>
        <v>211.5</v>
      </c>
      <c r="E138" s="256">
        <f>SUM(E139:E144)</f>
        <v>117.47799999999999</v>
      </c>
    </row>
    <row r="139" spans="2:7" ht="14.5">
      <c r="B139" s="257" t="s">
        <v>656</v>
      </c>
      <c r="C139" t="s">
        <v>662</v>
      </c>
      <c r="D139" s="258">
        <v>36</v>
      </c>
      <c r="E139" s="258">
        <v>18.796479999999999</v>
      </c>
      <c r="F139" s="275"/>
    </row>
    <row r="140" spans="2:7" ht="14.5">
      <c r="B140" s="257" t="s">
        <v>657</v>
      </c>
      <c r="C140" t="s">
        <v>663</v>
      </c>
      <c r="D140" s="258">
        <v>31.5</v>
      </c>
      <c r="E140" s="258">
        <v>17.621699999999997</v>
      </c>
      <c r="F140" s="275"/>
      <c r="G140" s="245"/>
    </row>
    <row r="141" spans="2:7" ht="14.5">
      <c r="B141" s="257" t="s">
        <v>658</v>
      </c>
      <c r="C141" t="s">
        <v>664</v>
      </c>
      <c r="D141" s="258">
        <v>36</v>
      </c>
      <c r="E141" s="258">
        <v>19.971260000000001</v>
      </c>
      <c r="F141" s="275"/>
    </row>
    <row r="142" spans="2:7" ht="14.5">
      <c r="B142" s="257" t="s">
        <v>659</v>
      </c>
      <c r="C142" t="s">
        <v>665</v>
      </c>
      <c r="D142" s="258">
        <v>36</v>
      </c>
      <c r="E142" s="258">
        <v>21.146039999999999</v>
      </c>
      <c r="F142" s="275"/>
    </row>
    <row r="143" spans="2:7" ht="14.5">
      <c r="B143" s="257" t="s">
        <v>660</v>
      </c>
      <c r="C143" t="s">
        <v>666</v>
      </c>
      <c r="D143" s="258">
        <v>36</v>
      </c>
      <c r="E143" s="258">
        <v>21.146039999999999</v>
      </c>
      <c r="F143" s="275"/>
    </row>
    <row r="144" spans="2:7" ht="14.5">
      <c r="B144" s="262" t="s">
        <v>661</v>
      </c>
      <c r="C144" s="276" t="s">
        <v>667</v>
      </c>
      <c r="D144" s="264">
        <v>36</v>
      </c>
      <c r="E144" s="264">
        <v>18.796479999999999</v>
      </c>
      <c r="F144" s="275"/>
    </row>
    <row r="146" spans="2:8">
      <c r="B146" s="23" t="s">
        <v>669</v>
      </c>
      <c r="F146" s="245"/>
    </row>
    <row r="147" spans="2:8">
      <c r="H147" s="266"/>
    </row>
    <row r="153" spans="2:8" ht="14.5">
      <c r="B15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7F87-E55D-41BF-ACC5-490E5D3B5288}">
  <sheetPr>
    <tabColor rgb="FF26395F"/>
  </sheetPr>
  <dimension ref="A1:S48"/>
  <sheetViews>
    <sheetView showGridLines="0" zoomScaleNormal="100" workbookViewId="0"/>
  </sheetViews>
  <sheetFormatPr defaultColWidth="0" defaultRowHeight="12" customHeight="1" zeroHeight="1"/>
  <cols>
    <col min="1" max="1" width="5.453125" style="7" customWidth="1"/>
    <col min="2" max="2" width="59.1796875" style="45" customWidth="1"/>
    <col min="3" max="9" width="9.7265625" style="45" customWidth="1"/>
    <col min="10" max="10" width="4.7265625" style="45" customWidth="1"/>
    <col min="11" max="15" width="8.81640625" style="45" hidden="1" customWidth="1"/>
    <col min="16" max="19" width="0" style="45" hidden="1" customWidth="1"/>
    <col min="20" max="16384" width="8.81640625" style="45" hidden="1"/>
  </cols>
  <sheetData>
    <row r="1" spans="2:9" s="7" customFormat="1" ht="12" customHeight="1"/>
    <row r="2" spans="2:9" s="7" customFormat="1" ht="12" customHeight="1"/>
    <row r="3" spans="2:9" s="7" customFormat="1" ht="12" customHeight="1"/>
    <row r="4" spans="2:9" s="7" customFormat="1" ht="12" customHeight="1"/>
    <row r="5" spans="2:9" s="7" customFormat="1" ht="12" customHeight="1"/>
    <row r="6" spans="2:9" s="7" customFormat="1" ht="12" customHeight="1">
      <c r="B6" s="24" t="s">
        <v>197</v>
      </c>
      <c r="C6" s="109">
        <v>2022</v>
      </c>
      <c r="D6" s="109" t="s">
        <v>198</v>
      </c>
      <c r="E6" s="109">
        <v>2020</v>
      </c>
      <c r="F6" s="109">
        <v>2019</v>
      </c>
      <c r="G6" s="109">
        <v>2018</v>
      </c>
      <c r="H6" s="109">
        <v>2017</v>
      </c>
      <c r="I6" s="109">
        <v>2016</v>
      </c>
    </row>
    <row r="7" spans="2:9" s="7" customFormat="1" ht="12" customHeight="1">
      <c r="B7" s="29" t="s">
        <v>199</v>
      </c>
      <c r="C7" s="145">
        <v>2436.6749999999997</v>
      </c>
      <c r="D7" s="145">
        <v>1769.6759999999999</v>
      </c>
      <c r="E7" s="145">
        <v>1102.1410000000001</v>
      </c>
      <c r="F7" s="145">
        <v>1014.427</v>
      </c>
      <c r="G7" s="145">
        <v>742.02300000000002</v>
      </c>
      <c r="H7" s="145">
        <v>546.11400000000003</v>
      </c>
      <c r="I7" s="145">
        <v>194.982</v>
      </c>
    </row>
    <row r="8" spans="2:9" s="7" customFormat="1" ht="12" customHeight="1">
      <c r="B8" s="106" t="s">
        <v>200</v>
      </c>
      <c r="C8" s="201">
        <v>-1768.403</v>
      </c>
      <c r="D8" s="201">
        <v>-1165.7370000000001</v>
      </c>
      <c r="E8" s="201">
        <v>-695.18399999999997</v>
      </c>
      <c r="F8" s="201">
        <v>-617.01</v>
      </c>
      <c r="G8" s="201">
        <v>-441.73700000000002</v>
      </c>
      <c r="H8" s="201">
        <v>-345.32799999999997</v>
      </c>
      <c r="I8" s="201">
        <v>-117.35599999999999</v>
      </c>
    </row>
    <row r="9" spans="2:9" s="7" customFormat="1" ht="12" customHeight="1">
      <c r="B9" s="77" t="s">
        <v>201</v>
      </c>
      <c r="C9" s="180">
        <f>SUM(C7:C8)</f>
        <v>668.27199999999971</v>
      </c>
      <c r="D9" s="180">
        <f t="shared" ref="D9:I9" si="0">SUM(D7:D8)</f>
        <v>603.93899999999985</v>
      </c>
      <c r="E9" s="180">
        <f>SUM(E7:E8)</f>
        <v>406.95700000000011</v>
      </c>
      <c r="F9" s="180">
        <f t="shared" si="0"/>
        <v>397.41700000000003</v>
      </c>
      <c r="G9" s="180">
        <f t="shared" si="0"/>
        <v>300.286</v>
      </c>
      <c r="H9" s="180">
        <f t="shared" si="0"/>
        <v>200.78600000000006</v>
      </c>
      <c r="I9" s="180">
        <f t="shared" si="0"/>
        <v>77.626000000000005</v>
      </c>
    </row>
    <row r="10" spans="2:9" s="7" customFormat="1" ht="12" customHeight="1">
      <c r="B10" s="31" t="s">
        <v>202</v>
      </c>
      <c r="C10" s="146"/>
      <c r="D10" s="146"/>
      <c r="E10" s="146"/>
      <c r="F10" s="146"/>
      <c r="G10" s="146"/>
      <c r="H10" s="146"/>
      <c r="I10" s="146"/>
    </row>
    <row r="11" spans="2:9" s="7" customFormat="1" ht="12" customHeight="1">
      <c r="B11" s="108" t="s">
        <v>203</v>
      </c>
      <c r="C11" s="201">
        <v>-143.05699999999999</v>
      </c>
      <c r="D11" s="201">
        <v>-109.431</v>
      </c>
      <c r="E11" s="201">
        <f>-60.718</f>
        <v>-60.718000000000004</v>
      </c>
      <c r="F11" s="201">
        <v>-40.591999999999999</v>
      </c>
      <c r="G11" s="201">
        <v>-40.412999999999997</v>
      </c>
      <c r="H11" s="201">
        <v>-33.808</v>
      </c>
      <c r="I11" s="201">
        <v>-12.420999999999999</v>
      </c>
    </row>
    <row r="12" spans="2:9" s="7" customFormat="1" ht="12" customHeight="1">
      <c r="B12" s="107" t="s">
        <v>204</v>
      </c>
      <c r="C12" s="145">
        <v>21.401</v>
      </c>
      <c r="D12" s="145">
        <v>700.678</v>
      </c>
      <c r="E12" s="145">
        <v>168.14599999999999</v>
      </c>
      <c r="F12" s="145">
        <v>2.9359999999999999</v>
      </c>
      <c r="G12" s="145">
        <v>3.8919999999999999</v>
      </c>
      <c r="H12" s="145">
        <v>62.192999999999998</v>
      </c>
      <c r="I12" s="145">
        <v>-1.7999999999999999E-2</v>
      </c>
    </row>
    <row r="13" spans="2:9" s="7" customFormat="1" ht="12" customHeight="1">
      <c r="B13" s="108" t="s">
        <v>205</v>
      </c>
      <c r="C13" s="201">
        <v>44.853999999999999</v>
      </c>
      <c r="D13" s="201">
        <v>1.22</v>
      </c>
      <c r="E13" s="201">
        <v>9.4930000000000003</v>
      </c>
      <c r="F13" s="201">
        <v>26.356999999999999</v>
      </c>
      <c r="G13" s="201">
        <v>9.11</v>
      </c>
      <c r="H13" s="201">
        <v>3.5310000000000001</v>
      </c>
      <c r="I13" s="201">
        <v>5.6260000000000003</v>
      </c>
    </row>
    <row r="14" spans="2:9" s="7" customFormat="1" ht="12" customHeight="1">
      <c r="B14" s="77" t="s">
        <v>206</v>
      </c>
      <c r="C14" s="180">
        <f>SUM(C9:C13)</f>
        <v>591.46999999999969</v>
      </c>
      <c r="D14" s="180">
        <f t="shared" ref="D14:I14" si="1">SUM(D9:D13)</f>
        <v>1196.4059999999999</v>
      </c>
      <c r="E14" s="180">
        <f t="shared" si="1"/>
        <v>523.87800000000016</v>
      </c>
      <c r="F14" s="180">
        <f t="shared" si="1"/>
        <v>386.11800000000005</v>
      </c>
      <c r="G14" s="180">
        <f t="shared" si="1"/>
        <v>272.875</v>
      </c>
      <c r="H14" s="180">
        <f t="shared" si="1"/>
        <v>232.70200000000006</v>
      </c>
      <c r="I14" s="180">
        <f t="shared" si="1"/>
        <v>70.813000000000017</v>
      </c>
    </row>
    <row r="15" spans="2:9" s="7" customFormat="1" ht="12" customHeight="1">
      <c r="B15" s="29" t="s">
        <v>207</v>
      </c>
      <c r="C15" s="145">
        <v>134.703</v>
      </c>
      <c r="D15" s="145">
        <v>42.808</v>
      </c>
      <c r="E15" s="145">
        <v>23.698</v>
      </c>
      <c r="F15" s="145">
        <v>24.661999999999999</v>
      </c>
      <c r="G15" s="145">
        <v>26.873999999999999</v>
      </c>
      <c r="H15" s="145">
        <v>18.38</v>
      </c>
      <c r="I15" s="145">
        <v>7.3550000000000004</v>
      </c>
    </row>
    <row r="16" spans="2:9" s="7" customFormat="1" ht="12" customHeight="1">
      <c r="B16" s="106" t="s">
        <v>208</v>
      </c>
      <c r="C16" s="201">
        <v>-696.55</v>
      </c>
      <c r="D16" s="201">
        <v>-746.32600000000002</v>
      </c>
      <c r="E16" s="201">
        <v>-441.416</v>
      </c>
      <c r="F16" s="201">
        <v>-344.96100000000001</v>
      </c>
      <c r="G16" s="201">
        <v>-224.26599999999999</v>
      </c>
      <c r="H16" s="201">
        <v>-119.202</v>
      </c>
      <c r="I16" s="201">
        <v>-43.051000000000002</v>
      </c>
    </row>
    <row r="17" spans="2:10" s="7" customFormat="1" ht="12" customHeight="1">
      <c r="B17" s="29" t="s">
        <v>292</v>
      </c>
      <c r="C17" s="145">
        <v>3.0830000000000002</v>
      </c>
      <c r="D17" s="145">
        <v>0</v>
      </c>
      <c r="E17" s="145">
        <v>0</v>
      </c>
      <c r="F17" s="145">
        <v>0</v>
      </c>
      <c r="G17" s="145">
        <v>0</v>
      </c>
      <c r="H17" s="145">
        <v>0</v>
      </c>
      <c r="I17" s="145">
        <v>0</v>
      </c>
    </row>
    <row r="18" spans="2:10" s="7" customFormat="1" ht="12" customHeight="1">
      <c r="B18" s="77" t="s">
        <v>209</v>
      </c>
      <c r="C18" s="180">
        <f t="shared" ref="C18:H18" si="2">SUM(C14:C17)</f>
        <v>32.705999999999705</v>
      </c>
      <c r="D18" s="180">
        <f t="shared" si="2"/>
        <v>492.88799999999992</v>
      </c>
      <c r="E18" s="180">
        <f t="shared" si="2"/>
        <v>106.16000000000014</v>
      </c>
      <c r="F18" s="180">
        <f t="shared" si="2"/>
        <v>65.819000000000017</v>
      </c>
      <c r="G18" s="180">
        <f t="shared" si="2"/>
        <v>75.483000000000033</v>
      </c>
      <c r="H18" s="180">
        <f t="shared" si="2"/>
        <v>131.88000000000005</v>
      </c>
      <c r="I18" s="180">
        <f>SUM(I14:I17)</f>
        <v>35.117000000000019</v>
      </c>
    </row>
    <row r="19" spans="2:10" s="7" customFormat="1" ht="12" customHeight="1">
      <c r="B19" s="29" t="s">
        <v>210</v>
      </c>
      <c r="C19" s="145">
        <v>-40.737000000000002</v>
      </c>
      <c r="D19" s="145">
        <v>-195.93700000000001</v>
      </c>
      <c r="E19" s="145">
        <v>-51.44</v>
      </c>
      <c r="F19" s="145">
        <v>-33.19</v>
      </c>
      <c r="G19" s="145">
        <v>-25.452000000000002</v>
      </c>
      <c r="H19" s="145">
        <v>-18.763999999999999</v>
      </c>
      <c r="I19" s="145">
        <v>-8.516</v>
      </c>
    </row>
    <row r="20" spans="2:10" s="7" customFormat="1" ht="12" customHeight="1">
      <c r="B20" s="26" t="s">
        <v>261</v>
      </c>
      <c r="C20" s="183">
        <f>SUM(C18:C19)</f>
        <v>-8.0310000000002972</v>
      </c>
      <c r="D20" s="183">
        <f t="shared" ref="D20:I20" si="3">SUM(D18:D19)</f>
        <v>296.95099999999991</v>
      </c>
      <c r="E20" s="183">
        <f t="shared" si="3"/>
        <v>54.720000000000141</v>
      </c>
      <c r="F20" s="183">
        <f t="shared" si="3"/>
        <v>32.629000000000019</v>
      </c>
      <c r="G20" s="183">
        <f t="shared" si="3"/>
        <v>50.031000000000034</v>
      </c>
      <c r="H20" s="183">
        <f t="shared" si="3"/>
        <v>113.11600000000006</v>
      </c>
      <c r="I20" s="183">
        <f t="shared" si="3"/>
        <v>26.60100000000002</v>
      </c>
    </row>
    <row r="21" spans="2:10" s="7" customFormat="1" ht="12" customHeight="1">
      <c r="B21" s="301" t="s">
        <v>251</v>
      </c>
      <c r="C21" s="301"/>
      <c r="D21" s="301"/>
      <c r="E21" s="301"/>
      <c r="F21" s="301"/>
      <c r="G21" s="301"/>
      <c r="H21" s="301"/>
      <c r="I21" s="301"/>
      <c r="J21" s="301"/>
    </row>
    <row r="22" spans="2:10" ht="12" customHeight="1"/>
    <row r="23" spans="2:10" ht="12" hidden="1" customHeight="1">
      <c r="B23" s="93"/>
      <c r="C23" s="94"/>
      <c r="D23" s="94"/>
      <c r="E23" s="94"/>
      <c r="F23" s="94"/>
      <c r="G23" s="94"/>
      <c r="H23" s="94"/>
      <c r="I23" s="94"/>
    </row>
    <row r="24" spans="2:10" ht="12" hidden="1" customHeight="1">
      <c r="B24" s="105"/>
      <c r="C24" s="30"/>
      <c r="D24" s="32"/>
      <c r="E24" s="96"/>
      <c r="F24" s="96"/>
      <c r="G24" s="96"/>
      <c r="H24" s="96"/>
      <c r="I24" s="96"/>
    </row>
    <row r="25" spans="2:10" ht="12" hidden="1" customHeight="1">
      <c r="B25" s="95"/>
      <c r="C25" s="96"/>
      <c r="D25" s="96"/>
      <c r="E25" s="96"/>
      <c r="F25" s="96"/>
      <c r="G25" s="96"/>
      <c r="H25" s="96"/>
      <c r="I25" s="96"/>
    </row>
    <row r="26" spans="2:10" ht="12" hidden="1" customHeight="1">
      <c r="B26" s="95"/>
      <c r="C26" s="96"/>
      <c r="D26" s="96"/>
      <c r="E26" s="96"/>
      <c r="F26" s="96"/>
      <c r="G26" s="96"/>
      <c r="H26" s="96"/>
      <c r="I26" s="96"/>
    </row>
    <row r="27" spans="2:10" ht="12" hidden="1" customHeight="1">
      <c r="B27" s="95"/>
      <c r="C27" s="96"/>
      <c r="D27" s="96"/>
      <c r="E27" s="96"/>
      <c r="F27" s="96"/>
      <c r="G27" s="96"/>
      <c r="H27" s="96"/>
      <c r="I27" s="96"/>
    </row>
    <row r="28" spans="2:10" ht="12" hidden="1" customHeight="1">
      <c r="B28" s="99"/>
      <c r="C28" s="92"/>
      <c r="D28" s="92"/>
      <c r="E28" s="92"/>
      <c r="F28" s="92"/>
      <c r="G28" s="92"/>
      <c r="H28" s="92"/>
      <c r="I28" s="92"/>
    </row>
    <row r="30" spans="2:10" ht="12" hidden="1" customHeight="1">
      <c r="B30" s="93"/>
      <c r="C30" s="100"/>
      <c r="D30" s="100"/>
      <c r="E30" s="101"/>
      <c r="F30" s="100"/>
      <c r="G30" s="100"/>
      <c r="H30" s="100"/>
      <c r="I30" s="100"/>
    </row>
    <row r="31" spans="2:10" ht="12" hidden="1" customHeight="1">
      <c r="B31" s="95"/>
      <c r="C31" s="97"/>
      <c r="D31" s="97"/>
      <c r="E31" s="97"/>
      <c r="F31" s="97"/>
      <c r="G31" s="97"/>
      <c r="H31" s="97"/>
      <c r="I31" s="97"/>
    </row>
    <row r="32" spans="2:10" ht="12" hidden="1" customHeight="1">
      <c r="B32" s="95"/>
      <c r="C32" s="102"/>
      <c r="D32" s="97"/>
      <c r="E32" s="97"/>
      <c r="F32" s="97"/>
      <c r="G32" s="97"/>
      <c r="H32" s="97"/>
      <c r="I32" s="97"/>
    </row>
    <row r="33" spans="2:9" ht="12" hidden="1" customHeight="1">
      <c r="B33" s="95"/>
      <c r="C33" s="97"/>
      <c r="D33" s="97"/>
      <c r="E33" s="97"/>
      <c r="F33" s="97"/>
      <c r="G33" s="97"/>
      <c r="H33" s="97"/>
      <c r="I33" s="97"/>
    </row>
    <row r="34" spans="2:9" ht="12" hidden="1" customHeight="1">
      <c r="B34" s="95"/>
      <c r="C34" s="97"/>
      <c r="D34" s="97"/>
      <c r="E34" s="97"/>
      <c r="F34" s="97"/>
      <c r="G34" s="97"/>
      <c r="H34" s="97"/>
      <c r="I34" s="97"/>
    </row>
    <row r="35" spans="2:9" ht="12" hidden="1" customHeight="1">
      <c r="B35" s="95"/>
      <c r="C35" s="97"/>
      <c r="D35" s="97"/>
      <c r="E35" s="97"/>
      <c r="F35" s="97"/>
      <c r="G35" s="97"/>
      <c r="H35" s="97"/>
      <c r="I35" s="97"/>
    </row>
    <row r="36" spans="2:9" ht="12" hidden="1" customHeight="1">
      <c r="B36" s="93"/>
      <c r="C36" s="101"/>
      <c r="D36" s="101"/>
      <c r="E36" s="101"/>
      <c r="F36" s="101"/>
      <c r="G36" s="101"/>
      <c r="H36" s="101"/>
      <c r="I36" s="101"/>
    </row>
    <row r="37" spans="2:9" ht="12" hidden="1" customHeight="1">
      <c r="B37" s="95"/>
      <c r="C37" s="97"/>
      <c r="D37" s="97"/>
      <c r="E37" s="97"/>
      <c r="F37" s="97"/>
      <c r="G37" s="97"/>
      <c r="H37" s="97"/>
      <c r="I37" s="97"/>
    </row>
    <row r="38" spans="2:9" ht="12" hidden="1" customHeight="1">
      <c r="B38" s="95"/>
      <c r="C38" s="97"/>
      <c r="D38" s="97"/>
      <c r="E38" s="97"/>
      <c r="F38" s="97"/>
      <c r="G38" s="97"/>
      <c r="H38" s="97"/>
      <c r="I38" s="97"/>
    </row>
    <row r="39" spans="2:9" ht="12" hidden="1" customHeight="1">
      <c r="B39" s="95"/>
      <c r="C39" s="97"/>
      <c r="D39" s="97"/>
      <c r="E39" s="97"/>
      <c r="F39" s="97"/>
      <c r="G39" s="97"/>
      <c r="H39" s="97"/>
      <c r="I39" s="97"/>
    </row>
    <row r="40" spans="2:9" ht="12" hidden="1" customHeight="1">
      <c r="B40" s="95"/>
      <c r="C40" s="97"/>
      <c r="D40" s="97"/>
      <c r="E40" s="97"/>
      <c r="F40" s="97"/>
      <c r="G40" s="97"/>
      <c r="H40" s="97"/>
      <c r="I40" s="97"/>
    </row>
    <row r="41" spans="2:9" ht="12" hidden="1" customHeight="1">
      <c r="B41" s="99"/>
      <c r="C41" s="92"/>
      <c r="D41" s="92"/>
      <c r="E41" s="92"/>
      <c r="F41" s="92"/>
      <c r="G41" s="92"/>
      <c r="H41" s="92"/>
      <c r="I41" s="92"/>
    </row>
    <row r="42" spans="2:9" ht="12" hidden="1" customHeight="1">
      <c r="B42" s="99"/>
      <c r="C42" s="103"/>
      <c r="D42" s="103"/>
      <c r="E42" s="103"/>
      <c r="F42" s="103"/>
      <c r="G42" s="103"/>
      <c r="H42" s="103"/>
      <c r="I42" s="103"/>
    </row>
    <row r="43" spans="2:9" ht="12" hidden="1" customHeight="1">
      <c r="B43" s="104"/>
    </row>
    <row r="44" spans="2:9" ht="12" hidden="1" customHeight="1">
      <c r="B44" s="104"/>
      <c r="C44" s="98"/>
    </row>
    <row r="48" spans="2:9" ht="12" hidden="1" customHeight="1">
      <c r="C48" s="98"/>
    </row>
  </sheetData>
  <mergeCells count="1">
    <mergeCell ref="B21:J21"/>
  </mergeCells>
  <pageMargins left="0.511811024" right="0.511811024" top="0.78740157499999996" bottom="0.78740157499999996" header="0.31496062000000002" footer="0.31496062000000002"/>
  <pageSetup paperSize="9" orientation="portrait" r:id="rId1"/>
  <ignoredErrors>
    <ignoredError sqref="E9:I9 C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AA16-4595-44E6-B5AC-E1FDC482D5BD}">
  <sheetPr>
    <tabColor rgb="FF26395F"/>
  </sheetPr>
  <dimension ref="A1:AC56"/>
  <sheetViews>
    <sheetView showGridLines="0" zoomScaleNormal="100" workbookViewId="0"/>
  </sheetViews>
  <sheetFormatPr defaultColWidth="0" defaultRowHeight="12" customHeight="1" zeroHeight="1"/>
  <cols>
    <col min="1" max="1" width="5.453125" style="7" customWidth="1"/>
    <col min="2" max="2" width="59.1796875" style="45" customWidth="1"/>
    <col min="3" max="9" width="9.7265625" style="45" customWidth="1"/>
    <col min="10" max="10" width="4.7265625" style="45" customWidth="1"/>
    <col min="11" max="14" width="8.81640625" style="45" hidden="1" customWidth="1"/>
    <col min="15" max="29" width="0" style="45" hidden="1" customWidth="1"/>
    <col min="30" max="16384" width="8.81640625" style="45" hidden="1"/>
  </cols>
  <sheetData>
    <row r="1" spans="1:9" s="7" customFormat="1" ht="12" customHeight="1"/>
    <row r="2" spans="1:9" s="7" customFormat="1" ht="12" customHeight="1"/>
    <row r="3" spans="1:9" s="7" customFormat="1" ht="12" customHeight="1">
      <c r="C3" s="29"/>
    </row>
    <row r="4" spans="1:9" s="7" customFormat="1" ht="12" customHeight="1"/>
    <row r="5" spans="1:9" s="7" customFormat="1" ht="12" customHeight="1">
      <c r="C5" s="12"/>
    </row>
    <row r="6" spans="1:9" s="7" customFormat="1" ht="12" customHeight="1">
      <c r="A6" s="113"/>
      <c r="B6" s="24" t="s">
        <v>211</v>
      </c>
      <c r="C6" s="109">
        <v>2022</v>
      </c>
      <c r="D6" s="109">
        <v>2021</v>
      </c>
      <c r="E6" s="109">
        <v>2020</v>
      </c>
      <c r="F6" s="109">
        <v>2019</v>
      </c>
      <c r="G6" s="109">
        <v>2018</v>
      </c>
      <c r="H6" s="109">
        <v>2017</v>
      </c>
      <c r="I6" s="109">
        <v>2016</v>
      </c>
    </row>
    <row r="7" spans="1:9" ht="12" customHeight="1">
      <c r="A7" s="114"/>
      <c r="B7" s="77" t="s">
        <v>212</v>
      </c>
      <c r="C7" s="180">
        <f>SUM(C8:C12)</f>
        <v>2973.634</v>
      </c>
      <c r="D7" s="180">
        <f t="shared" ref="D7:I7" si="0">SUM(D8:D12)</f>
        <v>2269.9989999999998</v>
      </c>
      <c r="E7" s="180">
        <f t="shared" si="0"/>
        <v>1316.15</v>
      </c>
      <c r="F7" s="180">
        <f t="shared" si="0"/>
        <v>1276.8810000000003</v>
      </c>
      <c r="G7" s="180">
        <f t="shared" si="0"/>
        <v>424.47400000000005</v>
      </c>
      <c r="H7" s="180">
        <f t="shared" si="0"/>
        <v>596.76700000000005</v>
      </c>
      <c r="I7" s="180">
        <f t="shared" si="0"/>
        <v>101.97300000000001</v>
      </c>
    </row>
    <row r="8" spans="1:9" s="7" customFormat="1" ht="12" customHeight="1">
      <c r="A8" s="29"/>
      <c r="B8" s="29" t="s">
        <v>213</v>
      </c>
      <c r="C8" s="164">
        <v>1473.0119999999999</v>
      </c>
      <c r="D8" s="164">
        <v>1194.182</v>
      </c>
      <c r="E8" s="164">
        <v>881.36400000000003</v>
      </c>
      <c r="F8" s="164">
        <v>984.47</v>
      </c>
      <c r="G8" s="164">
        <v>195.38800000000001</v>
      </c>
      <c r="H8" s="164">
        <v>350.887</v>
      </c>
      <c r="I8" s="164">
        <v>38.188000000000002</v>
      </c>
    </row>
    <row r="9" spans="1:9" s="7" customFormat="1" ht="12" customHeight="1">
      <c r="A9" s="29"/>
      <c r="B9" s="106" t="s">
        <v>214</v>
      </c>
      <c r="C9" s="181">
        <v>310.54599999999999</v>
      </c>
      <c r="D9" s="181">
        <v>297.55099999999999</v>
      </c>
      <c r="E9" s="181">
        <v>276.30700000000002</v>
      </c>
      <c r="F9" s="181">
        <v>206.928</v>
      </c>
      <c r="G9" s="181">
        <v>179.01400000000001</v>
      </c>
      <c r="H9" s="181">
        <v>209.715</v>
      </c>
      <c r="I9" s="181">
        <v>47.491999999999997</v>
      </c>
    </row>
    <row r="10" spans="1:9" s="7" customFormat="1" ht="12" customHeight="1">
      <c r="A10" s="29"/>
      <c r="B10" s="29" t="s">
        <v>215</v>
      </c>
      <c r="C10" s="164">
        <v>4.04</v>
      </c>
      <c r="D10" s="164">
        <v>7.5129999999999999</v>
      </c>
      <c r="E10" s="164">
        <v>6.8390000000000004</v>
      </c>
      <c r="F10" s="164">
        <v>7.1609999999999996</v>
      </c>
      <c r="G10" s="164">
        <v>1.19</v>
      </c>
      <c r="H10" s="164">
        <v>0.83899999999999997</v>
      </c>
      <c r="I10" s="164">
        <v>1.3360000000000001</v>
      </c>
    </row>
    <row r="11" spans="1:9" s="7" customFormat="1" ht="12" customHeight="1">
      <c r="A11" s="29"/>
      <c r="B11" s="106" t="s">
        <v>216</v>
      </c>
      <c r="C11" s="181">
        <v>960.48800000000006</v>
      </c>
      <c r="D11" s="181">
        <v>581.86800000000005</v>
      </c>
      <c r="E11" s="181">
        <v>0</v>
      </c>
      <c r="F11" s="181">
        <v>0</v>
      </c>
      <c r="G11" s="181">
        <v>0</v>
      </c>
      <c r="H11" s="181">
        <v>0</v>
      </c>
      <c r="I11" s="181">
        <v>0</v>
      </c>
    </row>
    <row r="12" spans="1:9" s="7" customFormat="1" ht="12" customHeight="1">
      <c r="A12" s="29"/>
      <c r="B12" s="29" t="s">
        <v>217</v>
      </c>
      <c r="C12" s="164">
        <v>225.548</v>
      </c>
      <c r="D12" s="164">
        <v>188.88499999999999</v>
      </c>
      <c r="E12" s="164">
        <v>151.63999999999999</v>
      </c>
      <c r="F12" s="164">
        <v>78.322000000000003</v>
      </c>
      <c r="G12" s="164">
        <v>48.881999999999998</v>
      </c>
      <c r="H12" s="164">
        <v>35.326000000000001</v>
      </c>
      <c r="I12" s="164">
        <v>14.957000000000001</v>
      </c>
    </row>
    <row r="13" spans="1:9" ht="12" customHeight="1">
      <c r="A13" s="114"/>
      <c r="B13" s="77" t="s">
        <v>218</v>
      </c>
      <c r="C13" s="180">
        <f>SUM(C14:C22)</f>
        <v>13903.967000000001</v>
      </c>
      <c r="D13" s="180">
        <f t="shared" ref="D13:I13" si="1">SUM(D14:D22)</f>
        <v>10393.928</v>
      </c>
      <c r="E13" s="180">
        <f t="shared" si="1"/>
        <v>9262.1949999999997</v>
      </c>
      <c r="F13" s="180">
        <f t="shared" si="1"/>
        <v>5985.59</v>
      </c>
      <c r="G13" s="180">
        <f t="shared" si="1"/>
        <v>3680.72</v>
      </c>
      <c r="H13" s="180">
        <f t="shared" si="1"/>
        <v>3309.0049999999997</v>
      </c>
      <c r="I13" s="180">
        <f t="shared" si="1"/>
        <v>671.63400000000013</v>
      </c>
    </row>
    <row r="14" spans="1:9" s="7" customFormat="1" ht="12" customHeight="1">
      <c r="A14" s="29"/>
      <c r="B14" s="29" t="s">
        <v>219</v>
      </c>
      <c r="C14" s="164">
        <v>211.06899999999999</v>
      </c>
      <c r="D14" s="164">
        <v>229.29900000000001</v>
      </c>
      <c r="E14" s="164">
        <v>461.77100000000002</v>
      </c>
      <c r="F14" s="164">
        <v>154.06299999999999</v>
      </c>
      <c r="G14" s="164">
        <v>95.963999999999999</v>
      </c>
      <c r="H14" s="164">
        <v>82.513999999999996</v>
      </c>
      <c r="I14" s="164">
        <v>25.12</v>
      </c>
    </row>
    <row r="15" spans="1:9" s="7" customFormat="1" ht="12" customHeight="1">
      <c r="A15" s="29"/>
      <c r="B15" s="106" t="s">
        <v>214</v>
      </c>
      <c r="C15" s="181">
        <v>46.661999999999999</v>
      </c>
      <c r="D15" s="181">
        <v>18.492999999999999</v>
      </c>
      <c r="E15" s="181">
        <v>31.088000000000001</v>
      </c>
      <c r="F15" s="181">
        <v>26.385999999999999</v>
      </c>
      <c r="G15" s="181">
        <v>6.9169999999999998</v>
      </c>
      <c r="H15" s="181">
        <v>0.34100000000000003</v>
      </c>
      <c r="I15" s="181">
        <v>0.59399999999999997</v>
      </c>
    </row>
    <row r="16" spans="1:9" s="7" customFormat="1" ht="12" customHeight="1">
      <c r="A16" s="29"/>
      <c r="B16" s="29" t="s">
        <v>220</v>
      </c>
      <c r="C16" s="164">
        <v>1.2390000000000001</v>
      </c>
      <c r="D16" s="164">
        <v>3.597</v>
      </c>
      <c r="E16" s="164">
        <v>157.30600000000001</v>
      </c>
      <c r="F16" s="164">
        <v>3.5640000000000001</v>
      </c>
      <c r="G16" s="164">
        <v>0</v>
      </c>
      <c r="H16" s="164">
        <v>0</v>
      </c>
      <c r="I16" s="164">
        <v>3.7679999999999998</v>
      </c>
    </row>
    <row r="17" spans="1:9" s="7" customFormat="1" ht="12" customHeight="1">
      <c r="A17" s="29"/>
      <c r="B17" s="106" t="s">
        <v>216</v>
      </c>
      <c r="C17" s="181">
        <v>1472.26</v>
      </c>
      <c r="D17" s="181">
        <v>974.36</v>
      </c>
      <c r="E17" s="181">
        <v>0</v>
      </c>
      <c r="F17" s="181">
        <v>0</v>
      </c>
      <c r="G17" s="181">
        <v>0</v>
      </c>
      <c r="H17" s="181">
        <v>0</v>
      </c>
      <c r="I17" s="181">
        <v>0</v>
      </c>
    </row>
    <row r="18" spans="1:9" s="7" customFormat="1" ht="12" customHeight="1">
      <c r="A18" s="29"/>
      <c r="B18" s="29" t="s">
        <v>217</v>
      </c>
      <c r="C18" s="164">
        <v>70.405000000000001</v>
      </c>
      <c r="D18" s="164">
        <v>83.554000000000002</v>
      </c>
      <c r="E18" s="164">
        <v>71.653000000000006</v>
      </c>
      <c r="F18" s="164">
        <v>12.984</v>
      </c>
      <c r="G18" s="164">
        <v>1.34</v>
      </c>
      <c r="H18" s="164">
        <v>1.349</v>
      </c>
      <c r="I18" s="164">
        <v>0.27900000000000003</v>
      </c>
    </row>
    <row r="19" spans="1:9" s="7" customFormat="1" ht="12" customHeight="1">
      <c r="A19" s="29"/>
      <c r="B19" s="106" t="s">
        <v>221</v>
      </c>
      <c r="C19" s="181">
        <v>0</v>
      </c>
      <c r="D19" s="181">
        <v>0</v>
      </c>
      <c r="E19" s="181">
        <v>0</v>
      </c>
      <c r="F19" s="181">
        <v>0</v>
      </c>
      <c r="G19" s="181">
        <v>0</v>
      </c>
      <c r="H19" s="181">
        <v>0</v>
      </c>
      <c r="I19" s="181">
        <v>4.2370000000000001</v>
      </c>
    </row>
    <row r="20" spans="1:9" ht="12" customHeight="1">
      <c r="A20" s="114"/>
      <c r="B20" s="77" t="s">
        <v>222</v>
      </c>
      <c r="C20" s="180">
        <v>953.45500000000004</v>
      </c>
      <c r="D20" s="180">
        <v>726.54300000000001</v>
      </c>
      <c r="E20" s="180">
        <v>821.26300000000003</v>
      </c>
      <c r="F20" s="180">
        <v>460.21899999999999</v>
      </c>
      <c r="G20" s="180">
        <v>490.142</v>
      </c>
      <c r="H20" s="180">
        <v>29.286000000000001</v>
      </c>
      <c r="I20" s="180">
        <v>33.164000000000001</v>
      </c>
    </row>
    <row r="21" spans="1:9" ht="12" customHeight="1">
      <c r="A21" s="114"/>
      <c r="B21" s="77" t="s">
        <v>223</v>
      </c>
      <c r="C21" s="180">
        <v>9582.9760000000006</v>
      </c>
      <c r="D21" s="180">
        <v>7246.4709999999995</v>
      </c>
      <c r="E21" s="180">
        <v>6599.6779999999999</v>
      </c>
      <c r="F21" s="180">
        <v>4516.4219999999996</v>
      </c>
      <c r="G21" s="180">
        <v>2648.212</v>
      </c>
      <c r="H21" s="180">
        <v>2735.29</v>
      </c>
      <c r="I21" s="180">
        <v>584.77700000000004</v>
      </c>
    </row>
    <row r="22" spans="1:9" ht="12" customHeight="1">
      <c r="A22" s="114"/>
      <c r="B22" s="77" t="s">
        <v>224</v>
      </c>
      <c r="C22" s="180">
        <v>1565.9010000000001</v>
      </c>
      <c r="D22" s="180">
        <v>1111.6110000000001</v>
      </c>
      <c r="E22" s="180">
        <v>1119.4359999999999</v>
      </c>
      <c r="F22" s="180">
        <v>811.952</v>
      </c>
      <c r="G22" s="180">
        <v>438.14499999999998</v>
      </c>
      <c r="H22" s="180">
        <v>460.22500000000002</v>
      </c>
      <c r="I22" s="180">
        <v>19.695</v>
      </c>
    </row>
    <row r="23" spans="1:9" s="7" customFormat="1" ht="12" customHeight="1">
      <c r="C23" s="184"/>
      <c r="D23" s="184"/>
      <c r="E23" s="184"/>
      <c r="F23" s="184"/>
      <c r="G23" s="184"/>
      <c r="H23" s="184"/>
      <c r="I23" s="184"/>
    </row>
    <row r="24" spans="1:9" s="7" customFormat="1" ht="12" customHeight="1">
      <c r="A24" s="115"/>
      <c r="B24" s="26" t="s">
        <v>225</v>
      </c>
      <c r="C24" s="183">
        <f>SUM(C7,C13)</f>
        <v>16877.601000000002</v>
      </c>
      <c r="D24" s="183">
        <f t="shared" ref="D24:I24" si="2">SUM(D7,D13)</f>
        <v>12663.927</v>
      </c>
      <c r="E24" s="183">
        <f t="shared" si="2"/>
        <v>10578.344999999999</v>
      </c>
      <c r="F24" s="183">
        <f t="shared" si="2"/>
        <v>7262.4710000000005</v>
      </c>
      <c r="G24" s="183">
        <f t="shared" si="2"/>
        <v>4105.1939999999995</v>
      </c>
      <c r="H24" s="183">
        <f t="shared" si="2"/>
        <v>3905.7719999999999</v>
      </c>
      <c r="I24" s="183">
        <f t="shared" si="2"/>
        <v>773.6070000000002</v>
      </c>
    </row>
    <row r="25" spans="1:9" ht="12" customHeight="1">
      <c r="A25" s="31"/>
      <c r="B25" s="93"/>
      <c r="C25" s="94"/>
      <c r="D25" s="94"/>
      <c r="E25" s="94"/>
      <c r="F25" s="94"/>
      <c r="G25" s="94"/>
      <c r="H25" s="94"/>
      <c r="I25" s="94"/>
    </row>
    <row r="26" spans="1:9" ht="12" customHeight="1">
      <c r="A26" s="113"/>
      <c r="B26" s="24" t="s">
        <v>226</v>
      </c>
      <c r="C26" s="109">
        <v>2022</v>
      </c>
      <c r="D26" s="109" t="s">
        <v>198</v>
      </c>
      <c r="E26" s="109">
        <v>2020</v>
      </c>
      <c r="F26" s="109">
        <v>2019</v>
      </c>
      <c r="G26" s="109">
        <v>2018</v>
      </c>
      <c r="H26" s="109">
        <v>2017</v>
      </c>
      <c r="I26" s="109">
        <v>2016</v>
      </c>
    </row>
    <row r="27" spans="1:9" ht="12" customHeight="1">
      <c r="A27" s="114"/>
      <c r="B27" s="77" t="s">
        <v>227</v>
      </c>
      <c r="C27" s="180">
        <f>SUM(C28:C33)</f>
        <v>3109.6549999999997</v>
      </c>
      <c r="D27" s="180">
        <f t="shared" ref="D27:I27" si="3">SUM(D28:D33)</f>
        <v>1520.623</v>
      </c>
      <c r="E27" s="180">
        <f t="shared" si="3"/>
        <v>608.33100000000002</v>
      </c>
      <c r="F27" s="180">
        <f t="shared" si="3"/>
        <v>334.82300000000004</v>
      </c>
      <c r="G27" s="180">
        <f t="shared" si="3"/>
        <v>211.55899999999997</v>
      </c>
      <c r="H27" s="180">
        <f t="shared" si="3"/>
        <v>319.101</v>
      </c>
      <c r="I27" s="180">
        <f t="shared" si="3"/>
        <v>101.42599999999999</v>
      </c>
    </row>
    <row r="28" spans="1:9" ht="12" customHeight="1">
      <c r="A28" s="29"/>
      <c r="B28" s="29" t="s">
        <v>228</v>
      </c>
      <c r="C28" s="164">
        <v>236.73400000000001</v>
      </c>
      <c r="D28" s="164">
        <v>219.251</v>
      </c>
      <c r="E28" s="164">
        <v>84.814999999999998</v>
      </c>
      <c r="F28" s="164">
        <v>69.19</v>
      </c>
      <c r="G28" s="164">
        <v>67.010000000000005</v>
      </c>
      <c r="H28" s="164">
        <v>95.173000000000002</v>
      </c>
      <c r="I28" s="164">
        <v>27.478000000000002</v>
      </c>
    </row>
    <row r="29" spans="1:9" ht="12" customHeight="1">
      <c r="A29" s="29"/>
      <c r="B29" s="106" t="s">
        <v>229</v>
      </c>
      <c r="C29" s="181">
        <v>1724.473</v>
      </c>
      <c r="D29" s="181">
        <v>482.08800000000002</v>
      </c>
      <c r="E29" s="181">
        <v>373.86099999999999</v>
      </c>
      <c r="F29" s="181">
        <v>193.666</v>
      </c>
      <c r="G29" s="181">
        <v>107.86799999999999</v>
      </c>
      <c r="H29" s="181">
        <v>135.47999999999999</v>
      </c>
      <c r="I29" s="181">
        <v>34.351999999999997</v>
      </c>
    </row>
    <row r="30" spans="1:9" ht="12" customHeight="1">
      <c r="A30" s="29"/>
      <c r="B30" s="29" t="s">
        <v>230</v>
      </c>
      <c r="C30" s="164">
        <v>102.535</v>
      </c>
      <c r="D30" s="164">
        <v>62.372999999999998</v>
      </c>
      <c r="E30" s="164">
        <v>44.536999999999999</v>
      </c>
      <c r="F30" s="164">
        <v>38.725999999999999</v>
      </c>
      <c r="G30" s="164">
        <v>22.039000000000001</v>
      </c>
      <c r="H30" s="164">
        <v>24.949000000000002</v>
      </c>
      <c r="I30" s="164">
        <v>5.5380000000000003</v>
      </c>
    </row>
    <row r="31" spans="1:9" ht="12" customHeight="1">
      <c r="A31" s="29"/>
      <c r="B31" s="106" t="s">
        <v>231</v>
      </c>
      <c r="C31" s="181">
        <v>17.484999999999999</v>
      </c>
      <c r="D31" s="181">
        <v>16.794</v>
      </c>
      <c r="E31" s="181">
        <v>20.056999999999999</v>
      </c>
      <c r="F31" s="181">
        <v>4.9340000000000002</v>
      </c>
      <c r="G31" s="181">
        <v>0</v>
      </c>
      <c r="H31" s="181">
        <v>0</v>
      </c>
      <c r="I31" s="181">
        <v>0</v>
      </c>
    </row>
    <row r="32" spans="1:9" ht="12" customHeight="1">
      <c r="A32" s="29"/>
      <c r="B32" s="29" t="s">
        <v>216</v>
      </c>
      <c r="C32" s="164">
        <v>949.54200000000003</v>
      </c>
      <c r="D32" s="164">
        <v>591.84799999999996</v>
      </c>
      <c r="E32" s="164">
        <v>0</v>
      </c>
      <c r="F32" s="164">
        <v>0</v>
      </c>
      <c r="G32" s="164">
        <v>0</v>
      </c>
      <c r="H32" s="164">
        <v>0</v>
      </c>
      <c r="I32" s="164">
        <v>0</v>
      </c>
    </row>
    <row r="33" spans="1:9" ht="12" customHeight="1">
      <c r="A33" s="29"/>
      <c r="B33" s="106" t="s">
        <v>232</v>
      </c>
      <c r="C33" s="181">
        <v>78.885999999999996</v>
      </c>
      <c r="D33" s="181">
        <v>148.26900000000001</v>
      </c>
      <c r="E33" s="181">
        <v>85.061000000000007</v>
      </c>
      <c r="F33" s="181">
        <v>28.306999999999999</v>
      </c>
      <c r="G33" s="181">
        <v>14.641999999999999</v>
      </c>
      <c r="H33" s="181">
        <v>63.499000000000002</v>
      </c>
      <c r="I33" s="181">
        <v>34.058</v>
      </c>
    </row>
    <row r="34" spans="1:9" ht="12" customHeight="1">
      <c r="A34" s="114"/>
      <c r="B34" s="77" t="s">
        <v>233</v>
      </c>
      <c r="C34" s="180">
        <f>SUM(C35:C40)</f>
        <v>8588.58</v>
      </c>
      <c r="D34" s="180">
        <f t="shared" ref="D34:I34" si="4">SUM(D35:D40)</f>
        <v>6837.0550000000003</v>
      </c>
      <c r="E34" s="180">
        <f t="shared" si="4"/>
        <v>6124.982</v>
      </c>
      <c r="F34" s="180">
        <f t="shared" si="4"/>
        <v>4065.9849999999997</v>
      </c>
      <c r="G34" s="180">
        <f t="shared" si="4"/>
        <v>2038.097</v>
      </c>
      <c r="H34" s="180">
        <f t="shared" si="4"/>
        <v>1776.1550000000002</v>
      </c>
      <c r="I34" s="180">
        <f t="shared" si="4"/>
        <v>302.43399999999997</v>
      </c>
    </row>
    <row r="35" spans="1:9" ht="12" customHeight="1">
      <c r="A35" s="29"/>
      <c r="B35" s="29" t="s">
        <v>229</v>
      </c>
      <c r="C35" s="164">
        <v>6651.5309999999999</v>
      </c>
      <c r="D35" s="164">
        <v>5556.3450000000003</v>
      </c>
      <c r="E35" s="164">
        <v>5522.9930000000004</v>
      </c>
      <c r="F35" s="164">
        <v>3757.2179999999998</v>
      </c>
      <c r="G35" s="164">
        <v>2001.1420000000001</v>
      </c>
      <c r="H35" s="164">
        <v>1747.249</v>
      </c>
      <c r="I35" s="164">
        <v>281.95499999999998</v>
      </c>
    </row>
    <row r="36" spans="1:9" ht="12" customHeight="1">
      <c r="A36" s="29"/>
      <c r="B36" s="106" t="s">
        <v>228</v>
      </c>
      <c r="C36" s="181">
        <v>179.523</v>
      </c>
      <c r="D36" s="181">
        <v>168.50800000000001</v>
      </c>
      <c r="E36" s="181">
        <v>214.68199999999999</v>
      </c>
      <c r="F36" s="181">
        <v>28.59</v>
      </c>
      <c r="G36" s="181">
        <v>12.864000000000001</v>
      </c>
      <c r="H36" s="181">
        <v>15.615</v>
      </c>
      <c r="I36" s="181">
        <v>11.936999999999999</v>
      </c>
    </row>
    <row r="37" spans="1:9" ht="12" customHeight="1">
      <c r="A37" s="29"/>
      <c r="B37" s="29" t="s">
        <v>231</v>
      </c>
      <c r="C37" s="164">
        <v>101.66</v>
      </c>
      <c r="D37" s="164">
        <v>105.215</v>
      </c>
      <c r="E37" s="164">
        <v>105.33</v>
      </c>
      <c r="F37" s="164">
        <v>48.19</v>
      </c>
      <c r="G37" s="164">
        <v>0</v>
      </c>
      <c r="H37" s="164">
        <v>0</v>
      </c>
      <c r="I37" s="164">
        <v>0</v>
      </c>
    </row>
    <row r="38" spans="1:9" ht="12" customHeight="1">
      <c r="A38" s="29"/>
      <c r="B38" s="106" t="s">
        <v>220</v>
      </c>
      <c r="C38" s="181">
        <v>54.947000000000003</v>
      </c>
      <c r="D38" s="181">
        <v>63.832000000000001</v>
      </c>
      <c r="E38" s="181">
        <v>56.970999999999997</v>
      </c>
      <c r="F38" s="181">
        <v>32.988</v>
      </c>
      <c r="G38" s="181">
        <v>20.907</v>
      </c>
      <c r="H38" s="181">
        <v>12.064</v>
      </c>
      <c r="I38" s="181">
        <v>8.5419999999999998</v>
      </c>
    </row>
    <row r="39" spans="1:9" ht="12" customHeight="1">
      <c r="A39" s="29"/>
      <c r="B39" s="29" t="s">
        <v>216</v>
      </c>
      <c r="C39" s="164">
        <v>1394.0630000000001</v>
      </c>
      <c r="D39" s="164">
        <v>928.33299999999997</v>
      </c>
      <c r="E39" s="164">
        <v>0</v>
      </c>
      <c r="F39" s="164">
        <v>0</v>
      </c>
      <c r="G39" s="164">
        <v>0</v>
      </c>
      <c r="H39" s="164">
        <v>0</v>
      </c>
      <c r="I39" s="164">
        <v>0</v>
      </c>
    </row>
    <row r="40" spans="1:9" ht="12" customHeight="1">
      <c r="A40" s="29"/>
      <c r="B40" s="106" t="s">
        <v>232</v>
      </c>
      <c r="C40" s="181">
        <v>206.85599999999999</v>
      </c>
      <c r="D40" s="181">
        <v>14.821999999999999</v>
      </c>
      <c r="E40" s="181">
        <v>225.006</v>
      </c>
      <c r="F40" s="181">
        <v>198.999</v>
      </c>
      <c r="G40" s="181">
        <v>3.1840000000000002</v>
      </c>
      <c r="H40" s="181">
        <v>1.2270000000000001</v>
      </c>
      <c r="I40" s="181">
        <v>0</v>
      </c>
    </row>
    <row r="41" spans="1:9" ht="12" customHeight="1">
      <c r="A41" s="114"/>
      <c r="B41" s="77" t="s">
        <v>234</v>
      </c>
      <c r="C41" s="180">
        <f>SUM(C27,C34)</f>
        <v>11698.235000000001</v>
      </c>
      <c r="D41" s="180">
        <f t="shared" ref="D41:I41" si="5">SUM(D27,D34)</f>
        <v>8357.6779999999999</v>
      </c>
      <c r="E41" s="180">
        <f t="shared" si="5"/>
        <v>6733.3130000000001</v>
      </c>
      <c r="F41" s="180">
        <f t="shared" si="5"/>
        <v>4400.808</v>
      </c>
      <c r="G41" s="180">
        <f t="shared" si="5"/>
        <v>2249.6559999999999</v>
      </c>
      <c r="H41" s="180">
        <f t="shared" si="5"/>
        <v>2095.2560000000003</v>
      </c>
      <c r="I41" s="180">
        <f t="shared" si="5"/>
        <v>403.85999999999996</v>
      </c>
    </row>
    <row r="42" spans="1:9" ht="12" customHeight="1">
      <c r="A42" s="29"/>
      <c r="B42" s="29"/>
      <c r="C42" s="164"/>
      <c r="D42" s="164"/>
      <c r="E42" s="164"/>
      <c r="F42" s="164"/>
      <c r="G42" s="164"/>
      <c r="H42" s="164"/>
      <c r="I42" s="164"/>
    </row>
    <row r="43" spans="1:9" ht="12" customHeight="1">
      <c r="A43" s="114"/>
      <c r="B43" s="77" t="s">
        <v>235</v>
      </c>
      <c r="C43" s="180"/>
      <c r="D43" s="180"/>
      <c r="E43" s="180"/>
      <c r="F43" s="180"/>
      <c r="G43" s="180"/>
      <c r="H43" s="180"/>
      <c r="I43" s="180"/>
    </row>
    <row r="44" spans="1:9" ht="12" customHeight="1">
      <c r="A44" s="29"/>
      <c r="B44" s="29" t="s">
        <v>236</v>
      </c>
      <c r="C44" s="164">
        <v>4439.3599999999997</v>
      </c>
      <c r="D44" s="164">
        <v>3736.3249999999998</v>
      </c>
      <c r="E44" s="164">
        <v>3833.2449999999999</v>
      </c>
      <c r="F44" s="164">
        <v>2664.0140000000001</v>
      </c>
      <c r="G44" s="164">
        <v>1754.463</v>
      </c>
      <c r="H44" s="164">
        <v>1754.463</v>
      </c>
      <c r="I44" s="164">
        <v>265.29599999999999</v>
      </c>
    </row>
    <row r="45" spans="1:9" ht="12" customHeight="1">
      <c r="A45" s="29"/>
      <c r="B45" s="106" t="s">
        <v>237</v>
      </c>
      <c r="C45" s="181">
        <v>0</v>
      </c>
      <c r="D45" s="181">
        <v>0</v>
      </c>
      <c r="E45" s="181">
        <v>-72.944000000000003</v>
      </c>
      <c r="F45" s="181">
        <v>-55.81</v>
      </c>
      <c r="G45" s="181">
        <v>-33.067999999999998</v>
      </c>
      <c r="H45" s="181">
        <v>-33.067999999999998</v>
      </c>
      <c r="I45" s="181">
        <v>-2.3540000000000001</v>
      </c>
    </row>
    <row r="46" spans="1:9" ht="12" customHeight="1">
      <c r="A46" s="29"/>
      <c r="B46" s="29" t="s">
        <v>238</v>
      </c>
      <c r="C46" s="164">
        <v>170.023</v>
      </c>
      <c r="D46" s="164">
        <v>0</v>
      </c>
      <c r="E46" s="164">
        <v>132.077</v>
      </c>
      <c r="F46" s="164">
        <v>121.584</v>
      </c>
      <c r="G46" s="164">
        <v>45.820999999999998</v>
      </c>
      <c r="H46" s="164">
        <v>35.920999999999999</v>
      </c>
      <c r="I46" s="164">
        <v>34.545000000000002</v>
      </c>
    </row>
    <row r="47" spans="1:9" ht="12" customHeight="1">
      <c r="A47" s="29"/>
      <c r="B47" s="106" t="s">
        <v>239</v>
      </c>
      <c r="C47" s="181">
        <v>587.21500000000003</v>
      </c>
      <c r="D47" s="181">
        <v>598.23099999999999</v>
      </c>
      <c r="E47" s="181">
        <v>231.81</v>
      </c>
      <c r="F47" s="181">
        <v>182.45699999999999</v>
      </c>
      <c r="G47" s="181">
        <v>140.47900000000001</v>
      </c>
      <c r="H47" s="181">
        <v>98.593000000000004</v>
      </c>
      <c r="I47" s="181">
        <v>0</v>
      </c>
    </row>
    <row r="48" spans="1:9" ht="12" customHeight="1">
      <c r="A48" s="29"/>
      <c r="B48" s="29" t="s">
        <v>240</v>
      </c>
      <c r="C48" s="164">
        <v>-45.51</v>
      </c>
      <c r="D48" s="164">
        <v>-28.306999999999999</v>
      </c>
      <c r="E48" s="164">
        <v>-391.02499999999998</v>
      </c>
      <c r="F48" s="164">
        <v>-95.733000000000004</v>
      </c>
      <c r="G48" s="164">
        <v>-95.733000000000004</v>
      </c>
      <c r="H48" s="164">
        <v>-95.733000000000004</v>
      </c>
      <c r="I48" s="164">
        <v>0</v>
      </c>
    </row>
    <row r="49" spans="1:9" ht="12" customHeight="1">
      <c r="A49" s="29"/>
      <c r="B49" s="106" t="s">
        <v>241</v>
      </c>
      <c r="C49" s="181">
        <v>0</v>
      </c>
      <c r="D49" s="181">
        <v>0</v>
      </c>
      <c r="E49" s="181">
        <v>0</v>
      </c>
      <c r="F49" s="181">
        <v>0</v>
      </c>
      <c r="G49" s="181">
        <v>0</v>
      </c>
      <c r="H49" s="181">
        <v>0</v>
      </c>
      <c r="I49" s="181">
        <v>-1.9530000000000001</v>
      </c>
    </row>
    <row r="50" spans="1:9" ht="12" customHeight="1">
      <c r="A50" s="114"/>
      <c r="B50" s="77" t="s">
        <v>242</v>
      </c>
      <c r="C50" s="180">
        <f>SUM(C44:C49)</f>
        <v>5151.0879999999997</v>
      </c>
      <c r="D50" s="180">
        <f t="shared" ref="D50:I50" si="6">SUM(D44:D49)</f>
        <v>4306.2489999999998</v>
      </c>
      <c r="E50" s="180">
        <f t="shared" si="6"/>
        <v>3733.163</v>
      </c>
      <c r="F50" s="180">
        <f t="shared" si="6"/>
        <v>2816.5119999999997</v>
      </c>
      <c r="G50" s="180">
        <f t="shared" si="6"/>
        <v>1811.962</v>
      </c>
      <c r="H50" s="180">
        <f t="shared" si="6"/>
        <v>1760.1760000000002</v>
      </c>
      <c r="I50" s="180">
        <f t="shared" si="6"/>
        <v>295.53400000000005</v>
      </c>
    </row>
    <row r="51" spans="1:9" ht="12" customHeight="1">
      <c r="A51" s="29"/>
      <c r="B51" s="29" t="s">
        <v>243</v>
      </c>
      <c r="C51" s="164">
        <v>28.277999999999999</v>
      </c>
      <c r="D51" s="164">
        <v>0</v>
      </c>
      <c r="E51" s="164">
        <v>111.869</v>
      </c>
      <c r="F51" s="164">
        <v>45.151000000000003</v>
      </c>
      <c r="G51" s="164">
        <v>43.576000000000001</v>
      </c>
      <c r="H51" s="164">
        <v>50.34</v>
      </c>
      <c r="I51" s="164">
        <v>74.212999999999994</v>
      </c>
    </row>
    <row r="52" spans="1:9" ht="12" customHeight="1">
      <c r="A52" s="114"/>
      <c r="B52" s="77" t="s">
        <v>244</v>
      </c>
      <c r="C52" s="180">
        <f>SUM(C50:C51)</f>
        <v>5179.366</v>
      </c>
      <c r="D52" s="180">
        <f>SUM(D50:D51)</f>
        <v>4306.2489999999998</v>
      </c>
      <c r="E52" s="180">
        <f t="shared" ref="E52:I52" si="7">SUM(E50:E51)</f>
        <v>3845.0320000000002</v>
      </c>
      <c r="F52" s="180">
        <f t="shared" si="7"/>
        <v>2861.6629999999996</v>
      </c>
      <c r="G52" s="180">
        <f t="shared" si="7"/>
        <v>1855.538</v>
      </c>
      <c r="H52" s="180">
        <f t="shared" si="7"/>
        <v>1810.5160000000001</v>
      </c>
      <c r="I52" s="180">
        <f t="shared" si="7"/>
        <v>369.74700000000007</v>
      </c>
    </row>
    <row r="53" spans="1:9" ht="12" customHeight="1">
      <c r="B53" s="99"/>
      <c r="C53" s="182"/>
      <c r="D53" s="182"/>
      <c r="E53" s="182"/>
      <c r="F53" s="182"/>
      <c r="G53" s="182"/>
      <c r="H53" s="182"/>
      <c r="I53" s="182"/>
    </row>
    <row r="54" spans="1:9" ht="12" customHeight="1">
      <c r="B54" s="26" t="s">
        <v>245</v>
      </c>
      <c r="C54" s="183">
        <f>SUM(C52,C41)</f>
        <v>16877.601000000002</v>
      </c>
      <c r="D54" s="183">
        <f t="shared" ref="D54:I54" si="8">SUM(D52,D41)</f>
        <v>12663.927</v>
      </c>
      <c r="E54" s="183">
        <f t="shared" si="8"/>
        <v>10578.345000000001</v>
      </c>
      <c r="F54" s="183">
        <f t="shared" si="8"/>
        <v>7262.4709999999995</v>
      </c>
      <c r="G54" s="183">
        <f t="shared" si="8"/>
        <v>4105.1939999999995</v>
      </c>
      <c r="H54" s="183">
        <f t="shared" si="8"/>
        <v>3905.7720000000004</v>
      </c>
      <c r="I54" s="183">
        <f t="shared" si="8"/>
        <v>773.60699999999997</v>
      </c>
    </row>
    <row r="55" spans="1:9" ht="12" customHeight="1">
      <c r="B55" s="83"/>
      <c r="C55" s="117"/>
      <c r="D55" s="117"/>
      <c r="E55" s="117"/>
      <c r="F55" s="117"/>
      <c r="G55" s="117"/>
      <c r="H55" s="117"/>
      <c r="I55" s="117"/>
    </row>
    <row r="56" spans="1:9" ht="12" hidden="1" customHeight="1">
      <c r="C56" s="83"/>
      <c r="D56" s="83"/>
      <c r="E56" s="83"/>
      <c r="F56" s="83"/>
      <c r="G56" s="83"/>
      <c r="H56" s="126"/>
      <c r="I56" s="125"/>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DE42B-17D6-411D-92BB-3C0EC1792893}">
  <sheetPr>
    <tabColor rgb="FF26395F"/>
  </sheetPr>
  <dimension ref="A1:V25"/>
  <sheetViews>
    <sheetView showGridLines="0" zoomScaleNormal="100" workbookViewId="0"/>
  </sheetViews>
  <sheetFormatPr defaultColWidth="0" defaultRowHeight="12" customHeight="1" zeroHeight="1"/>
  <cols>
    <col min="1" max="1" width="5.453125" customWidth="1"/>
    <col min="2" max="2" width="22" customWidth="1"/>
    <col min="3" max="4" width="10.08984375" customWidth="1"/>
    <col min="5" max="5" width="0.7265625" customWidth="1"/>
    <col min="6" max="7" width="10.08984375" customWidth="1"/>
    <col min="8" max="8" width="4.7265625" customWidth="1"/>
    <col min="9" max="10" width="10.08984375" hidden="1" customWidth="1"/>
    <col min="11" max="11" width="0.7265625" hidden="1" customWidth="1"/>
    <col min="12" max="13" width="10.08984375" hidden="1" customWidth="1"/>
    <col min="14" max="14" width="4.7265625" hidden="1" customWidth="1"/>
    <col min="15" max="22" width="0" hidden="1" customWidth="1"/>
    <col min="23" max="16384" width="8.7265625" hidden="1"/>
  </cols>
  <sheetData>
    <row r="1" spans="2:16" ht="12" customHeight="1"/>
    <row r="2" spans="2:16" ht="12" customHeight="1"/>
    <row r="3" spans="2:16" ht="12" customHeight="1">
      <c r="F3" s="202"/>
    </row>
    <row r="4" spans="2:16" ht="12" customHeight="1"/>
    <row r="5" spans="2:16" ht="12" customHeight="1"/>
    <row r="6" spans="2:16" s="7" customFormat="1" ht="12" customHeight="1">
      <c r="B6" s="142" t="s">
        <v>262</v>
      </c>
      <c r="C6" s="82"/>
      <c r="D6" s="82"/>
      <c r="E6" s="82"/>
      <c r="F6" s="82"/>
      <c r="G6" s="82"/>
      <c r="H6"/>
      <c r="I6"/>
      <c r="J6"/>
      <c r="K6"/>
      <c r="L6"/>
      <c r="M6"/>
      <c r="N6"/>
      <c r="O6"/>
      <c r="P6"/>
    </row>
    <row r="7" spans="2:16" ht="12" customHeight="1"/>
    <row r="8" spans="2:16" ht="12" customHeight="1">
      <c r="B8" s="185"/>
      <c r="C8" s="302" t="s">
        <v>100</v>
      </c>
      <c r="D8" s="302"/>
      <c r="E8" s="302"/>
      <c r="F8" s="302"/>
      <c r="G8" s="302"/>
    </row>
    <row r="9" spans="2:16" ht="12" customHeight="1">
      <c r="B9" s="185"/>
      <c r="C9" s="303">
        <v>2022</v>
      </c>
      <c r="D9" s="303"/>
      <c r="E9" s="186"/>
      <c r="F9" s="303">
        <v>2021</v>
      </c>
      <c r="G9" s="303"/>
    </row>
    <row r="10" spans="2:16" ht="12" customHeight="1">
      <c r="B10" s="187"/>
      <c r="C10" s="188" t="s">
        <v>252</v>
      </c>
      <c r="D10" s="188" t="s">
        <v>253</v>
      </c>
      <c r="E10" s="188"/>
      <c r="F10" s="188" t="s">
        <v>252</v>
      </c>
      <c r="G10" s="188" t="s">
        <v>253</v>
      </c>
    </row>
    <row r="11" spans="2:16" ht="12" customHeight="1">
      <c r="B11" s="106" t="s">
        <v>255</v>
      </c>
      <c r="C11" s="193"/>
      <c r="D11" s="206"/>
      <c r="E11" s="206"/>
      <c r="F11" s="193"/>
      <c r="G11" s="206"/>
    </row>
    <row r="12" spans="2:16" ht="12" customHeight="1">
      <c r="B12" s="95" t="s">
        <v>275</v>
      </c>
      <c r="C12" s="194">
        <v>321985</v>
      </c>
      <c r="D12" s="194">
        <v>1472555.9570000002</v>
      </c>
      <c r="E12" s="207"/>
      <c r="F12" s="194">
        <v>320193</v>
      </c>
      <c r="G12" s="194">
        <v>1472556</v>
      </c>
    </row>
    <row r="13" spans="2:16" ht="12" customHeight="1">
      <c r="B13" s="106" t="s">
        <v>276</v>
      </c>
      <c r="C13" s="193">
        <v>47004</v>
      </c>
      <c r="D13" s="193">
        <v>61758</v>
      </c>
      <c r="E13" s="208"/>
      <c r="F13" s="193">
        <v>32794</v>
      </c>
      <c r="G13" s="193">
        <v>46318.499999999993</v>
      </c>
    </row>
    <row r="14" spans="2:16" ht="12" customHeight="1">
      <c r="B14" s="95" t="s">
        <v>277</v>
      </c>
      <c r="C14" s="194">
        <v>53512</v>
      </c>
      <c r="D14" s="194"/>
      <c r="E14" s="207"/>
      <c r="F14" s="194">
        <v>1763</v>
      </c>
      <c r="G14" s="194"/>
    </row>
    <row r="15" spans="2:16" ht="12" customHeight="1">
      <c r="B15" s="106" t="s">
        <v>278</v>
      </c>
      <c r="C15" s="193">
        <v>299061</v>
      </c>
      <c r="D15" s="193">
        <v>1315752</v>
      </c>
      <c r="E15" s="209"/>
      <c r="F15" s="193">
        <v>248503</v>
      </c>
      <c r="G15" s="193">
        <v>986530.7257192455</v>
      </c>
    </row>
    <row r="16" spans="2:16" ht="12" customHeight="1">
      <c r="B16" s="95" t="s">
        <v>256</v>
      </c>
      <c r="C16" s="194">
        <v>1814692</v>
      </c>
      <c r="D16" s="194">
        <v>7018944.2136240248</v>
      </c>
      <c r="E16" s="207"/>
      <c r="F16" s="194">
        <v>1096312</v>
      </c>
      <c r="G16" s="194">
        <v>6206771</v>
      </c>
    </row>
    <row r="17" spans="2:13" ht="12" customHeight="1">
      <c r="B17" s="106" t="s">
        <v>257</v>
      </c>
      <c r="C17" s="193">
        <v>105145</v>
      </c>
      <c r="D17" s="189">
        <v>0</v>
      </c>
      <c r="E17" s="209"/>
      <c r="F17" s="193">
        <v>155749</v>
      </c>
      <c r="G17" s="189">
        <v>0</v>
      </c>
    </row>
    <row r="18" spans="2:13" ht="12" customHeight="1">
      <c r="B18" s="29" t="s">
        <v>279</v>
      </c>
      <c r="C18" s="194">
        <v>2676</v>
      </c>
      <c r="D18" s="203">
        <v>0</v>
      </c>
      <c r="E18" s="203"/>
      <c r="F18" s="194">
        <v>23274</v>
      </c>
      <c r="G18" s="203">
        <v>0</v>
      </c>
    </row>
    <row r="19" spans="2:13" ht="12" customHeight="1">
      <c r="B19" s="106" t="s">
        <v>258</v>
      </c>
      <c r="C19" s="193">
        <v>53095</v>
      </c>
      <c r="D19" s="189">
        <v>0</v>
      </c>
      <c r="E19" s="189"/>
      <c r="F19" s="193">
        <v>18085</v>
      </c>
      <c r="G19" s="189">
        <v>0</v>
      </c>
    </row>
    <row r="20" spans="2:13" ht="12" customHeight="1">
      <c r="B20" s="29" t="s">
        <v>259</v>
      </c>
      <c r="C20" s="203">
        <v>0</v>
      </c>
      <c r="D20" s="203">
        <v>0</v>
      </c>
      <c r="E20" s="203"/>
      <c r="F20" s="194">
        <v>0</v>
      </c>
      <c r="G20" s="203">
        <v>0</v>
      </c>
    </row>
    <row r="21" spans="2:13" ht="12" customHeight="1">
      <c r="B21" s="106" t="s">
        <v>254</v>
      </c>
      <c r="C21" s="193">
        <v>-1498</v>
      </c>
      <c r="D21" s="189">
        <v>0</v>
      </c>
      <c r="E21" s="189"/>
      <c r="F21" s="193">
        <v>-671.76</v>
      </c>
      <c r="G21" s="189">
        <v>0</v>
      </c>
    </row>
    <row r="22" spans="2:13" ht="12" customHeight="1">
      <c r="B22" s="204" t="s">
        <v>260</v>
      </c>
      <c r="C22" s="210">
        <v>-258996.92583000002</v>
      </c>
      <c r="D22" s="205">
        <v>0</v>
      </c>
      <c r="E22" s="205"/>
      <c r="F22" s="210">
        <v>-126325.24</v>
      </c>
      <c r="G22" s="205">
        <v>0</v>
      </c>
    </row>
    <row r="23" spans="2:13" ht="12" customHeight="1">
      <c r="B23" s="190" t="s">
        <v>22</v>
      </c>
      <c r="C23" s="191">
        <f>SUM(C12:C22)</f>
        <v>2436675.0741699999</v>
      </c>
      <c r="D23" s="191">
        <f>SUM(D12:D22)</f>
        <v>9869010.1706240252</v>
      </c>
      <c r="E23" s="191"/>
      <c r="F23" s="191">
        <f>SUM(F12:F22)</f>
        <v>1769676</v>
      </c>
      <c r="G23" s="191">
        <f>SUM(G12:G22)</f>
        <v>8712176.2257192452</v>
      </c>
    </row>
    <row r="24" spans="2:13" ht="12" customHeight="1">
      <c r="B24" s="301"/>
      <c r="C24" s="301"/>
      <c r="D24" s="301"/>
      <c r="E24" s="301"/>
      <c r="F24" s="301"/>
      <c r="G24" s="301"/>
      <c r="H24" s="301"/>
      <c r="I24" s="301"/>
      <c r="J24" s="301"/>
      <c r="K24" s="95"/>
      <c r="L24" s="192"/>
      <c r="M24" s="95"/>
    </row>
    <row r="25" spans="2:13" ht="12" hidden="1" customHeight="1">
      <c r="B25" s="95"/>
      <c r="C25" s="95"/>
      <c r="D25" s="95"/>
      <c r="E25" s="95"/>
      <c r="F25" s="95"/>
      <c r="G25" s="95"/>
      <c r="H25" s="95"/>
      <c r="I25" s="95"/>
      <c r="J25" s="95"/>
      <c r="K25" s="95"/>
      <c r="L25" s="95"/>
      <c r="M25" s="95"/>
    </row>
  </sheetData>
  <mergeCells count="4">
    <mergeCell ref="B24:J24"/>
    <mergeCell ref="C8:G8"/>
    <mergeCell ref="C9:D9"/>
    <mergeCell ref="F9:G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16FE-C838-4F53-8C77-81DDA4928EBE}">
  <sheetPr>
    <tabColor rgb="FF26395F"/>
  </sheetPr>
  <dimension ref="A1:N18"/>
  <sheetViews>
    <sheetView showGridLines="0" zoomScaleNormal="100" workbookViewId="0"/>
  </sheetViews>
  <sheetFormatPr defaultColWidth="0" defaultRowHeight="0" customHeight="1" zeroHeight="1"/>
  <cols>
    <col min="1" max="1" width="5.453125" style="144" customWidth="1"/>
    <col min="2" max="2" width="4.1796875" style="174" customWidth="1"/>
    <col min="3" max="3" width="19.1796875" style="174" customWidth="1"/>
    <col min="4" max="4" width="29.453125" style="174" customWidth="1"/>
    <col min="5" max="5" width="11.453125" style="144" customWidth="1"/>
    <col min="6" max="6" width="9.453125" style="144" customWidth="1"/>
    <col min="7" max="7" width="10.81640625" style="144" customWidth="1"/>
    <col min="8" max="8" width="11.81640625" style="144" customWidth="1"/>
    <col min="9" max="10" width="13.453125" style="144" customWidth="1"/>
    <col min="11" max="11" width="4.7265625" style="144" customWidth="1"/>
    <col min="12" max="14" width="0" style="144" hidden="1" customWidth="1"/>
    <col min="15" max="16384" width="8.81640625" style="144" hidden="1"/>
  </cols>
  <sheetData>
    <row r="1" spans="2:14" ht="12" customHeight="1"/>
    <row r="2" spans="2:14" ht="12" customHeight="1"/>
    <row r="3" spans="2:14" ht="12" customHeight="1"/>
    <row r="4" spans="2:14" ht="12" customHeight="1"/>
    <row r="5" spans="2:14" ht="12" customHeight="1"/>
    <row r="6" spans="2:14" ht="45.65" customHeight="1">
      <c r="B6" s="22" t="s">
        <v>2</v>
      </c>
      <c r="C6" s="22" t="s">
        <v>3</v>
      </c>
      <c r="D6" s="22" t="s">
        <v>4</v>
      </c>
      <c r="E6" s="22" t="s">
        <v>5</v>
      </c>
      <c r="F6" s="22" t="s">
        <v>6</v>
      </c>
      <c r="G6" s="22" t="s">
        <v>7</v>
      </c>
      <c r="H6" s="22" t="s">
        <v>8</v>
      </c>
      <c r="I6" s="22" t="s">
        <v>9</v>
      </c>
      <c r="J6" s="46" t="s">
        <v>295</v>
      </c>
    </row>
    <row r="7" spans="2:14" ht="12" customHeight="1">
      <c r="B7" s="47">
        <v>1</v>
      </c>
      <c r="C7" s="47" t="s">
        <v>10</v>
      </c>
      <c r="D7" s="18" t="s">
        <v>11</v>
      </c>
      <c r="E7" s="19" t="s">
        <v>12</v>
      </c>
      <c r="F7" s="19" t="s">
        <v>263</v>
      </c>
      <c r="G7" s="20">
        <v>1</v>
      </c>
      <c r="H7" s="18" t="s">
        <v>673</v>
      </c>
      <c r="I7" s="34" t="s">
        <v>676</v>
      </c>
      <c r="J7" s="34" t="s">
        <v>297</v>
      </c>
    </row>
    <row r="8" spans="2:14" ht="24">
      <c r="B8" s="53">
        <v>2</v>
      </c>
      <c r="C8" s="53" t="s">
        <v>13</v>
      </c>
      <c r="D8" s="54" t="s">
        <v>683</v>
      </c>
      <c r="E8" s="55" t="s">
        <v>12</v>
      </c>
      <c r="F8" s="91" t="s">
        <v>670</v>
      </c>
      <c r="G8" s="54" t="s">
        <v>14</v>
      </c>
      <c r="H8" s="54" t="s">
        <v>691</v>
      </c>
      <c r="I8" s="134" t="s">
        <v>677</v>
      </c>
      <c r="J8" s="134" t="s">
        <v>298</v>
      </c>
    </row>
    <row r="9" spans="2:14" ht="24">
      <c r="B9" s="47">
        <v>3</v>
      </c>
      <c r="C9" s="47" t="s">
        <v>15</v>
      </c>
      <c r="D9" s="18" t="s">
        <v>16</v>
      </c>
      <c r="E9" s="19" t="s">
        <v>17</v>
      </c>
      <c r="F9" s="35" t="s">
        <v>264</v>
      </c>
      <c r="G9" s="18" t="s">
        <v>14</v>
      </c>
      <c r="H9" s="18" t="s">
        <v>692</v>
      </c>
      <c r="I9" s="135" t="s">
        <v>694</v>
      </c>
      <c r="J9" s="135" t="s">
        <v>299</v>
      </c>
    </row>
    <row r="10" spans="2:14" ht="12">
      <c r="B10" s="53">
        <v>4</v>
      </c>
      <c r="C10" s="53" t="s">
        <v>18</v>
      </c>
      <c r="D10" s="54" t="s">
        <v>19</v>
      </c>
      <c r="E10" s="61" t="s">
        <v>12</v>
      </c>
      <c r="F10" s="55" t="s">
        <v>671</v>
      </c>
      <c r="G10" s="57">
        <v>1</v>
      </c>
      <c r="H10" s="54" t="s">
        <v>674</v>
      </c>
      <c r="I10" s="56" t="s">
        <v>678</v>
      </c>
      <c r="J10" s="56" t="s">
        <v>300</v>
      </c>
    </row>
    <row r="11" spans="2:14" ht="12" customHeight="1">
      <c r="B11" s="47">
        <v>5</v>
      </c>
      <c r="C11" s="47" t="s">
        <v>296</v>
      </c>
      <c r="D11" s="18" t="s">
        <v>680</v>
      </c>
      <c r="E11" s="177" t="s">
        <v>12</v>
      </c>
      <c r="F11" s="19" t="s">
        <v>672</v>
      </c>
      <c r="G11" s="20">
        <v>1</v>
      </c>
      <c r="H11" s="18" t="s">
        <v>675</v>
      </c>
      <c r="I11" s="34" t="s">
        <v>293</v>
      </c>
      <c r="J11" s="34" t="s">
        <v>294</v>
      </c>
    </row>
    <row r="12" spans="2:14" ht="12">
      <c r="B12" s="53">
        <v>6</v>
      </c>
      <c r="C12" s="53" t="s">
        <v>20</v>
      </c>
      <c r="D12" s="54" t="s">
        <v>21</v>
      </c>
      <c r="E12" s="61" t="s">
        <v>21</v>
      </c>
      <c r="F12" s="55" t="s">
        <v>21</v>
      </c>
      <c r="G12" s="57">
        <v>1</v>
      </c>
      <c r="H12" s="54" t="s">
        <v>21</v>
      </c>
      <c r="I12" s="56" t="s">
        <v>21</v>
      </c>
      <c r="J12" s="56" t="s">
        <v>301</v>
      </c>
    </row>
    <row r="13" spans="2:14" ht="12">
      <c r="B13" s="49"/>
      <c r="C13" s="48" t="s">
        <v>21</v>
      </c>
      <c r="D13" s="48" t="s">
        <v>22</v>
      </c>
      <c r="E13" s="51"/>
      <c r="F13" s="52" t="s">
        <v>681</v>
      </c>
      <c r="G13" s="48" t="s">
        <v>21</v>
      </c>
      <c r="H13" s="48" t="s">
        <v>682</v>
      </c>
      <c r="I13" s="50" t="s">
        <v>695</v>
      </c>
      <c r="J13" s="50" t="s">
        <v>302</v>
      </c>
    </row>
    <row r="14" spans="2:14" ht="12">
      <c r="B14" s="137" t="s">
        <v>23</v>
      </c>
      <c r="C14" s="137"/>
      <c r="D14" s="8"/>
      <c r="F14" s="148"/>
      <c r="L14" s="175"/>
    </row>
    <row r="15" spans="2:14" ht="12">
      <c r="B15" s="137" t="s">
        <v>679</v>
      </c>
      <c r="C15" s="137"/>
      <c r="D15" s="8"/>
      <c r="N15" s="176"/>
    </row>
    <row r="16" spans="2:14" ht="12">
      <c r="B16" s="137" t="s">
        <v>280</v>
      </c>
      <c r="C16" s="137"/>
      <c r="D16" s="8"/>
      <c r="N16" s="176"/>
    </row>
    <row r="17" spans="2:9" ht="12" customHeight="1">
      <c r="B17" s="137" t="s">
        <v>693</v>
      </c>
      <c r="I17" s="149"/>
    </row>
    <row r="18" spans="2:9" ht="12" customHeight="1">
      <c r="I18" s="149"/>
    </row>
  </sheetData>
  <pageMargins left="0.511811024" right="0.511811024" top="0.78740157499999996" bottom="0.78740157499999996" header="0.31496062000000002" footer="0.31496062000000002"/>
  <pageSetup orientation="portrait" r:id="rId1"/>
  <ignoredErrors>
    <ignoredError sqref="F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1845-C290-44C4-8BEA-D3BB12CC1F3B}">
  <sheetPr>
    <tabColor rgb="FF26395F"/>
  </sheetPr>
  <dimension ref="A1:Q27"/>
  <sheetViews>
    <sheetView showGridLines="0" zoomScaleNormal="100" workbookViewId="0"/>
  </sheetViews>
  <sheetFormatPr defaultColWidth="0" defaultRowHeight="0" customHeight="1" zeroHeight="1"/>
  <cols>
    <col min="1" max="1" width="5.453125" style="144" customWidth="1"/>
    <col min="2" max="7" width="19.1796875" style="174" customWidth="1"/>
    <col min="8" max="10" width="19.1796875" style="144" customWidth="1"/>
    <col min="11" max="11" width="4.7265625" style="144" customWidth="1"/>
    <col min="12" max="17" width="0" style="144" hidden="1" customWidth="1"/>
    <col min="18" max="16384" width="8.81640625" style="144" hidden="1"/>
  </cols>
  <sheetData>
    <row r="1" spans="2:11" ht="12" customHeight="1"/>
    <row r="2" spans="2:11" ht="12" customHeight="1"/>
    <row r="3" spans="2:11" ht="12" customHeight="1"/>
    <row r="4" spans="2:11" ht="12" customHeight="1"/>
    <row r="5" spans="2:11" ht="12" customHeight="1"/>
    <row r="6" spans="2:11" ht="45.65" customHeight="1">
      <c r="B6" s="62"/>
      <c r="C6" s="63" t="s">
        <v>303</v>
      </c>
      <c r="D6" s="63" t="s">
        <v>24</v>
      </c>
      <c r="E6" s="63" t="s">
        <v>267</v>
      </c>
      <c r="F6" s="127" t="s">
        <v>248</v>
      </c>
      <c r="G6" s="127" t="s">
        <v>684</v>
      </c>
      <c r="H6" s="64" t="s">
        <v>25</v>
      </c>
      <c r="I6" s="64" t="s">
        <v>26</v>
      </c>
      <c r="J6" s="65" t="s">
        <v>22</v>
      </c>
    </row>
    <row r="7" spans="2:11" ht="29.5" customHeight="1">
      <c r="B7" s="66" t="s">
        <v>27</v>
      </c>
      <c r="C7" s="18" t="s">
        <v>28</v>
      </c>
      <c r="D7" s="18" t="s">
        <v>29</v>
      </c>
      <c r="E7" s="18" t="s">
        <v>30</v>
      </c>
      <c r="F7" s="18" t="s">
        <v>30</v>
      </c>
      <c r="G7" s="18" t="s">
        <v>31</v>
      </c>
      <c r="H7" s="20" t="s">
        <v>32</v>
      </c>
      <c r="I7" s="18" t="s">
        <v>33</v>
      </c>
      <c r="J7" s="67" t="s">
        <v>34</v>
      </c>
      <c r="K7" s="137"/>
    </row>
    <row r="8" spans="2:11" ht="29.5" customHeight="1">
      <c r="B8" s="68" t="s">
        <v>271</v>
      </c>
      <c r="C8" s="58" t="s">
        <v>265</v>
      </c>
      <c r="D8" s="58" t="s">
        <v>266</v>
      </c>
      <c r="E8" s="58" t="s">
        <v>268</v>
      </c>
      <c r="F8" s="58" t="s">
        <v>268</v>
      </c>
      <c r="G8" s="58" t="s">
        <v>35</v>
      </c>
      <c r="H8" s="58" t="s">
        <v>36</v>
      </c>
      <c r="I8" s="58" t="s">
        <v>37</v>
      </c>
      <c r="J8" s="69" t="s">
        <v>21</v>
      </c>
      <c r="K8" s="137"/>
    </row>
    <row r="9" spans="2:11" ht="29.5" customHeight="1">
      <c r="B9" s="66" t="s">
        <v>38</v>
      </c>
      <c r="C9" s="18" t="s">
        <v>39</v>
      </c>
      <c r="D9" s="18" t="s">
        <v>40</v>
      </c>
      <c r="E9" s="18" t="s">
        <v>269</v>
      </c>
      <c r="F9" s="128" t="s">
        <v>21</v>
      </c>
      <c r="G9" s="128" t="s">
        <v>21</v>
      </c>
      <c r="H9" s="20" t="s">
        <v>21</v>
      </c>
      <c r="I9" s="18" t="s">
        <v>21</v>
      </c>
      <c r="J9" s="67" t="s">
        <v>21</v>
      </c>
      <c r="K9" s="137"/>
    </row>
    <row r="10" spans="2:11" ht="29.5" customHeight="1">
      <c r="B10" s="68" t="s">
        <v>41</v>
      </c>
      <c r="C10" s="54" t="s">
        <v>304</v>
      </c>
      <c r="D10" s="54" t="s">
        <v>42</v>
      </c>
      <c r="E10" s="54" t="s">
        <v>270</v>
      </c>
      <c r="F10" s="129" t="s">
        <v>21</v>
      </c>
      <c r="G10" s="129" t="s">
        <v>21</v>
      </c>
      <c r="H10" s="57" t="s">
        <v>21</v>
      </c>
      <c r="I10" s="54" t="s">
        <v>21</v>
      </c>
      <c r="J10" s="70" t="s">
        <v>21</v>
      </c>
      <c r="K10" s="137"/>
    </row>
    <row r="11" spans="2:11" ht="29.5" customHeight="1">
      <c r="B11" s="66" t="s">
        <v>43</v>
      </c>
      <c r="C11" s="18" t="s">
        <v>44</v>
      </c>
      <c r="D11" s="18" t="s">
        <v>44</v>
      </c>
      <c r="E11" s="18" t="s">
        <v>44</v>
      </c>
      <c r="F11" s="18" t="s">
        <v>44</v>
      </c>
      <c r="G11" s="18" t="s">
        <v>44</v>
      </c>
      <c r="H11" s="18" t="s">
        <v>44</v>
      </c>
      <c r="I11" s="18" t="s">
        <v>44</v>
      </c>
      <c r="J11" s="71" t="s">
        <v>44</v>
      </c>
      <c r="K11" s="137"/>
    </row>
    <row r="12" spans="2:11" ht="29.5" customHeight="1">
      <c r="B12" s="68" t="s">
        <v>45</v>
      </c>
      <c r="C12" s="54" t="s">
        <v>305</v>
      </c>
      <c r="D12" s="54" t="s">
        <v>46</v>
      </c>
      <c r="E12" s="54" t="s">
        <v>47</v>
      </c>
      <c r="F12" s="54" t="s">
        <v>47</v>
      </c>
      <c r="G12" s="54" t="s">
        <v>310</v>
      </c>
      <c r="H12" s="54" t="s">
        <v>48</v>
      </c>
      <c r="I12" s="54" t="s">
        <v>48</v>
      </c>
      <c r="J12" s="72" t="s">
        <v>48</v>
      </c>
      <c r="K12" s="137"/>
    </row>
    <row r="13" spans="2:11" ht="29.5" customHeight="1">
      <c r="B13" s="66" t="s">
        <v>49</v>
      </c>
      <c r="C13" s="18" t="s">
        <v>50</v>
      </c>
      <c r="D13" s="18" t="s">
        <v>50</v>
      </c>
      <c r="E13" s="18" t="s">
        <v>47</v>
      </c>
      <c r="F13" s="18" t="s">
        <v>47</v>
      </c>
      <c r="G13" s="18" t="s">
        <v>51</v>
      </c>
      <c r="H13" s="19" t="s">
        <v>52</v>
      </c>
      <c r="I13" s="19" t="s">
        <v>53</v>
      </c>
      <c r="J13" s="67" t="s">
        <v>21</v>
      </c>
      <c r="K13" s="137"/>
    </row>
    <row r="14" spans="2:11" ht="29.5" customHeight="1">
      <c r="B14" s="68" t="s">
        <v>54</v>
      </c>
      <c r="C14" s="54" t="s">
        <v>55</v>
      </c>
      <c r="D14" s="54" t="s">
        <v>55</v>
      </c>
      <c r="E14" s="54" t="s">
        <v>47</v>
      </c>
      <c r="F14" s="54" t="s">
        <v>47</v>
      </c>
      <c r="G14" s="54" t="s">
        <v>55</v>
      </c>
      <c r="H14" s="54" t="s">
        <v>55</v>
      </c>
      <c r="I14" s="54" t="s">
        <v>55</v>
      </c>
      <c r="J14" s="72" t="s">
        <v>55</v>
      </c>
      <c r="K14" s="137"/>
    </row>
    <row r="15" spans="2:11" ht="29.5" customHeight="1">
      <c r="B15" s="66" t="s">
        <v>56</v>
      </c>
      <c r="C15" s="59" t="s">
        <v>57</v>
      </c>
      <c r="D15" s="59" t="s">
        <v>57</v>
      </c>
      <c r="E15" s="59" t="s">
        <v>308</v>
      </c>
      <c r="F15" s="59" t="s">
        <v>57</v>
      </c>
      <c r="G15" s="130" t="s">
        <v>21</v>
      </c>
      <c r="H15" s="59" t="s">
        <v>21</v>
      </c>
      <c r="I15" s="59" t="s">
        <v>21</v>
      </c>
      <c r="J15" s="73" t="s">
        <v>21</v>
      </c>
      <c r="K15" s="137"/>
    </row>
    <row r="16" spans="2:11" ht="29.5" customHeight="1">
      <c r="B16" s="68" t="s">
        <v>281</v>
      </c>
      <c r="C16" s="57">
        <v>1</v>
      </c>
      <c r="D16" s="57">
        <v>1</v>
      </c>
      <c r="E16" s="57">
        <v>1</v>
      </c>
      <c r="F16" s="57">
        <v>1</v>
      </c>
      <c r="G16" s="57">
        <v>1</v>
      </c>
      <c r="H16" s="57">
        <v>1</v>
      </c>
      <c r="I16" s="57">
        <v>1</v>
      </c>
      <c r="J16" s="70" t="s">
        <v>21</v>
      </c>
      <c r="K16" s="137"/>
    </row>
    <row r="17" spans="2:14" ht="29.5" customHeight="1">
      <c r="B17" s="66" t="s">
        <v>282</v>
      </c>
      <c r="C17" s="59" t="s">
        <v>58</v>
      </c>
      <c r="D17" s="59" t="s">
        <v>59</v>
      </c>
      <c r="E17" s="59" t="s">
        <v>314</v>
      </c>
      <c r="F17" s="130" t="s">
        <v>21</v>
      </c>
      <c r="G17" s="130" t="s">
        <v>21</v>
      </c>
      <c r="H17" s="60" t="s">
        <v>21</v>
      </c>
      <c r="I17" s="60" t="s">
        <v>21</v>
      </c>
      <c r="J17" s="74" t="s">
        <v>21</v>
      </c>
      <c r="K17" s="137"/>
    </row>
    <row r="18" spans="2:14" ht="29.5" customHeight="1">
      <c r="B18" s="287" t="s">
        <v>283</v>
      </c>
      <c r="C18" s="288" t="s">
        <v>306</v>
      </c>
      <c r="D18" s="288" t="s">
        <v>307</v>
      </c>
      <c r="E18" s="288" t="s">
        <v>309</v>
      </c>
      <c r="F18" s="289" t="s">
        <v>21</v>
      </c>
      <c r="G18" s="289" t="s">
        <v>21</v>
      </c>
      <c r="H18" s="290" t="s">
        <v>21</v>
      </c>
      <c r="I18" s="290" t="s">
        <v>21</v>
      </c>
      <c r="J18" s="291" t="s">
        <v>21</v>
      </c>
      <c r="K18" s="137"/>
    </row>
    <row r="19" spans="2:14" ht="55" customHeight="1">
      <c r="B19" s="66" t="s">
        <v>60</v>
      </c>
      <c r="C19" s="18" t="s">
        <v>246</v>
      </c>
      <c r="D19" s="18" t="s">
        <v>247</v>
      </c>
      <c r="E19" s="18" t="s">
        <v>61</v>
      </c>
      <c r="F19" s="128" t="s">
        <v>21</v>
      </c>
      <c r="G19" s="128" t="s">
        <v>21</v>
      </c>
      <c r="H19" s="177" t="s">
        <v>21</v>
      </c>
      <c r="I19" s="177" t="s">
        <v>21</v>
      </c>
      <c r="J19" s="292" t="s">
        <v>21</v>
      </c>
      <c r="K19" s="137"/>
    </row>
    <row r="20" spans="2:14" ht="29.5" customHeight="1">
      <c r="B20" s="293" t="s">
        <v>313</v>
      </c>
      <c r="C20" s="294" t="s">
        <v>62</v>
      </c>
      <c r="D20" s="294" t="s">
        <v>63</v>
      </c>
      <c r="E20" s="294" t="s">
        <v>274</v>
      </c>
      <c r="F20" s="295" t="s">
        <v>21</v>
      </c>
      <c r="G20" s="295" t="s">
        <v>21</v>
      </c>
      <c r="H20" s="296" t="s">
        <v>21</v>
      </c>
      <c r="I20" s="296" t="s">
        <v>21</v>
      </c>
      <c r="J20" s="297" t="s">
        <v>21</v>
      </c>
      <c r="L20" s="175"/>
    </row>
    <row r="21" spans="2:14" ht="12">
      <c r="B21" s="137" t="s">
        <v>64</v>
      </c>
      <c r="C21" s="137"/>
      <c r="D21" s="8"/>
      <c r="E21" s="8"/>
      <c r="F21" s="8"/>
      <c r="G21" s="8"/>
      <c r="N21" s="176"/>
    </row>
    <row r="22" spans="2:14" ht="12">
      <c r="B22" s="137" t="s">
        <v>65</v>
      </c>
      <c r="C22" s="137"/>
      <c r="D22" s="8"/>
      <c r="E22" s="8"/>
      <c r="F22" s="8"/>
      <c r="G22" s="8"/>
      <c r="N22" s="176"/>
    </row>
    <row r="23" spans="2:14" ht="12" customHeight="1">
      <c r="B23" s="137" t="s">
        <v>311</v>
      </c>
    </row>
    <row r="24" spans="2:14" ht="12" customHeight="1">
      <c r="B24" s="137" t="s">
        <v>312</v>
      </c>
    </row>
    <row r="25" spans="2:14" ht="12" customHeight="1">
      <c r="B25" s="137" t="s">
        <v>315</v>
      </c>
    </row>
    <row r="26" spans="2:14" ht="12" customHeight="1">
      <c r="B26" s="137" t="s">
        <v>284</v>
      </c>
    </row>
    <row r="27" spans="2:14" ht="12" customHeight="1"/>
  </sheetData>
  <pageMargins left="0.511811024" right="0.511811024" top="0.78740157499999996" bottom="0.78740157499999996" header="0.31496062000000002" footer="0.31496062000000002"/>
  <pageSetup orientation="portrait" r:id="rId1"/>
  <ignoredErrors>
    <ignoredError sqref="C8:G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B88D-3D69-4BBE-AD5C-9AA0F0A60A38}">
  <sheetPr>
    <tabColor rgb="FF26395F"/>
  </sheetPr>
  <dimension ref="A1:N60"/>
  <sheetViews>
    <sheetView showGridLines="0" zoomScaleNormal="100" workbookViewId="0"/>
  </sheetViews>
  <sheetFormatPr defaultColWidth="0" defaultRowHeight="0" customHeight="1" zeroHeight="1"/>
  <cols>
    <col min="1" max="1" width="5.453125" style="144" customWidth="1"/>
    <col min="2" max="2" width="25.1796875" style="144" customWidth="1"/>
    <col min="3" max="3" width="19.453125" style="144" customWidth="1"/>
    <col min="4" max="9" width="9.54296875" style="144" bestFit="1" customWidth="1"/>
    <col min="10" max="10" width="10" style="144" bestFit="1" customWidth="1"/>
    <col min="11" max="11" width="9.54296875" style="144" customWidth="1"/>
    <col min="12" max="12" width="9.54296875" style="144" bestFit="1" customWidth="1"/>
    <col min="13" max="13" width="4.7265625" style="144" customWidth="1"/>
    <col min="14" max="14" width="0" style="144" hidden="1" customWidth="1"/>
    <col min="15" max="16384" width="8.81640625" style="144" hidden="1"/>
  </cols>
  <sheetData>
    <row r="1" spans="2:13" ht="12" customHeight="1"/>
    <row r="2" spans="2:13" ht="12" customHeight="1"/>
    <row r="3" spans="2:13" ht="12" customHeight="1">
      <c r="D3" s="147"/>
    </row>
    <row r="4" spans="2:13" ht="12" customHeight="1"/>
    <row r="5" spans="2:13" ht="12" customHeight="1"/>
    <row r="6" spans="2:13" ht="12" customHeight="1">
      <c r="B6" s="142" t="s">
        <v>339</v>
      </c>
      <c r="C6" s="165"/>
      <c r="D6" s="165"/>
      <c r="E6" s="165"/>
      <c r="F6" s="165"/>
      <c r="G6" s="165"/>
      <c r="H6" s="165"/>
      <c r="I6" s="165"/>
      <c r="J6" s="165"/>
      <c r="K6" s="165"/>
      <c r="L6" s="165"/>
    </row>
    <row r="7" spans="2:13" ht="12" customHeight="1"/>
    <row r="8" spans="2:13" ht="12" customHeight="1">
      <c r="B8" s="119" t="s">
        <v>66</v>
      </c>
      <c r="C8" s="120">
        <v>2023</v>
      </c>
      <c r="D8" s="120">
        <v>2024</v>
      </c>
      <c r="E8" s="120">
        <v>2025</v>
      </c>
      <c r="F8" s="120">
        <v>2026</v>
      </c>
      <c r="G8" s="120">
        <v>2027</v>
      </c>
      <c r="H8" s="120">
        <v>2028</v>
      </c>
      <c r="I8" s="120">
        <v>2029</v>
      </c>
      <c r="J8" s="120">
        <v>2030</v>
      </c>
      <c r="K8" s="120">
        <v>2031</v>
      </c>
      <c r="L8" s="120">
        <v>2032</v>
      </c>
    </row>
    <row r="9" spans="2:13" ht="12" customHeight="1">
      <c r="B9" s="222" t="s">
        <v>332</v>
      </c>
      <c r="C9" s="223">
        <f>SUM(C10:C12)</f>
        <v>1014.9073695000004</v>
      </c>
      <c r="D9" s="223">
        <f t="shared" ref="D9:L9" si="0">SUM(D10:D12)</f>
        <v>1077.9073695000004</v>
      </c>
      <c r="E9" s="223">
        <f t="shared" si="0"/>
        <v>1077.9073695000004</v>
      </c>
      <c r="F9" s="223">
        <f t="shared" si="0"/>
        <v>1077.9073695000004</v>
      </c>
      <c r="G9" s="223">
        <f t="shared" si="0"/>
        <v>1077.9073695000004</v>
      </c>
      <c r="H9" s="223">
        <f t="shared" si="0"/>
        <v>1077.9073695000004</v>
      </c>
      <c r="I9" s="223">
        <f t="shared" si="0"/>
        <v>1077.9073695000004</v>
      </c>
      <c r="J9" s="223">
        <f t="shared" si="0"/>
        <v>1077.9073695000004</v>
      </c>
      <c r="K9" s="223">
        <f t="shared" si="0"/>
        <v>1077.9073695000004</v>
      </c>
      <c r="L9" s="223">
        <f t="shared" si="0"/>
        <v>1077.9073695000004</v>
      </c>
    </row>
    <row r="10" spans="2:13" ht="12" customHeight="1">
      <c r="B10" s="224" t="s">
        <v>67</v>
      </c>
      <c r="C10" s="225">
        <v>473.77264611872079</v>
      </c>
      <c r="D10" s="225">
        <v>493.65256415150793</v>
      </c>
      <c r="E10" s="225">
        <v>494.27264611872124</v>
      </c>
      <c r="F10" s="225">
        <v>494.27264611872124</v>
      </c>
      <c r="G10" s="225">
        <v>494.27264611872124</v>
      </c>
      <c r="H10" s="225">
        <v>493.65256415150793</v>
      </c>
      <c r="I10" s="225">
        <v>494.27264611872124</v>
      </c>
      <c r="J10" s="225">
        <v>491.33514611872124</v>
      </c>
      <c r="K10" s="225">
        <v>487.222646118721</v>
      </c>
      <c r="L10" s="226">
        <v>486.62182644658992</v>
      </c>
      <c r="M10" s="148"/>
    </row>
    <row r="11" spans="2:13" ht="12" customHeight="1">
      <c r="B11" s="230" t="s">
        <v>68</v>
      </c>
      <c r="C11" s="231">
        <v>533.02383423972549</v>
      </c>
      <c r="D11" s="231">
        <v>543.23192641393427</v>
      </c>
      <c r="E11" s="231">
        <v>525.55589489863007</v>
      </c>
      <c r="F11" s="231">
        <v>509.07068978904152</v>
      </c>
      <c r="G11" s="231">
        <v>509.18068978904159</v>
      </c>
      <c r="H11" s="231">
        <v>502.97908523087466</v>
      </c>
      <c r="I11" s="231">
        <v>503.40068978904139</v>
      </c>
      <c r="J11" s="231">
        <v>503.63068978904147</v>
      </c>
      <c r="K11" s="231">
        <v>503.95068978904152</v>
      </c>
      <c r="L11" s="232">
        <v>314.96981599043687</v>
      </c>
      <c r="M11" s="148"/>
    </row>
    <row r="12" spans="2:13" ht="12" customHeight="1">
      <c r="B12" s="227" t="s">
        <v>69</v>
      </c>
      <c r="C12" s="228">
        <v>8.1108891415541393</v>
      </c>
      <c r="D12" s="228">
        <v>41.022878934558094</v>
      </c>
      <c r="E12" s="228">
        <v>58.078828482649101</v>
      </c>
      <c r="F12" s="228">
        <v>74.564033592237593</v>
      </c>
      <c r="G12" s="228">
        <v>74.454033592237579</v>
      </c>
      <c r="H12" s="228">
        <v>81.275720117617766</v>
      </c>
      <c r="I12" s="228">
        <v>80.234033592237779</v>
      </c>
      <c r="J12" s="228">
        <v>82.941533592237647</v>
      </c>
      <c r="K12" s="228">
        <v>86.734033592237893</v>
      </c>
      <c r="L12" s="229">
        <v>276.31572706297356</v>
      </c>
      <c r="M12" s="148"/>
    </row>
    <row r="13" spans="2:13" ht="6" customHeight="1">
      <c r="B13" s="152"/>
      <c r="C13" s="213"/>
      <c r="D13" s="213"/>
      <c r="E13" s="213"/>
      <c r="F13" s="213"/>
      <c r="G13" s="213"/>
      <c r="H13" s="213"/>
      <c r="I13" s="213"/>
      <c r="J13" s="213"/>
      <c r="K13" s="213"/>
      <c r="L13" s="213"/>
      <c r="M13" s="148"/>
    </row>
    <row r="14" spans="2:13" ht="12" customHeight="1">
      <c r="B14" s="224" t="s">
        <v>333</v>
      </c>
      <c r="C14" s="225" t="s">
        <v>21</v>
      </c>
      <c r="D14" s="225">
        <v>39</v>
      </c>
      <c r="E14" s="225">
        <v>39</v>
      </c>
      <c r="F14" s="225">
        <v>39</v>
      </c>
      <c r="G14" s="225">
        <v>39</v>
      </c>
      <c r="H14" s="225">
        <v>39</v>
      </c>
      <c r="I14" s="225">
        <v>39</v>
      </c>
      <c r="J14" s="225">
        <v>39</v>
      </c>
      <c r="K14" s="225">
        <v>39</v>
      </c>
      <c r="L14" s="226">
        <v>39</v>
      </c>
      <c r="M14" s="148"/>
    </row>
    <row r="15" spans="2:13" ht="12" customHeight="1">
      <c r="B15" s="227" t="s">
        <v>334</v>
      </c>
      <c r="C15" s="228" t="s">
        <v>21</v>
      </c>
      <c r="D15" s="228">
        <v>57.599999999999994</v>
      </c>
      <c r="E15" s="228">
        <v>57.599999999999994</v>
      </c>
      <c r="F15" s="228">
        <v>57.599999999999994</v>
      </c>
      <c r="G15" s="228">
        <v>57.599999999999994</v>
      </c>
      <c r="H15" s="228">
        <v>57.599999999999994</v>
      </c>
      <c r="I15" s="228">
        <v>57.599999999999994</v>
      </c>
      <c r="J15" s="228">
        <v>57.599999999999994</v>
      </c>
      <c r="K15" s="228">
        <v>57.599999999999994</v>
      </c>
      <c r="L15" s="229">
        <v>57.599999999999994</v>
      </c>
      <c r="M15" s="148"/>
    </row>
    <row r="16" spans="2:13" ht="12" customHeight="1">
      <c r="B16" s="152"/>
      <c r="C16" s="213"/>
      <c r="D16" s="213"/>
      <c r="E16" s="213"/>
      <c r="F16" s="213"/>
      <c r="G16" s="213"/>
      <c r="H16" s="213"/>
      <c r="I16" s="213"/>
      <c r="J16" s="213"/>
      <c r="K16" s="213"/>
      <c r="L16" s="213"/>
      <c r="M16" s="148"/>
    </row>
    <row r="17" spans="2:12" ht="12" customHeight="1">
      <c r="B17" s="166" t="s">
        <v>250</v>
      </c>
      <c r="C17" s="120">
        <v>2023</v>
      </c>
      <c r="D17" s="120">
        <v>2024</v>
      </c>
      <c r="E17" s="120">
        <v>2025</v>
      </c>
      <c r="F17" s="120">
        <v>2026</v>
      </c>
      <c r="G17" s="120">
        <v>2027</v>
      </c>
      <c r="H17" s="120">
        <v>2028</v>
      </c>
      <c r="I17" s="120">
        <v>2029</v>
      </c>
      <c r="J17" s="120">
        <v>2030</v>
      </c>
      <c r="K17" s="120">
        <v>2031</v>
      </c>
      <c r="L17" s="120">
        <v>2032</v>
      </c>
    </row>
    <row r="18" spans="2:12" ht="12" customHeight="1">
      <c r="B18" s="224" t="s">
        <v>67</v>
      </c>
      <c r="C18" s="233">
        <f t="shared" ref="C18:L20" si="1">C10/C$9</f>
        <v>0.46681368207241164</v>
      </c>
      <c r="D18" s="233">
        <f t="shared" si="1"/>
        <v>0.45797308573972761</v>
      </c>
      <c r="E18" s="233">
        <f t="shared" si="1"/>
        <v>0.45854835035407099</v>
      </c>
      <c r="F18" s="233">
        <f t="shared" si="1"/>
        <v>0.45854835035407099</v>
      </c>
      <c r="G18" s="233">
        <f t="shared" si="1"/>
        <v>0.45854835035407099</v>
      </c>
      <c r="H18" s="233">
        <f t="shared" si="1"/>
        <v>0.45797308573972761</v>
      </c>
      <c r="I18" s="233">
        <f t="shared" si="1"/>
        <v>0.45854835035407099</v>
      </c>
      <c r="J18" s="233">
        <f t="shared" si="1"/>
        <v>0.45582316256603073</v>
      </c>
      <c r="K18" s="233">
        <f t="shared" si="1"/>
        <v>0.45200789966277416</v>
      </c>
      <c r="L18" s="234">
        <f t="shared" si="1"/>
        <v>0.45145050513228702</v>
      </c>
    </row>
    <row r="19" spans="2:12" ht="12" customHeight="1">
      <c r="B19" s="230" t="s">
        <v>68</v>
      </c>
      <c r="C19" s="235">
        <f t="shared" si="1"/>
        <v>0.52519456480281801</v>
      </c>
      <c r="D19" s="235">
        <f t="shared" si="1"/>
        <v>0.50396902534020027</v>
      </c>
      <c r="E19" s="235">
        <f t="shared" si="1"/>
        <v>0.48757055547585237</v>
      </c>
      <c r="F19" s="235">
        <f t="shared" si="1"/>
        <v>0.4722768432552602</v>
      </c>
      <c r="G19" s="235">
        <f t="shared" si="1"/>
        <v>0.47237889284051454</v>
      </c>
      <c r="H19" s="235">
        <f t="shared" si="1"/>
        <v>0.46662551853986045</v>
      </c>
      <c r="I19" s="235">
        <f t="shared" si="1"/>
        <v>0.46701665099715345</v>
      </c>
      <c r="J19" s="235">
        <f t="shared" si="1"/>
        <v>0.46723002740268516</v>
      </c>
      <c r="K19" s="235">
        <f t="shared" si="1"/>
        <v>0.46752689892342492</v>
      </c>
      <c r="L19" s="236">
        <f t="shared" si="1"/>
        <v>0.2922049008130812</v>
      </c>
    </row>
    <row r="20" spans="2:12" ht="12" customHeight="1">
      <c r="B20" s="227" t="s">
        <v>69</v>
      </c>
      <c r="C20" s="237">
        <f>C12/C$9</f>
        <v>7.9917531247704048E-3</v>
      </c>
      <c r="D20" s="237">
        <f t="shared" si="1"/>
        <v>3.8057888920072065E-2</v>
      </c>
      <c r="E20" s="237">
        <f t="shared" si="1"/>
        <v>5.3881094170076624E-2</v>
      </c>
      <c r="F20" s="237">
        <f t="shared" si="1"/>
        <v>6.9174806390668767E-2</v>
      </c>
      <c r="G20" s="237">
        <f t="shared" si="1"/>
        <v>6.9072756805414484E-2</v>
      </c>
      <c r="H20" s="237">
        <f t="shared" si="1"/>
        <v>7.5401395720411893E-2</v>
      </c>
      <c r="I20" s="237">
        <f t="shared" si="1"/>
        <v>7.4434998648775591E-2</v>
      </c>
      <c r="J20" s="237">
        <f t="shared" si="1"/>
        <v>7.6946810031284063E-2</v>
      </c>
      <c r="K20" s="237">
        <f t="shared" si="1"/>
        <v>8.0465201413800952E-2</v>
      </c>
      <c r="L20" s="238">
        <f t="shared" si="1"/>
        <v>0.25634459405463178</v>
      </c>
    </row>
    <row r="21" spans="2:12" ht="6" customHeight="1">
      <c r="B21" s="152"/>
      <c r="C21" s="239"/>
      <c r="D21" s="239"/>
      <c r="E21" s="239"/>
      <c r="F21" s="239"/>
      <c r="G21" s="239"/>
      <c r="H21" s="239"/>
      <c r="I21" s="239"/>
      <c r="J21" s="239"/>
      <c r="K21" s="239"/>
      <c r="L21" s="239"/>
    </row>
    <row r="22" spans="2:12" ht="12" customHeight="1">
      <c r="B22" s="224" t="s">
        <v>333</v>
      </c>
      <c r="C22" s="233" t="s">
        <v>21</v>
      </c>
      <c r="D22" s="233">
        <f>D14/SUM(D$14:D$15)</f>
        <v>0.4037267080745342</v>
      </c>
      <c r="E22" s="233">
        <f t="shared" ref="E22:L22" si="2">E14/SUM(E$14:E$15)</f>
        <v>0.4037267080745342</v>
      </c>
      <c r="F22" s="233">
        <f t="shared" si="2"/>
        <v>0.4037267080745342</v>
      </c>
      <c r="G22" s="233">
        <f t="shared" si="2"/>
        <v>0.4037267080745342</v>
      </c>
      <c r="H22" s="233">
        <f t="shared" si="2"/>
        <v>0.4037267080745342</v>
      </c>
      <c r="I22" s="233">
        <f t="shared" si="2"/>
        <v>0.4037267080745342</v>
      </c>
      <c r="J22" s="233">
        <f t="shared" si="2"/>
        <v>0.4037267080745342</v>
      </c>
      <c r="K22" s="233">
        <f t="shared" si="2"/>
        <v>0.4037267080745342</v>
      </c>
      <c r="L22" s="234">
        <f t="shared" si="2"/>
        <v>0.4037267080745342</v>
      </c>
    </row>
    <row r="23" spans="2:12" ht="12" customHeight="1">
      <c r="B23" s="227" t="s">
        <v>334</v>
      </c>
      <c r="C23" s="237" t="s">
        <v>21</v>
      </c>
      <c r="D23" s="237">
        <f t="shared" ref="D23:L23" si="3">D15/SUM(D$14:D$15)</f>
        <v>0.59627329192546585</v>
      </c>
      <c r="E23" s="237">
        <f t="shared" si="3"/>
        <v>0.59627329192546585</v>
      </c>
      <c r="F23" s="237">
        <f t="shared" si="3"/>
        <v>0.59627329192546585</v>
      </c>
      <c r="G23" s="237">
        <f t="shared" si="3"/>
        <v>0.59627329192546585</v>
      </c>
      <c r="H23" s="237">
        <f t="shared" si="3"/>
        <v>0.59627329192546585</v>
      </c>
      <c r="I23" s="237">
        <f t="shared" si="3"/>
        <v>0.59627329192546585</v>
      </c>
      <c r="J23" s="237">
        <f t="shared" si="3"/>
        <v>0.59627329192546585</v>
      </c>
      <c r="K23" s="237">
        <f t="shared" si="3"/>
        <v>0.59627329192546585</v>
      </c>
      <c r="L23" s="238">
        <f t="shared" si="3"/>
        <v>0.59627329192546585</v>
      </c>
    </row>
    <row r="24" spans="2:12" ht="12" customHeight="1"/>
    <row r="25" spans="2:12" ht="12" customHeight="1">
      <c r="B25" s="277" t="s">
        <v>696</v>
      </c>
      <c r="C25" s="278">
        <v>2023</v>
      </c>
      <c r="D25" s="278">
        <v>2024</v>
      </c>
      <c r="E25" s="278">
        <v>2025</v>
      </c>
      <c r="F25" s="278">
        <v>2026</v>
      </c>
      <c r="G25" s="278">
        <v>2027</v>
      </c>
      <c r="H25" s="278">
        <v>2028</v>
      </c>
      <c r="I25" s="278">
        <v>2029</v>
      </c>
      <c r="J25" s="278">
        <v>2030</v>
      </c>
      <c r="K25" s="278">
        <v>2031</v>
      </c>
      <c r="L25" s="278">
        <v>2032</v>
      </c>
    </row>
    <row r="26" spans="2:12" ht="12" customHeight="1">
      <c r="B26" s="167" t="s">
        <v>249</v>
      </c>
      <c r="C26" s="168">
        <v>228.72779016559966</v>
      </c>
      <c r="D26" s="168">
        <v>224.09726067457046</v>
      </c>
      <c r="E26" s="168">
        <v>221.03514196566258</v>
      </c>
      <c r="F26" s="168">
        <v>218.78470639315003</v>
      </c>
      <c r="G26" s="168">
        <v>216.94485800388128</v>
      </c>
      <c r="H26" s="168">
        <v>214.85035511790775</v>
      </c>
      <c r="I26" s="168">
        <v>213.69352322702892</v>
      </c>
      <c r="J26" s="168">
        <v>210.42441093087393</v>
      </c>
      <c r="K26" s="168">
        <v>206.67145616197521</v>
      </c>
      <c r="L26" s="168">
        <v>205.49059054753451</v>
      </c>
    </row>
    <row r="27" spans="2:12" ht="12" customHeight="1">
      <c r="B27" s="169" t="s">
        <v>335</v>
      </c>
      <c r="C27" s="170">
        <v>205.45636949123926</v>
      </c>
      <c r="D27" s="170">
        <v>201.19736771544203</v>
      </c>
      <c r="E27" s="170">
        <v>194.40918579978594</v>
      </c>
      <c r="F27" s="170">
        <v>189.11150526681064</v>
      </c>
      <c r="G27" s="170">
        <v>185.49208687838762</v>
      </c>
      <c r="H27" s="170">
        <v>181.04236567125358</v>
      </c>
      <c r="I27" s="170">
        <v>178.68723519748099</v>
      </c>
      <c r="J27" s="170">
        <v>175.625054010051</v>
      </c>
      <c r="K27" s="170">
        <v>173.02183219497053</v>
      </c>
      <c r="L27" s="170">
        <v>149.95217179142597</v>
      </c>
    </row>
    <row r="28" spans="2:12" ht="12" customHeight="1">
      <c r="B28" s="169" t="s">
        <v>70</v>
      </c>
      <c r="C28" s="170">
        <v>254.90959271936347</v>
      </c>
      <c r="D28" s="170">
        <v>249.29707501817254</v>
      </c>
      <c r="E28" s="170">
        <v>249.34629438361176</v>
      </c>
      <c r="F28" s="170">
        <v>249.34629438361176</v>
      </c>
      <c r="G28" s="170">
        <v>249.34629438361176</v>
      </c>
      <c r="H28" s="170">
        <v>249.29707501817254</v>
      </c>
      <c r="I28" s="170">
        <v>249.34629438361176</v>
      </c>
      <c r="J28" s="170">
        <v>246.09461337557318</v>
      </c>
      <c r="K28" s="170">
        <v>241.47638845402508</v>
      </c>
      <c r="L28" s="170">
        <v>241.43827021441138</v>
      </c>
    </row>
    <row r="29" spans="2:12" ht="12" customHeight="1">
      <c r="B29" s="137" t="s">
        <v>336</v>
      </c>
      <c r="C29" s="157"/>
      <c r="D29" s="157"/>
      <c r="E29" s="157"/>
      <c r="F29" s="157"/>
      <c r="G29" s="157"/>
      <c r="H29" s="157"/>
      <c r="I29" s="157"/>
      <c r="J29" s="157"/>
      <c r="K29" s="157"/>
      <c r="L29" s="157"/>
    </row>
    <row r="30" spans="2:12" ht="12" customHeight="1">
      <c r="B30" s="137" t="s">
        <v>337</v>
      </c>
      <c r="C30" s="157"/>
      <c r="D30" s="157"/>
      <c r="E30" s="157"/>
      <c r="F30" s="157"/>
      <c r="G30" s="157"/>
      <c r="H30" s="157"/>
      <c r="I30" s="157"/>
      <c r="J30" s="157"/>
      <c r="K30" s="157"/>
      <c r="L30" s="157"/>
    </row>
    <row r="31" spans="2:12" ht="28" customHeight="1">
      <c r="B31" s="298" t="s">
        <v>338</v>
      </c>
      <c r="C31" s="298"/>
      <c r="D31" s="298"/>
      <c r="E31" s="298"/>
      <c r="F31" s="298"/>
      <c r="G31" s="298"/>
      <c r="H31" s="298"/>
      <c r="I31" s="298"/>
      <c r="J31" s="298"/>
      <c r="K31" s="298"/>
      <c r="L31" s="298"/>
    </row>
    <row r="32" spans="2:12" ht="12" customHeight="1">
      <c r="B32" s="137"/>
      <c r="C32" s="157"/>
      <c r="D32" s="157"/>
      <c r="E32" s="157"/>
      <c r="F32" s="157"/>
      <c r="G32" s="157"/>
      <c r="H32" s="157"/>
      <c r="I32" s="157"/>
      <c r="J32" s="157"/>
      <c r="K32" s="157"/>
      <c r="L32" s="157"/>
    </row>
    <row r="33" spans="2:12" ht="12" customHeight="1">
      <c r="B33" s="142" t="s">
        <v>329</v>
      </c>
      <c r="C33" s="165"/>
      <c r="D33" s="165"/>
      <c r="E33" s="165"/>
      <c r="F33" s="165"/>
      <c r="G33" s="165"/>
      <c r="H33" s="165"/>
      <c r="I33" s="165"/>
      <c r="J33" s="165"/>
      <c r="K33" s="165"/>
      <c r="L33" s="165"/>
    </row>
    <row r="34" spans="2:12" ht="12" customHeight="1">
      <c r="B34" s="171"/>
      <c r="C34" s="157"/>
      <c r="D34" s="157"/>
      <c r="E34" s="157"/>
      <c r="F34" s="157"/>
      <c r="G34" s="157"/>
      <c r="H34" s="157"/>
      <c r="I34" s="157"/>
      <c r="J34" s="157"/>
      <c r="K34" s="157"/>
      <c r="L34" s="157"/>
    </row>
    <row r="35" spans="2:12" ht="36">
      <c r="B35" s="119" t="s">
        <v>71</v>
      </c>
      <c r="C35" s="120" t="s">
        <v>72</v>
      </c>
      <c r="D35" s="121" t="s">
        <v>73</v>
      </c>
      <c r="E35" s="121" t="s">
        <v>74</v>
      </c>
      <c r="F35" s="121" t="s">
        <v>75</v>
      </c>
      <c r="G35" s="120" t="s">
        <v>76</v>
      </c>
      <c r="H35" s="120" t="s">
        <v>77</v>
      </c>
      <c r="I35" s="157"/>
      <c r="J35" s="157"/>
      <c r="K35" s="157"/>
      <c r="L35" s="157"/>
    </row>
    <row r="36" spans="2:12" ht="12" customHeight="1">
      <c r="B36" s="161" t="s">
        <v>10</v>
      </c>
      <c r="C36" s="215" t="s">
        <v>21</v>
      </c>
      <c r="D36" s="216">
        <f>SUM(D37:D41)</f>
        <v>289.99246449999998</v>
      </c>
      <c r="E36" s="216">
        <f>SUM(E37:E41)</f>
        <v>214.59999999999994</v>
      </c>
      <c r="F36" s="216">
        <f>SUMPRODUCT(E37:E41,F37:F41)/SUM(E37:E41)</f>
        <v>229.94990317549491</v>
      </c>
      <c r="G36" s="217">
        <f>MIN(G37:G41)</f>
        <v>41699</v>
      </c>
      <c r="H36" s="217">
        <f>MAX(H37:H41)</f>
        <v>52201</v>
      </c>
      <c r="I36" s="157"/>
      <c r="J36" s="139"/>
      <c r="K36" s="157"/>
      <c r="L36" s="157"/>
    </row>
    <row r="37" spans="2:12" ht="24" customHeight="1">
      <c r="B37" s="152" t="s">
        <v>78</v>
      </c>
      <c r="C37" s="18" t="s">
        <v>319</v>
      </c>
      <c r="D37" s="173">
        <v>31</v>
      </c>
      <c r="E37" s="213">
        <v>32.800000000000011</v>
      </c>
      <c r="F37" s="213">
        <v>203.22556931451146</v>
      </c>
      <c r="G37" s="214">
        <v>41699</v>
      </c>
      <c r="H37" s="214">
        <v>48914</v>
      </c>
      <c r="I37" s="157"/>
      <c r="J37" s="157"/>
      <c r="K37" s="157"/>
      <c r="L37" s="157"/>
    </row>
    <row r="38" spans="2:12" ht="28" customHeight="1">
      <c r="B38" s="152" t="s">
        <v>80</v>
      </c>
      <c r="C38" s="18" t="s">
        <v>320</v>
      </c>
      <c r="D38" s="172">
        <v>42.400000000000006</v>
      </c>
      <c r="E38" s="213">
        <v>32.299999999999997</v>
      </c>
      <c r="F38" s="213">
        <v>225.1202740079448</v>
      </c>
      <c r="G38" s="214">
        <v>43101</v>
      </c>
      <c r="H38" s="214">
        <v>50375</v>
      </c>
      <c r="I38" s="157"/>
      <c r="J38" s="157"/>
      <c r="K38" s="157"/>
      <c r="L38" s="157"/>
    </row>
    <row r="39" spans="2:12" ht="26" customHeight="1">
      <c r="B39" s="152" t="s">
        <v>81</v>
      </c>
      <c r="C39" s="18" t="s">
        <v>321</v>
      </c>
      <c r="D39" s="173">
        <v>110.9282</v>
      </c>
      <c r="E39" s="213">
        <v>102.39999999999995</v>
      </c>
      <c r="F39" s="213">
        <v>278.41986818635871</v>
      </c>
      <c r="G39" s="214">
        <v>43101</v>
      </c>
      <c r="H39" s="214">
        <v>50375</v>
      </c>
      <c r="I39" s="157"/>
      <c r="J39" s="157"/>
      <c r="K39" s="157"/>
      <c r="L39" s="157"/>
    </row>
    <row r="40" spans="2:12" ht="22.5">
      <c r="B40" s="152" t="s">
        <v>82</v>
      </c>
      <c r="C40" s="18" t="s">
        <v>322</v>
      </c>
      <c r="D40" s="173">
        <v>57.987452000000005</v>
      </c>
      <c r="E40" s="213">
        <v>47.099999999999994</v>
      </c>
      <c r="F40" s="213">
        <v>146.49408057761107</v>
      </c>
      <c r="G40" s="214">
        <v>44927</v>
      </c>
      <c r="H40" s="214">
        <v>52201</v>
      </c>
      <c r="I40" s="157"/>
      <c r="J40" s="157"/>
      <c r="K40" s="157"/>
      <c r="L40" s="157"/>
    </row>
    <row r="41" spans="2:12" ht="26" customHeight="1">
      <c r="B41" s="152" t="s">
        <v>83</v>
      </c>
      <c r="C41" s="18" t="s">
        <v>323</v>
      </c>
      <c r="D41" s="173">
        <v>47.676812499999997</v>
      </c>
      <c r="E41" s="213" t="s">
        <v>21</v>
      </c>
      <c r="F41" s="213" t="s">
        <v>21</v>
      </c>
      <c r="G41" s="214" t="s">
        <v>21</v>
      </c>
      <c r="H41" s="214" t="s">
        <v>21</v>
      </c>
      <c r="I41" s="157"/>
      <c r="J41" s="157"/>
      <c r="K41" s="157"/>
      <c r="L41" s="157"/>
    </row>
    <row r="42" spans="2:12" ht="12" customHeight="1">
      <c r="B42" s="169" t="s">
        <v>13</v>
      </c>
      <c r="C42" s="215" t="s">
        <v>21</v>
      </c>
      <c r="D42" s="216">
        <f>SUM(D43:D48)</f>
        <v>486.92875000000004</v>
      </c>
      <c r="E42" s="216">
        <f>SUM(E43:E48)</f>
        <v>217.22264611872149</v>
      </c>
      <c r="F42" s="216">
        <f>SUMPRODUCT(E43:E48,F43:F48)/SUM(E43:E48)</f>
        <v>218.20221060139704</v>
      </c>
      <c r="G42" s="217">
        <f>MIN(G43:G48)</f>
        <v>42248</v>
      </c>
      <c r="H42" s="217">
        <f>MAX(H43:H48)</f>
        <v>52597</v>
      </c>
      <c r="I42" s="157"/>
      <c r="J42" s="157"/>
      <c r="K42" s="157"/>
      <c r="L42" s="157"/>
    </row>
    <row r="43" spans="2:12" ht="32.5" customHeight="1">
      <c r="B43" s="152" t="s">
        <v>316</v>
      </c>
      <c r="C43" s="18" t="s">
        <v>697</v>
      </c>
      <c r="D43" s="173">
        <v>165.71625</v>
      </c>
      <c r="E43" s="213">
        <v>154.17264611872147</v>
      </c>
      <c r="F43" s="213">
        <v>219.20447402417645</v>
      </c>
      <c r="G43" s="214">
        <v>42248</v>
      </c>
      <c r="H43" s="214">
        <v>50770</v>
      </c>
      <c r="I43" s="157"/>
      <c r="J43" s="157"/>
      <c r="K43" s="157"/>
      <c r="L43" s="157"/>
    </row>
    <row r="44" spans="2:12" ht="12" customHeight="1">
      <c r="B44" s="152" t="s">
        <v>179</v>
      </c>
      <c r="C44" s="172" t="s">
        <v>323</v>
      </c>
      <c r="D44" s="173">
        <v>117.47799999999999</v>
      </c>
      <c r="E44" s="213" t="s">
        <v>21</v>
      </c>
      <c r="F44" s="213" t="s">
        <v>21</v>
      </c>
      <c r="G44" s="214" t="s">
        <v>21</v>
      </c>
      <c r="H44" s="214" t="s">
        <v>21</v>
      </c>
      <c r="I44" s="157"/>
      <c r="J44" s="157"/>
      <c r="K44" s="157"/>
      <c r="L44" s="157"/>
    </row>
    <row r="45" spans="2:12" ht="12" customHeight="1">
      <c r="B45" s="152" t="s">
        <v>317</v>
      </c>
      <c r="C45" s="172" t="s">
        <v>84</v>
      </c>
      <c r="D45" s="173">
        <v>118.54775000000001</v>
      </c>
      <c r="E45" s="213" t="s">
        <v>21</v>
      </c>
      <c r="F45" s="213" t="s">
        <v>21</v>
      </c>
      <c r="G45" s="214" t="s">
        <v>21</v>
      </c>
      <c r="H45" s="214" t="s">
        <v>21</v>
      </c>
      <c r="I45" s="157"/>
      <c r="J45" s="157"/>
      <c r="K45" s="157"/>
      <c r="L45" s="157"/>
    </row>
    <row r="46" spans="2:12" ht="28.5" customHeight="1">
      <c r="B46" s="152" t="s">
        <v>86</v>
      </c>
      <c r="C46" s="18" t="s">
        <v>324</v>
      </c>
      <c r="D46" s="173">
        <v>44.05</v>
      </c>
      <c r="E46" s="213">
        <v>42.550000000000004</v>
      </c>
      <c r="F46" s="213">
        <v>261.51039513009147</v>
      </c>
      <c r="G46" s="214">
        <v>43221</v>
      </c>
      <c r="H46" s="214">
        <v>50709</v>
      </c>
      <c r="I46" s="157"/>
      <c r="J46" s="157"/>
      <c r="K46" s="157"/>
      <c r="L46" s="157"/>
    </row>
    <row r="47" spans="2:12" ht="22.5">
      <c r="B47" s="299" t="s">
        <v>318</v>
      </c>
      <c r="C47" s="18" t="s">
        <v>325</v>
      </c>
      <c r="D47" s="173">
        <v>41.136749999999999</v>
      </c>
      <c r="E47" s="213">
        <v>20.499999999999996</v>
      </c>
      <c r="F47" s="213">
        <v>120.77368105535567</v>
      </c>
      <c r="G47" s="214">
        <v>45292</v>
      </c>
      <c r="H47" s="214">
        <v>52597</v>
      </c>
      <c r="I47" s="157"/>
      <c r="J47" s="157"/>
      <c r="K47" s="157"/>
      <c r="L47" s="157"/>
    </row>
    <row r="48" spans="2:12" ht="12" customHeight="1">
      <c r="B48" s="299"/>
      <c r="C48" s="18" t="s">
        <v>84</v>
      </c>
      <c r="D48" s="173"/>
      <c r="E48" s="213" t="s">
        <v>21</v>
      </c>
      <c r="F48" s="213" t="s">
        <v>21</v>
      </c>
      <c r="G48" s="214" t="s">
        <v>21</v>
      </c>
      <c r="H48" s="214" t="s">
        <v>21</v>
      </c>
      <c r="I48" s="157"/>
      <c r="J48" s="212"/>
      <c r="K48" s="157"/>
      <c r="L48" s="157"/>
    </row>
    <row r="49" spans="2:12" ht="12" customHeight="1">
      <c r="B49" s="161" t="s">
        <v>15</v>
      </c>
      <c r="C49" s="215" t="s">
        <v>79</v>
      </c>
      <c r="D49" s="216">
        <f>SUM(D50:D54)</f>
        <v>90.342655000000008</v>
      </c>
      <c r="E49" s="216">
        <f>SUM(E50:E54)</f>
        <v>62.45</v>
      </c>
      <c r="F49" s="216">
        <f>SUMPRODUCT(E50:E54,F50:F54)/SUM(E50:E54)</f>
        <v>424.32893399651266</v>
      </c>
      <c r="G49" s="217">
        <f>MIN(G50:G54)</f>
        <v>40360</v>
      </c>
      <c r="H49" s="217">
        <f>MAX(H50:H54)</f>
        <v>18598</v>
      </c>
      <c r="I49" s="157"/>
      <c r="J49" s="139"/>
      <c r="K49" s="157"/>
      <c r="L49" s="157"/>
    </row>
    <row r="50" spans="2:12" ht="27" customHeight="1">
      <c r="B50" s="152" t="s">
        <v>95</v>
      </c>
      <c r="C50" s="18" t="s">
        <v>326</v>
      </c>
      <c r="D50" s="173">
        <v>12.87</v>
      </c>
      <c r="E50" s="213">
        <v>12.799999999999999</v>
      </c>
      <c r="F50" s="213">
        <v>228.70025016053083</v>
      </c>
      <c r="G50" s="214">
        <v>43221</v>
      </c>
      <c r="H50" s="214">
        <v>18598</v>
      </c>
      <c r="I50" s="157"/>
      <c r="J50" s="157"/>
      <c r="K50" s="157"/>
      <c r="L50" s="157"/>
    </row>
    <row r="51" spans="2:12" ht="22.5">
      <c r="B51" s="152" t="s">
        <v>87</v>
      </c>
      <c r="C51" s="18" t="s">
        <v>327</v>
      </c>
      <c r="D51" s="173">
        <v>7.05</v>
      </c>
      <c r="E51" s="213">
        <v>7.05</v>
      </c>
      <c r="F51" s="213">
        <v>793.23230739337407</v>
      </c>
      <c r="G51" s="214">
        <v>40360</v>
      </c>
      <c r="H51" s="214">
        <v>11140</v>
      </c>
      <c r="I51" s="157"/>
      <c r="J51" s="139"/>
      <c r="K51" s="157"/>
      <c r="L51" s="157"/>
    </row>
    <row r="52" spans="2:12" ht="27.5" customHeight="1">
      <c r="B52" s="152" t="s">
        <v>88</v>
      </c>
      <c r="C52" s="18" t="s">
        <v>328</v>
      </c>
      <c r="D52" s="172">
        <v>42.6</v>
      </c>
      <c r="E52" s="213">
        <v>42.6</v>
      </c>
      <c r="F52" s="213">
        <v>422.05847321371209</v>
      </c>
      <c r="G52" s="214">
        <v>42948</v>
      </c>
      <c r="H52" s="214">
        <v>14154</v>
      </c>
      <c r="I52" s="157"/>
      <c r="J52" s="157"/>
      <c r="K52" s="157"/>
      <c r="L52" s="157"/>
    </row>
    <row r="53" spans="2:12" ht="12" customHeight="1">
      <c r="B53" s="152" t="s">
        <v>89</v>
      </c>
      <c r="C53" s="172" t="s">
        <v>84</v>
      </c>
      <c r="D53" s="173">
        <v>6.0386550000000003</v>
      </c>
      <c r="E53" s="213" t="s">
        <v>21</v>
      </c>
      <c r="F53" s="213" t="s">
        <v>21</v>
      </c>
      <c r="G53" s="214" t="s">
        <v>21</v>
      </c>
      <c r="H53" s="214" t="s">
        <v>21</v>
      </c>
      <c r="I53" s="157"/>
      <c r="J53" s="18"/>
      <c r="K53" s="157"/>
      <c r="L53" s="157"/>
    </row>
    <row r="54" spans="2:12" ht="12" customHeight="1">
      <c r="B54" s="152" t="s">
        <v>96</v>
      </c>
      <c r="C54" s="172" t="s">
        <v>84</v>
      </c>
      <c r="D54" s="173">
        <v>21.783999999999999</v>
      </c>
      <c r="E54" s="213" t="s">
        <v>21</v>
      </c>
      <c r="F54" s="213" t="s">
        <v>21</v>
      </c>
      <c r="G54" s="214" t="s">
        <v>21</v>
      </c>
      <c r="H54" s="214" t="s">
        <v>21</v>
      </c>
      <c r="I54" s="157"/>
      <c r="J54" s="157"/>
      <c r="K54" s="157"/>
      <c r="L54" s="157"/>
    </row>
    <row r="55" spans="2:12" ht="12" customHeight="1">
      <c r="B55" s="161" t="s">
        <v>18</v>
      </c>
      <c r="C55" s="218" t="s">
        <v>84</v>
      </c>
      <c r="D55" s="218">
        <v>210.6</v>
      </c>
      <c r="E55" s="220" t="s">
        <v>21</v>
      </c>
      <c r="F55" s="220" t="s">
        <v>21</v>
      </c>
      <c r="G55" s="221" t="s">
        <v>21</v>
      </c>
      <c r="H55" s="221" t="s">
        <v>21</v>
      </c>
      <c r="I55" s="157"/>
      <c r="J55" s="157"/>
      <c r="K55" s="157"/>
      <c r="L55" s="157"/>
    </row>
    <row r="56" spans="2:12" ht="12" customHeight="1">
      <c r="B56" s="161" t="s">
        <v>90</v>
      </c>
      <c r="C56" s="215" t="s">
        <v>21</v>
      </c>
      <c r="D56" s="219">
        <f>SUM(D36,D55,D49,D42)</f>
        <v>1077.8638695</v>
      </c>
      <c r="E56" s="216">
        <f>SUM(E42,E49,E36,E55)</f>
        <v>494.27264611872147</v>
      </c>
      <c r="F56" s="216">
        <f>SUM(PRODUCT(E42:F42),PRODUCT(E49:F49),PRODUCT(E36:F36),PRODUCT(E55:F55))/E56</f>
        <v>249.34629438451805</v>
      </c>
      <c r="G56" s="221" t="s">
        <v>21</v>
      </c>
      <c r="H56" s="221" t="s">
        <v>21</v>
      </c>
      <c r="I56" s="157"/>
      <c r="J56" s="157"/>
      <c r="K56" s="157"/>
      <c r="L56" s="157"/>
    </row>
    <row r="57" spans="2:12" ht="12" customHeight="1">
      <c r="B57" s="137" t="s">
        <v>685</v>
      </c>
      <c r="C57" s="157"/>
      <c r="D57" s="157"/>
      <c r="E57" s="157"/>
      <c r="F57" s="157"/>
      <c r="G57" s="157"/>
      <c r="H57" s="157"/>
      <c r="I57" s="157"/>
      <c r="J57" s="157"/>
      <c r="K57" s="157"/>
      <c r="L57" s="157"/>
    </row>
    <row r="58" spans="2:12" ht="12" customHeight="1">
      <c r="B58" s="137" t="s">
        <v>330</v>
      </c>
      <c r="C58" s="157"/>
      <c r="D58" s="157"/>
      <c r="E58" s="157"/>
      <c r="F58" s="157"/>
      <c r="G58" s="157"/>
      <c r="H58" s="157"/>
      <c r="I58" s="157"/>
      <c r="J58" s="157"/>
      <c r="K58" s="157"/>
      <c r="L58" s="157"/>
    </row>
    <row r="59" spans="2:12" ht="12" customHeight="1">
      <c r="B59" s="137" t="s">
        <v>331</v>
      </c>
      <c r="C59" s="157"/>
      <c r="D59" s="157"/>
      <c r="E59" s="157"/>
      <c r="F59" s="157"/>
      <c r="G59" s="157"/>
      <c r="H59" s="157"/>
      <c r="I59" s="157"/>
      <c r="J59" s="157"/>
      <c r="K59" s="157"/>
      <c r="L59" s="157"/>
    </row>
    <row r="60" spans="2:12" ht="12" customHeight="1">
      <c r="B60" s="137"/>
      <c r="C60" s="157"/>
      <c r="D60" s="157"/>
      <c r="E60" s="157"/>
      <c r="F60" s="157"/>
      <c r="G60" s="157"/>
      <c r="H60" s="157"/>
      <c r="I60" s="157"/>
      <c r="J60" s="157"/>
      <c r="K60" s="157"/>
      <c r="L60" s="157"/>
    </row>
  </sheetData>
  <mergeCells count="2">
    <mergeCell ref="B31:L31"/>
    <mergeCell ref="B47:B48"/>
  </mergeCells>
  <pageMargins left="0.511811024" right="0.511811024" top="0.78740157499999996" bottom="0.78740157499999996" header="0.31496062000000002" footer="0.31496062000000002"/>
  <pageSetup orientation="portrait" r:id="rId1"/>
  <ignoredErrors>
    <ignoredError sqref="D4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A0EF-B53E-45E4-BD92-F200D90BE022}">
  <sheetPr>
    <tabColor rgb="FF26395F"/>
  </sheetPr>
  <dimension ref="A1:XFC23"/>
  <sheetViews>
    <sheetView showGridLines="0" zoomScaleNormal="100" workbookViewId="0"/>
  </sheetViews>
  <sheetFormatPr defaultColWidth="0" defaultRowHeight="0" customHeight="1" zeroHeight="1"/>
  <cols>
    <col min="1" max="1" width="5.453125" style="144" customWidth="1"/>
    <col min="2" max="2" width="20.54296875" style="144" customWidth="1"/>
    <col min="3" max="9" width="10.453125" style="144" customWidth="1"/>
    <col min="10" max="10" width="4.7265625" style="144" customWidth="1"/>
    <col min="11" max="13" width="2.1796875" style="144" customWidth="1"/>
    <col min="14" max="16383" width="8.81640625" style="144" hidden="1"/>
    <col min="16384" max="16384" width="2.1796875" style="144" hidden="1"/>
  </cols>
  <sheetData>
    <row r="1" spans="2:9" ht="12" customHeight="1"/>
    <row r="2" spans="2:9" ht="12" customHeight="1"/>
    <row r="3" spans="2:9" ht="12" customHeight="1"/>
    <row r="4" spans="2:9" ht="12" customHeight="1"/>
    <row r="5" spans="2:9" ht="12" customHeight="1"/>
    <row r="6" spans="2:9" ht="12" customHeight="1">
      <c r="B6" s="142" t="s">
        <v>91</v>
      </c>
      <c r="C6" s="142"/>
      <c r="D6" s="143"/>
      <c r="E6" s="143"/>
      <c r="F6" s="143"/>
      <c r="G6" s="143"/>
      <c r="H6" s="143"/>
      <c r="I6" s="143"/>
    </row>
    <row r="7" spans="2:9" ht="12" customHeight="1">
      <c r="C7" s="148"/>
      <c r="D7" s="148"/>
      <c r="E7" s="148"/>
      <c r="F7" s="241"/>
      <c r="G7" s="148"/>
      <c r="H7" s="148"/>
      <c r="I7" s="148"/>
    </row>
    <row r="8" spans="2:9" ht="12" customHeight="1">
      <c r="B8" s="160" t="s">
        <v>92</v>
      </c>
      <c r="C8" s="25">
        <v>2022</v>
      </c>
      <c r="D8" s="25">
        <v>2021</v>
      </c>
      <c r="E8" s="25">
        <v>2020</v>
      </c>
      <c r="F8" s="25">
        <v>2019</v>
      </c>
      <c r="G8" s="25">
        <v>2018</v>
      </c>
      <c r="H8" s="25">
        <v>2017</v>
      </c>
      <c r="I8" s="25">
        <v>2016</v>
      </c>
    </row>
    <row r="9" spans="2:9" ht="12" customHeight="1">
      <c r="B9" s="161" t="s">
        <v>10</v>
      </c>
      <c r="C9" s="162">
        <v>2190.9520724510003</v>
      </c>
      <c r="D9" s="162">
        <v>2403.260829543</v>
      </c>
      <c r="E9" s="162">
        <v>2082.7798803020005</v>
      </c>
      <c r="F9" s="162">
        <v>2089.8000000000002</v>
      </c>
      <c r="G9" s="162">
        <v>1633.9</v>
      </c>
      <c r="H9" s="162">
        <v>956.19999999999993</v>
      </c>
      <c r="I9" s="162">
        <v>308</v>
      </c>
    </row>
    <row r="10" spans="2:9" ht="12" customHeight="1">
      <c r="B10" s="161" t="s">
        <v>13</v>
      </c>
      <c r="C10" s="162">
        <v>2014.6169225565263</v>
      </c>
      <c r="D10" s="163">
        <f t="shared" ref="D10:I10" si="0">SUM(D11:D12)</f>
        <v>2018.6351412714998</v>
      </c>
      <c r="E10" s="162">
        <f t="shared" si="0"/>
        <v>1436.8094169650001</v>
      </c>
      <c r="F10" s="162">
        <f>SUM(F11:F12)</f>
        <v>950.1</v>
      </c>
      <c r="G10" s="162">
        <f t="shared" si="0"/>
        <v>0</v>
      </c>
      <c r="H10" s="162">
        <f t="shared" si="0"/>
        <v>0</v>
      </c>
      <c r="I10" s="162">
        <f t="shared" si="0"/>
        <v>0</v>
      </c>
    </row>
    <row r="11" spans="2:9" ht="12" customHeight="1">
      <c r="B11" s="36" t="s">
        <v>85</v>
      </c>
      <c r="C11" s="164">
        <v>1599.1748154002889</v>
      </c>
      <c r="D11" s="164">
        <v>1613.3025857529999</v>
      </c>
      <c r="E11" s="164">
        <v>1403.5858341780001</v>
      </c>
      <c r="F11" s="164">
        <v>950.1</v>
      </c>
      <c r="G11" s="164">
        <v>0</v>
      </c>
      <c r="H11" s="164">
        <v>0</v>
      </c>
      <c r="I11" s="164">
        <v>0</v>
      </c>
    </row>
    <row r="12" spans="2:9" ht="12" customHeight="1">
      <c r="B12" s="36" t="s">
        <v>93</v>
      </c>
      <c r="C12" s="164">
        <v>415.44210715623746</v>
      </c>
      <c r="D12" s="164">
        <v>405.33255551849999</v>
      </c>
      <c r="E12" s="164">
        <v>33.223582787000005</v>
      </c>
      <c r="F12" s="164">
        <v>0</v>
      </c>
      <c r="G12" s="164">
        <v>0</v>
      </c>
      <c r="H12" s="164">
        <v>0</v>
      </c>
      <c r="I12" s="164">
        <v>0</v>
      </c>
    </row>
    <row r="13" spans="2:9" ht="12" customHeight="1">
      <c r="B13" s="161" t="s">
        <v>15</v>
      </c>
      <c r="C13" s="162">
        <v>847.32533111437147</v>
      </c>
      <c r="D13" s="163">
        <f t="shared" ref="D13:I13" si="1">SUM(D14:D18)</f>
        <v>818.37656211880005</v>
      </c>
      <c r="E13" s="162">
        <f t="shared" si="1"/>
        <v>764.76122458220584</v>
      </c>
      <c r="F13" s="162">
        <f>SUM(F14:F18)</f>
        <v>814.34999999999991</v>
      </c>
      <c r="G13" s="162">
        <f t="shared" si="1"/>
        <v>469.59999999999997</v>
      </c>
      <c r="H13" s="162">
        <f t="shared" si="1"/>
        <v>373.4</v>
      </c>
      <c r="I13" s="162">
        <f t="shared" si="1"/>
        <v>337</v>
      </c>
    </row>
    <row r="14" spans="2:9" ht="12" customHeight="1">
      <c r="B14" s="36" t="s">
        <v>94</v>
      </c>
      <c r="C14" s="164">
        <v>118.25128693000002</v>
      </c>
      <c r="D14" s="164">
        <v>103.13582936899999</v>
      </c>
      <c r="E14" s="164">
        <v>108.10375918855948</v>
      </c>
      <c r="F14" s="164">
        <v>55.5</v>
      </c>
      <c r="G14" s="164">
        <v>98.9</v>
      </c>
      <c r="H14" s="164">
        <v>57.3</v>
      </c>
      <c r="I14" s="164">
        <v>49</v>
      </c>
    </row>
    <row r="15" spans="2:9" ht="12" customHeight="1">
      <c r="B15" s="36" t="s">
        <v>95</v>
      </c>
      <c r="C15" s="164">
        <v>96.878669743999993</v>
      </c>
      <c r="D15" s="164">
        <v>104.47003479099999</v>
      </c>
      <c r="E15" s="164">
        <v>33.65821203500002</v>
      </c>
      <c r="F15" s="164">
        <v>72.099999999999994</v>
      </c>
      <c r="G15" s="164">
        <v>65.599999999999994</v>
      </c>
      <c r="H15" s="164">
        <v>23.9</v>
      </c>
      <c r="I15" s="164">
        <v>0</v>
      </c>
    </row>
    <row r="16" spans="2:9" ht="12" customHeight="1">
      <c r="B16" s="36" t="s">
        <v>96</v>
      </c>
      <c r="C16" s="164">
        <v>167.711090141</v>
      </c>
      <c r="D16" s="164">
        <v>165.76511784700003</v>
      </c>
      <c r="E16" s="164">
        <v>190.95131264699998</v>
      </c>
      <c r="F16" s="164">
        <v>212.2</v>
      </c>
      <c r="G16" s="164">
        <v>220.4</v>
      </c>
      <c r="H16" s="164">
        <v>214.8</v>
      </c>
      <c r="I16" s="164">
        <v>220</v>
      </c>
    </row>
    <row r="17" spans="2:10" ht="12" customHeight="1">
      <c r="B17" s="36" t="s">
        <v>87</v>
      </c>
      <c r="C17" s="164">
        <v>64.714258226371527</v>
      </c>
      <c r="D17" s="164">
        <v>54.922217560299998</v>
      </c>
      <c r="E17" s="164">
        <v>53.838911288146399</v>
      </c>
      <c r="F17" s="164">
        <v>60.55</v>
      </c>
      <c r="G17" s="164">
        <v>51.5</v>
      </c>
      <c r="H17" s="164">
        <v>77.400000000000006</v>
      </c>
      <c r="I17" s="164">
        <v>68</v>
      </c>
    </row>
    <row r="18" spans="2:10" ht="12" customHeight="1">
      <c r="B18" s="36" t="s">
        <v>97</v>
      </c>
      <c r="C18" s="164">
        <v>399.77002607299994</v>
      </c>
      <c r="D18" s="164">
        <v>390.08336255150004</v>
      </c>
      <c r="E18" s="164">
        <v>378.20902942349989</v>
      </c>
      <c r="F18" s="164">
        <v>414</v>
      </c>
      <c r="G18" s="164">
        <v>33.200000000000003</v>
      </c>
      <c r="H18" s="164">
        <v>0</v>
      </c>
      <c r="I18" s="164">
        <v>0</v>
      </c>
    </row>
    <row r="19" spans="2:10" ht="12" customHeight="1">
      <c r="B19" s="161" t="s">
        <v>98</v>
      </c>
      <c r="C19" s="162">
        <v>1752.3830764274976</v>
      </c>
      <c r="D19" s="162">
        <v>1809.2333399290001</v>
      </c>
      <c r="E19" s="162">
        <v>185.25423322099999</v>
      </c>
      <c r="F19" s="162">
        <v>0</v>
      </c>
      <c r="G19" s="162">
        <v>0</v>
      </c>
      <c r="H19" s="162">
        <v>0</v>
      </c>
      <c r="I19" s="162">
        <v>0</v>
      </c>
    </row>
    <row r="20" spans="2:10" ht="12" customHeight="1">
      <c r="B20" s="161" t="s">
        <v>22</v>
      </c>
      <c r="C20" s="162">
        <v>6805.2774025493964</v>
      </c>
      <c r="D20" s="162">
        <f t="shared" ref="D20:E20" si="2">SUM(D9:D10,D13,D19)</f>
        <v>7049.5058728622998</v>
      </c>
      <c r="E20" s="162">
        <f t="shared" si="2"/>
        <v>4469.604755070206</v>
      </c>
      <c r="F20" s="162">
        <f>SUM(F9,F10,F13,F19)</f>
        <v>3854.25</v>
      </c>
      <c r="G20" s="162">
        <f t="shared" ref="G20:I20" si="3">SUM(G9:G10,G13,G19)</f>
        <v>2103.5</v>
      </c>
      <c r="H20" s="162">
        <f t="shared" si="3"/>
        <v>1329.6</v>
      </c>
      <c r="I20" s="162">
        <f t="shared" si="3"/>
        <v>645</v>
      </c>
    </row>
    <row r="21" spans="2:10" ht="26" customHeight="1">
      <c r="B21" s="298" t="s">
        <v>698</v>
      </c>
      <c r="C21" s="300"/>
      <c r="D21" s="300"/>
      <c r="E21" s="300"/>
      <c r="F21" s="300"/>
      <c r="G21" s="300"/>
      <c r="H21" s="300"/>
      <c r="I21" s="300"/>
      <c r="J21" s="300"/>
    </row>
    <row r="22" spans="2:10" ht="12" customHeight="1">
      <c r="B22" s="137" t="s">
        <v>99</v>
      </c>
    </row>
    <row r="23" spans="2:10" ht="12" customHeight="1"/>
  </sheetData>
  <mergeCells count="1">
    <mergeCell ref="B21:J21"/>
  </mergeCells>
  <pageMargins left="0.511811024" right="0.511811024" top="0.78740157499999996" bottom="0.78740157499999996" header="0.31496062000000002" footer="0.31496062000000002"/>
  <pageSetup paperSize="9" orientation="portrait" r:id="rId1"/>
  <ignoredErrors>
    <ignoredError sqref="D10:E10 D13:E13 F13:I13 G10:I10" formulaRange="1"/>
    <ignoredError sqref="F2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2A69-A76B-427D-8E17-153DC4C76852}">
  <sheetPr>
    <tabColor rgb="FF26395F"/>
  </sheetPr>
  <dimension ref="A1:P52"/>
  <sheetViews>
    <sheetView showGridLines="0" zoomScaleNormal="100" workbookViewId="0"/>
  </sheetViews>
  <sheetFormatPr defaultColWidth="0" defaultRowHeight="0" customHeight="1" zeroHeight="1"/>
  <cols>
    <col min="1" max="1" width="5.453125" style="144" customWidth="1"/>
    <col min="2" max="2" width="59.1796875" style="144" customWidth="1"/>
    <col min="3" max="3" width="9.26953125" style="144" bestFit="1" customWidth="1"/>
    <col min="4" max="4" width="8.81640625" style="144" customWidth="1"/>
    <col min="5" max="5" width="7.54296875" style="144" customWidth="1"/>
    <col min="6" max="9" width="8.54296875" style="144" customWidth="1"/>
    <col min="10" max="10" width="4.7265625" style="144" customWidth="1"/>
    <col min="11" max="11" width="7.54296875" style="144" hidden="1" customWidth="1"/>
    <col min="12" max="12" width="18" style="144" hidden="1" customWidth="1"/>
    <col min="13" max="16384" width="18" style="144" hidden="1"/>
  </cols>
  <sheetData>
    <row r="1" spans="2:16" ht="12" customHeight="1"/>
    <row r="2" spans="2:16" ht="12" customHeight="1">
      <c r="C2" s="147"/>
      <c r="D2" s="147"/>
    </row>
    <row r="3" spans="2:16" ht="12" customHeight="1"/>
    <row r="4" spans="2:16" ht="12" customHeight="1">
      <c r="C4" s="148"/>
    </row>
    <row r="5" spans="2:16" ht="12" customHeight="1">
      <c r="C5" s="211"/>
    </row>
    <row r="6" spans="2:16" ht="12" customHeight="1">
      <c r="B6" s="142" t="s">
        <v>100</v>
      </c>
      <c r="C6" s="142"/>
      <c r="D6" s="142"/>
      <c r="E6" s="142"/>
      <c r="F6" s="143"/>
      <c r="G6" s="143"/>
      <c r="H6" s="143"/>
      <c r="I6" s="143"/>
    </row>
    <row r="7" spans="2:16" ht="12" customHeight="1"/>
    <row r="8" spans="2:16" ht="12" customHeight="1">
      <c r="B8" s="21" t="s">
        <v>101</v>
      </c>
      <c r="C8" s="138">
        <v>2022</v>
      </c>
      <c r="D8" s="138">
        <v>2021</v>
      </c>
      <c r="E8" s="138">
        <v>2020</v>
      </c>
      <c r="F8" s="138" t="s">
        <v>102</v>
      </c>
      <c r="G8" s="138" t="s">
        <v>103</v>
      </c>
      <c r="H8" s="138" t="s">
        <v>104</v>
      </c>
      <c r="I8" s="138" t="s">
        <v>105</v>
      </c>
    </row>
    <row r="9" spans="2:16" ht="12" customHeight="1">
      <c r="B9" s="36" t="s">
        <v>106</v>
      </c>
      <c r="C9" s="145">
        <v>2436.6749999999997</v>
      </c>
      <c r="D9" s="145">
        <v>1769.6759999999997</v>
      </c>
      <c r="E9" s="145">
        <v>1102.1410000000001</v>
      </c>
      <c r="F9" s="145">
        <v>1014.427</v>
      </c>
      <c r="G9" s="145">
        <v>742.02300000000002</v>
      </c>
      <c r="H9" s="145">
        <f>546.114</f>
        <v>546.11400000000003</v>
      </c>
      <c r="I9" s="145">
        <f>194.982</f>
        <v>194.982</v>
      </c>
    </row>
    <row r="10" spans="2:16" ht="12" customHeight="1">
      <c r="B10" s="36" t="s">
        <v>107</v>
      </c>
      <c r="C10" s="145">
        <v>-1175.6980000000001</v>
      </c>
      <c r="D10" s="145">
        <v>-585.51900000000001</v>
      </c>
      <c r="E10" s="145">
        <v>-325.62</v>
      </c>
      <c r="F10" s="145">
        <v>-383.83300000000003</v>
      </c>
      <c r="G10" s="145">
        <v>-298.07600000000002</v>
      </c>
      <c r="H10" s="145">
        <v>-282.78199999999998</v>
      </c>
      <c r="I10" s="145">
        <v>-79.2</v>
      </c>
      <c r="K10" s="149"/>
    </row>
    <row r="11" spans="2:16" ht="12" customHeight="1">
      <c r="B11" s="36" t="s">
        <v>290</v>
      </c>
      <c r="C11" s="145">
        <v>126.479</v>
      </c>
      <c r="D11" s="145">
        <v>79.691000000000003</v>
      </c>
      <c r="E11" s="145">
        <v>34.523000000000003</v>
      </c>
      <c r="F11" s="145">
        <v>38.252000000000002</v>
      </c>
      <c r="G11" s="145">
        <v>29.263999999999999</v>
      </c>
      <c r="H11" s="145">
        <v>30.05</v>
      </c>
      <c r="I11" s="145">
        <v>7.3620000000000001</v>
      </c>
    </row>
    <row r="12" spans="2:16" ht="12" customHeight="1">
      <c r="B12" s="122" t="s">
        <v>108</v>
      </c>
      <c r="C12" s="146">
        <f>SUM(C9:C11)</f>
        <v>1387.4559999999997</v>
      </c>
      <c r="D12" s="146">
        <f>SUM(D9:D11)</f>
        <v>1263.8479999999997</v>
      </c>
      <c r="E12" s="146">
        <f t="shared" ref="E12:I12" si="0">SUM(E9:E11)</f>
        <v>811.0440000000001</v>
      </c>
      <c r="F12" s="146">
        <f t="shared" si="0"/>
        <v>668.846</v>
      </c>
      <c r="G12" s="146">
        <f t="shared" si="0"/>
        <v>473.21100000000001</v>
      </c>
      <c r="H12" s="146">
        <f t="shared" si="0"/>
        <v>293.38200000000006</v>
      </c>
      <c r="I12" s="146">
        <f t="shared" si="0"/>
        <v>123.14399999999999</v>
      </c>
      <c r="K12" s="149"/>
      <c r="L12" s="149"/>
      <c r="M12" s="149"/>
      <c r="N12" s="149"/>
      <c r="O12" s="149"/>
      <c r="P12" s="149"/>
    </row>
    <row r="13" spans="2:16" ht="12" customHeight="1">
      <c r="B13" s="36" t="s">
        <v>109</v>
      </c>
      <c r="C13" s="145">
        <f>-1768.403-SUM(C10:C11)+395.343</f>
        <v>-323.84099999999995</v>
      </c>
      <c r="D13" s="145">
        <f>-1165.736-SUM(D10:D11)+395.287</f>
        <v>-264.62100000000015</v>
      </c>
      <c r="E13" s="145">
        <f>-695.184-SUM(E10:E11)+260.859</f>
        <v>-143.22800000000001</v>
      </c>
      <c r="F13" s="145">
        <f>-617.01-SUM(F10:F11)+185.198</f>
        <v>-86.230999999999966</v>
      </c>
      <c r="G13" s="145">
        <f>-441.737-SUM(G10:G11)+119.783</f>
        <v>-53.14200000000001</v>
      </c>
      <c r="H13" s="145">
        <f>-345.328-SUM(H10:H11)+52.938</f>
        <v>-39.658000000000001</v>
      </c>
      <c r="I13" s="145">
        <f>-117.356-SUM(I10:I11)+27.758</f>
        <v>-17.759999999999987</v>
      </c>
      <c r="J13" s="15"/>
      <c r="K13" s="150"/>
      <c r="L13" s="149"/>
    </row>
    <row r="14" spans="2:16" ht="12" customHeight="1">
      <c r="B14" s="36" t="s">
        <v>110</v>
      </c>
      <c r="C14" s="145">
        <f>-143.057+14.317</f>
        <v>-128.73999999999998</v>
      </c>
      <c r="D14" s="145">
        <f>-109.43+6.737</f>
        <v>-102.69300000000001</v>
      </c>
      <c r="E14" s="145">
        <f>-60.717+2.696</f>
        <v>-58.021000000000001</v>
      </c>
      <c r="F14" s="145">
        <f>-40.592+1.925</f>
        <v>-38.667000000000002</v>
      </c>
      <c r="G14" s="145">
        <f>-40.413+0.533</f>
        <v>-39.879999999999995</v>
      </c>
      <c r="H14" s="145">
        <f>-33.808+6.703</f>
        <v>-27.105</v>
      </c>
      <c r="I14" s="145">
        <f>-12.421+1.775</f>
        <v>-10.645999999999999</v>
      </c>
      <c r="K14" s="15"/>
      <c r="L14" s="149"/>
    </row>
    <row r="15" spans="2:16" ht="12" customHeight="1">
      <c r="B15" s="36" t="s">
        <v>111</v>
      </c>
      <c r="C15" s="145">
        <v>21.401</v>
      </c>
      <c r="D15" s="145">
        <v>700.678</v>
      </c>
      <c r="E15" s="145">
        <v>168.14599999999999</v>
      </c>
      <c r="F15" s="145">
        <v>2.9359999999999999</v>
      </c>
      <c r="G15" s="145">
        <v>18.721</v>
      </c>
      <c r="H15" s="145">
        <v>62.192999999999998</v>
      </c>
      <c r="I15" s="145">
        <v>-1.7999999999999999E-2</v>
      </c>
      <c r="J15" s="44"/>
    </row>
    <row r="16" spans="2:16" ht="12" customHeight="1">
      <c r="B16" s="36" t="s">
        <v>112</v>
      </c>
      <c r="C16" s="145">
        <v>44.853999999999999</v>
      </c>
      <c r="D16" s="145">
        <v>1.22</v>
      </c>
      <c r="E16" s="145">
        <v>9.4930000000000003</v>
      </c>
      <c r="F16" s="145">
        <v>26.356999999999999</v>
      </c>
      <c r="G16" s="145">
        <v>9.11</v>
      </c>
      <c r="H16" s="145">
        <v>3.5310000000000001</v>
      </c>
      <c r="I16" s="145">
        <v>5.6260000000000003</v>
      </c>
      <c r="K16" s="149"/>
    </row>
    <row r="17" spans="2:13" ht="12" customHeight="1">
      <c r="B17" s="122" t="s">
        <v>113</v>
      </c>
      <c r="C17" s="146">
        <f>SUM(C12:C16)</f>
        <v>1001.1299999999998</v>
      </c>
      <c r="D17" s="146">
        <f>SUM(D12:D16)</f>
        <v>1598.4319999999996</v>
      </c>
      <c r="E17" s="146">
        <f>SUM(E12:E16)</f>
        <v>787.43400000000008</v>
      </c>
      <c r="F17" s="146">
        <f>SUM(F12:F16)</f>
        <v>573.24099999999999</v>
      </c>
      <c r="G17" s="146">
        <f>SUM(G12:G16)</f>
        <v>408.02000000000004</v>
      </c>
      <c r="H17" s="146">
        <f t="shared" ref="H17:I17" si="1">SUM(H12:H16)</f>
        <v>292.34300000000007</v>
      </c>
      <c r="I17" s="146">
        <f t="shared" si="1"/>
        <v>100.346</v>
      </c>
      <c r="J17" s="149"/>
      <c r="K17" s="16"/>
      <c r="L17" s="17"/>
      <c r="M17" s="14"/>
    </row>
    <row r="18" spans="2:13" ht="12" customHeight="1">
      <c r="B18" s="36" t="s">
        <v>114</v>
      </c>
      <c r="C18" s="145">
        <v>-409.66</v>
      </c>
      <c r="D18" s="145">
        <v>-402.024</v>
      </c>
      <c r="E18" s="145">
        <v>-263.55500000000001</v>
      </c>
      <c r="F18" s="145">
        <v>-187.12299999999999</v>
      </c>
      <c r="G18" s="145">
        <v>-120.316</v>
      </c>
      <c r="H18" s="145">
        <v>-59.641000000000005</v>
      </c>
      <c r="I18" s="145">
        <v>-29.532999999999998</v>
      </c>
      <c r="K18" s="149"/>
    </row>
    <row r="19" spans="2:13" ht="12" customHeight="1">
      <c r="B19" s="36" t="s">
        <v>115</v>
      </c>
      <c r="C19" s="145">
        <v>-558.76400000000012</v>
      </c>
      <c r="D19" s="145">
        <v>-703.51799999999992</v>
      </c>
      <c r="E19" s="145">
        <v>-417.71800000000002</v>
      </c>
      <c r="F19" s="145">
        <v>-320.29900000000004</v>
      </c>
      <c r="G19" s="145">
        <v>-197.392</v>
      </c>
      <c r="H19" s="145">
        <v>-100.822</v>
      </c>
      <c r="I19" s="145">
        <v>-35.695999999999998</v>
      </c>
      <c r="K19" s="13"/>
    </row>
    <row r="20" spans="2:13" ht="12" customHeight="1">
      <c r="B20" s="36" t="s">
        <v>116</v>
      </c>
      <c r="C20" s="145">
        <v>-40.737000000000002</v>
      </c>
      <c r="D20" s="145">
        <v>-195.93700000000001</v>
      </c>
      <c r="E20" s="145">
        <v>-51.44</v>
      </c>
      <c r="F20" s="145">
        <v>-33.19</v>
      </c>
      <c r="G20" s="145">
        <v>-25.452000000000002</v>
      </c>
      <c r="H20" s="145">
        <v>-18.763999999999999</v>
      </c>
      <c r="I20" s="145">
        <v>-8.516</v>
      </c>
    </row>
    <row r="21" spans="2:13" ht="12" customHeight="1">
      <c r="B21" s="89" t="s">
        <v>117</v>
      </c>
      <c r="C21" s="87">
        <f>SUM(C17:C20)</f>
        <v>-8.0310000000003257</v>
      </c>
      <c r="D21" s="87">
        <f>SUM(D17:D20)</f>
        <v>296.95299999999952</v>
      </c>
      <c r="E21" s="87">
        <f t="shared" ref="E21:I21" si="2">SUM(E17:E20)</f>
        <v>54.721000000000117</v>
      </c>
      <c r="F21" s="87">
        <f>SUM(F17:F20)</f>
        <v>32.628999999999962</v>
      </c>
      <c r="G21" s="87">
        <f t="shared" si="2"/>
        <v>64.86000000000007</v>
      </c>
      <c r="H21" s="87">
        <f t="shared" si="2"/>
        <v>113.11600000000006</v>
      </c>
      <c r="I21" s="87">
        <f t="shared" si="2"/>
        <v>26.601000000000006</v>
      </c>
    </row>
    <row r="22" spans="2:13" ht="12" customHeight="1">
      <c r="C22" s="148"/>
      <c r="F22" s="149"/>
      <c r="G22" s="149"/>
      <c r="H22" s="149"/>
      <c r="I22" s="149"/>
    </row>
    <row r="23" spans="2:13" ht="12" customHeight="1">
      <c r="B23" s="21" t="s">
        <v>101</v>
      </c>
      <c r="C23" s="138">
        <v>2022</v>
      </c>
      <c r="D23" s="138">
        <v>2021</v>
      </c>
      <c r="E23" s="138">
        <v>2020</v>
      </c>
      <c r="F23" s="138" t="s">
        <v>102</v>
      </c>
      <c r="G23" s="138" t="s">
        <v>103</v>
      </c>
      <c r="H23" s="138" t="s">
        <v>104</v>
      </c>
      <c r="I23" s="138" t="s">
        <v>105</v>
      </c>
    </row>
    <row r="24" spans="2:13" ht="12" customHeight="1">
      <c r="B24" s="122" t="s">
        <v>108</v>
      </c>
      <c r="C24" s="146">
        <f>C12</f>
        <v>1387.4559999999997</v>
      </c>
      <c r="D24" s="146">
        <f t="shared" ref="D24:I24" si="3">D12</f>
        <v>1263.8479999999997</v>
      </c>
      <c r="E24" s="146">
        <f t="shared" si="3"/>
        <v>811.0440000000001</v>
      </c>
      <c r="F24" s="146">
        <f t="shared" si="3"/>
        <v>668.846</v>
      </c>
      <c r="G24" s="146">
        <f t="shared" si="3"/>
        <v>473.21100000000001</v>
      </c>
      <c r="H24" s="146">
        <f t="shared" si="3"/>
        <v>293.38200000000006</v>
      </c>
      <c r="I24" s="146">
        <f t="shared" si="3"/>
        <v>123.14399999999999</v>
      </c>
    </row>
    <row r="25" spans="2:13" ht="12" customHeight="1">
      <c r="B25" s="36" t="s">
        <v>285</v>
      </c>
      <c r="C25" s="145">
        <v>0</v>
      </c>
      <c r="D25" s="145">
        <v>-40.119479794092982</v>
      </c>
      <c r="E25" s="145">
        <v>0</v>
      </c>
      <c r="F25" s="145">
        <v>0</v>
      </c>
      <c r="G25" s="145">
        <v>0</v>
      </c>
      <c r="H25" s="145">
        <v>0</v>
      </c>
      <c r="I25" s="145">
        <v>0</v>
      </c>
      <c r="J25" s="11"/>
      <c r="K25" s="151"/>
      <c r="L25" s="149"/>
    </row>
    <row r="26" spans="2:13" ht="12" customHeight="1">
      <c r="B26" s="122" t="s">
        <v>359</v>
      </c>
      <c r="C26" s="146">
        <f>SUM(C27:C30)</f>
        <v>272.57745999999997</v>
      </c>
      <c r="D26" s="146">
        <f t="shared" ref="D26:I26" si="4">SUM(D27:D30)</f>
        <v>245.40633470130007</v>
      </c>
      <c r="E26" s="146">
        <f t="shared" si="4"/>
        <v>158.63115157860005</v>
      </c>
      <c r="F26" s="146">
        <f t="shared" si="4"/>
        <v>155.28839220370006</v>
      </c>
      <c r="G26" s="146">
        <f t="shared" si="4"/>
        <v>29.599999999999909</v>
      </c>
      <c r="H26" s="146">
        <f t="shared" si="4"/>
        <v>9.4028700000000001</v>
      </c>
      <c r="I26" s="146">
        <f t="shared" si="4"/>
        <v>11.835570000000001</v>
      </c>
      <c r="J26" s="11"/>
      <c r="K26" s="151"/>
      <c r="L26" s="149"/>
    </row>
    <row r="27" spans="2:13" ht="12" customHeight="1">
      <c r="B27" s="36" t="s">
        <v>118</v>
      </c>
      <c r="C27" s="195">
        <v>0</v>
      </c>
      <c r="D27" s="145">
        <v>6.8367348801000301</v>
      </c>
      <c r="E27" s="145">
        <v>11.558548404000051</v>
      </c>
      <c r="F27" s="145">
        <v>8.9594810694000593</v>
      </c>
      <c r="G27" s="145">
        <v>7.1935531050000208</v>
      </c>
      <c r="H27" s="145">
        <v>0</v>
      </c>
      <c r="I27" s="145">
        <v>0</v>
      </c>
      <c r="J27" s="11"/>
      <c r="K27" s="151"/>
      <c r="L27" s="149"/>
    </row>
    <row r="28" spans="2:13" ht="12" customHeight="1">
      <c r="B28" s="36" t="s">
        <v>119</v>
      </c>
      <c r="C28" s="145">
        <f>150269/1000</f>
        <v>150.26900000000001</v>
      </c>
      <c r="D28" s="145">
        <v>135.88115304500002</v>
      </c>
      <c r="E28" s="145">
        <v>125.31745146499999</v>
      </c>
      <c r="F28" s="145">
        <v>133.85761877499999</v>
      </c>
      <c r="G28" s="145">
        <v>11.476270204999889</v>
      </c>
      <c r="H28" s="145">
        <v>0</v>
      </c>
      <c r="I28" s="145">
        <v>0</v>
      </c>
      <c r="J28" s="11"/>
      <c r="K28" s="151"/>
      <c r="L28" s="149"/>
    </row>
    <row r="29" spans="2:13" ht="12" customHeight="1">
      <c r="B29" s="36" t="s">
        <v>120</v>
      </c>
      <c r="C29" s="145">
        <f>22514.46/1000</f>
        <v>22.51446</v>
      </c>
      <c r="D29" s="145">
        <v>15.9983861562</v>
      </c>
      <c r="E29" s="145">
        <v>14.186300484600002</v>
      </c>
      <c r="F29" s="145">
        <v>12.4712923593</v>
      </c>
      <c r="G29" s="145">
        <v>10.93017669</v>
      </c>
      <c r="H29" s="145">
        <v>9.4028700000000001</v>
      </c>
      <c r="I29" s="145">
        <v>11.835570000000001</v>
      </c>
      <c r="J29" s="11"/>
      <c r="K29" s="151"/>
      <c r="L29" s="149"/>
    </row>
    <row r="30" spans="2:13" ht="12" customHeight="1">
      <c r="B30" s="36" t="s">
        <v>341</v>
      </c>
      <c r="C30" s="145">
        <f>99794/1000</f>
        <v>99.793999999999997</v>
      </c>
      <c r="D30" s="145">
        <v>86.690060619999983</v>
      </c>
      <c r="E30" s="145">
        <v>7.5688512249999995</v>
      </c>
      <c r="F30" s="145">
        <v>0</v>
      </c>
      <c r="G30" s="145">
        <v>0</v>
      </c>
      <c r="H30" s="145">
        <v>0</v>
      </c>
      <c r="I30" s="145">
        <v>0</v>
      </c>
    </row>
    <row r="31" spans="2:13" ht="12" customHeight="1">
      <c r="B31" s="89" t="s">
        <v>286</v>
      </c>
      <c r="C31" s="87">
        <f>SUM(C24,C26)</f>
        <v>1660.0334599999996</v>
      </c>
      <c r="D31" s="87">
        <f t="shared" ref="D31:I31" si="5">SUM(D24,D26)</f>
        <v>1509.2543347012997</v>
      </c>
      <c r="E31" s="87">
        <f t="shared" si="5"/>
        <v>969.67515157860021</v>
      </c>
      <c r="F31" s="87">
        <f t="shared" si="5"/>
        <v>824.13439220370003</v>
      </c>
      <c r="G31" s="87">
        <f t="shared" si="5"/>
        <v>502.81099999999992</v>
      </c>
      <c r="H31" s="87">
        <f t="shared" si="5"/>
        <v>302.78487000000007</v>
      </c>
      <c r="I31" s="87">
        <f t="shared" si="5"/>
        <v>134.97957</v>
      </c>
      <c r="J31" s="148"/>
    </row>
    <row r="32" spans="2:13" ht="12" customHeight="1">
      <c r="B32" s="152"/>
      <c r="C32" s="148"/>
      <c r="D32" s="148"/>
    </row>
    <row r="33" spans="2:12" ht="12" customHeight="1">
      <c r="B33" s="21" t="s">
        <v>101</v>
      </c>
      <c r="C33" s="138">
        <v>2022</v>
      </c>
      <c r="D33" s="138">
        <v>2021</v>
      </c>
      <c r="E33" s="138">
        <v>2020</v>
      </c>
      <c r="F33" s="138">
        <v>2019</v>
      </c>
      <c r="G33" s="138">
        <v>2018</v>
      </c>
      <c r="H33" s="138">
        <v>2017</v>
      </c>
      <c r="I33" s="138">
        <v>2016</v>
      </c>
    </row>
    <row r="34" spans="2:12" ht="12" customHeight="1">
      <c r="B34" s="122" t="s">
        <v>113</v>
      </c>
      <c r="C34" s="146">
        <f t="shared" ref="C34:I34" si="6">C17</f>
        <v>1001.1299999999998</v>
      </c>
      <c r="D34" s="146">
        <f t="shared" si="6"/>
        <v>1598.4319999999996</v>
      </c>
      <c r="E34" s="146">
        <f t="shared" si="6"/>
        <v>787.43400000000008</v>
      </c>
      <c r="F34" s="146">
        <f t="shared" si="6"/>
        <v>573.24099999999999</v>
      </c>
      <c r="G34" s="146">
        <f t="shared" si="6"/>
        <v>408.02000000000004</v>
      </c>
      <c r="H34" s="146">
        <f t="shared" si="6"/>
        <v>292.34300000000007</v>
      </c>
      <c r="I34" s="146">
        <f t="shared" si="6"/>
        <v>100.346</v>
      </c>
    </row>
    <row r="35" spans="2:12" ht="12" customHeight="1">
      <c r="B35" s="36" t="s">
        <v>121</v>
      </c>
      <c r="C35" s="145">
        <v>0</v>
      </c>
      <c r="D35" s="145">
        <v>0</v>
      </c>
      <c r="E35" s="145">
        <v>-6.2191366599999975</v>
      </c>
      <c r="F35" s="145">
        <v>1.2966949999999999</v>
      </c>
      <c r="G35" s="145">
        <v>0</v>
      </c>
      <c r="H35" s="145">
        <v>0</v>
      </c>
      <c r="I35" s="145">
        <v>0</v>
      </c>
    </row>
    <row r="36" spans="2:12" ht="12" customHeight="1">
      <c r="B36" s="36" t="s">
        <v>122</v>
      </c>
      <c r="C36" s="145">
        <f>-C16</f>
        <v>-44.853999999999999</v>
      </c>
      <c r="D36" s="145">
        <v>-1.22</v>
      </c>
      <c r="E36" s="145">
        <v>-9.4930000000000003</v>
      </c>
      <c r="F36" s="145">
        <v>-26.356999999999999</v>
      </c>
      <c r="G36" s="145">
        <v>-9.11</v>
      </c>
      <c r="H36" s="145">
        <v>-3.5</v>
      </c>
      <c r="I36" s="145">
        <v>-5.6</v>
      </c>
    </row>
    <row r="37" spans="2:12" ht="12" customHeight="1">
      <c r="B37" s="36" t="s">
        <v>123</v>
      </c>
      <c r="C37" s="145">
        <v>0</v>
      </c>
      <c r="D37" s="145">
        <v>0</v>
      </c>
      <c r="E37" s="145">
        <v>2.3483156699999999</v>
      </c>
      <c r="F37" s="145">
        <v>0</v>
      </c>
      <c r="G37" s="145">
        <v>7.45</v>
      </c>
      <c r="H37" s="145">
        <v>0</v>
      </c>
      <c r="I37" s="145">
        <v>0</v>
      </c>
    </row>
    <row r="38" spans="2:12" ht="12" customHeight="1">
      <c r="B38" s="36" t="s">
        <v>285</v>
      </c>
      <c r="C38" s="145">
        <v>0</v>
      </c>
      <c r="D38" s="145">
        <v>-26.408268376538004</v>
      </c>
      <c r="E38" s="145">
        <v>-4.6287988549810031</v>
      </c>
      <c r="F38" s="145">
        <v>0</v>
      </c>
      <c r="G38" s="145">
        <v>0</v>
      </c>
      <c r="H38" s="145">
        <v>0</v>
      </c>
      <c r="I38" s="145">
        <v>0</v>
      </c>
      <c r="L38" s="153"/>
    </row>
    <row r="39" spans="2:12" ht="12" customHeight="1">
      <c r="B39" s="36" t="s">
        <v>124</v>
      </c>
      <c r="C39" s="145">
        <v>-15.367084369999999</v>
      </c>
      <c r="D39" s="145">
        <v>-642.96338793999996</v>
      </c>
      <c r="E39" s="145">
        <v>-145.67961425000001</v>
      </c>
      <c r="F39" s="145">
        <v>0</v>
      </c>
      <c r="G39" s="145">
        <v>-14.799999999999999</v>
      </c>
      <c r="H39" s="145">
        <v>-61.6</v>
      </c>
      <c r="I39" s="145">
        <v>0</v>
      </c>
      <c r="L39" s="154"/>
    </row>
    <row r="40" spans="2:12" ht="12" customHeight="1">
      <c r="B40" s="122" t="s">
        <v>358</v>
      </c>
      <c r="C40" s="146">
        <f>SUM(C41:C44)</f>
        <v>236.60595265999999</v>
      </c>
      <c r="D40" s="146">
        <f>SUM(D41:D44)</f>
        <v>197.5929701246701</v>
      </c>
      <c r="E40" s="146">
        <f>SUM(E41:E44)</f>
        <v>132.66249675680007</v>
      </c>
      <c r="F40" s="146">
        <f t="shared" ref="F40:I40" si="7">SUM(F41:F44)</f>
        <v>144.00017685320009</v>
      </c>
      <c r="G40" s="146">
        <f t="shared" si="7"/>
        <v>20.112000000000002</v>
      </c>
      <c r="H40" s="146">
        <f t="shared" si="7"/>
        <v>7.3225800000000003</v>
      </c>
      <c r="I40" s="146">
        <f t="shared" si="7"/>
        <v>9.8057700000000008</v>
      </c>
      <c r="K40" s="151"/>
    </row>
    <row r="41" spans="2:12" ht="12" customHeight="1">
      <c r="B41" s="36" t="s">
        <v>125</v>
      </c>
      <c r="C41" s="195">
        <v>0</v>
      </c>
      <c r="D41" s="145">
        <v>-10.468103240529878</v>
      </c>
      <c r="E41" s="145">
        <v>2.7330863127000513</v>
      </c>
      <c r="F41" s="145">
        <v>7.0040375139000801</v>
      </c>
      <c r="G41" s="145">
        <v>1.411</v>
      </c>
      <c r="H41" s="145">
        <v>0</v>
      </c>
      <c r="I41" s="145">
        <v>0</v>
      </c>
      <c r="J41" s="149"/>
      <c r="K41" s="151"/>
    </row>
    <row r="42" spans="2:12" ht="12" customHeight="1">
      <c r="B42" s="36" t="s">
        <v>126</v>
      </c>
      <c r="C42" s="145">
        <f>135154/1000</f>
        <v>135.154</v>
      </c>
      <c r="D42" s="145">
        <v>121.97085529999998</v>
      </c>
      <c r="E42" s="145">
        <v>109.08251388500001</v>
      </c>
      <c r="F42" s="145">
        <v>127.42753697000001</v>
      </c>
      <c r="G42" s="145">
        <v>9.7469999999999999</v>
      </c>
      <c r="H42" s="145">
        <v>0</v>
      </c>
      <c r="I42" s="145">
        <v>0</v>
      </c>
      <c r="J42" s="155"/>
      <c r="K42" s="156"/>
    </row>
    <row r="43" spans="2:12" ht="12" customHeight="1">
      <c r="B43" s="36" t="s">
        <v>127</v>
      </c>
      <c r="C43" s="145">
        <f>19664.58/1000</f>
        <v>19.664580000000001</v>
      </c>
      <c r="D43" s="145">
        <v>14.505091825200001</v>
      </c>
      <c r="E43" s="145">
        <v>14.622506519100003</v>
      </c>
      <c r="F43" s="145">
        <v>9.5686023693000006</v>
      </c>
      <c r="G43" s="145">
        <v>8.9540000000000006</v>
      </c>
      <c r="H43" s="145">
        <v>7.3225800000000003</v>
      </c>
      <c r="I43" s="145">
        <v>9.8057700000000008</v>
      </c>
      <c r="J43" s="148"/>
      <c r="K43" s="156"/>
    </row>
    <row r="44" spans="2:12" ht="12" customHeight="1">
      <c r="B44" s="36" t="s">
        <v>340</v>
      </c>
      <c r="C44" s="145">
        <f>81787.37266/1000</f>
        <v>81.787372659999988</v>
      </c>
      <c r="D44" s="145">
        <v>71.585126239999994</v>
      </c>
      <c r="E44" s="145">
        <v>6.2243900400000003</v>
      </c>
      <c r="F44" s="145">
        <v>0</v>
      </c>
      <c r="G44" s="145">
        <v>0</v>
      </c>
      <c r="H44" s="145">
        <v>0</v>
      </c>
      <c r="I44" s="145">
        <v>0</v>
      </c>
      <c r="J44" s="149"/>
      <c r="K44" s="148"/>
    </row>
    <row r="45" spans="2:12" ht="12" customHeight="1">
      <c r="B45" s="140" t="s">
        <v>287</v>
      </c>
      <c r="C45" s="196">
        <f>SUM(C34:C40)</f>
        <v>1177.5148682899996</v>
      </c>
      <c r="D45" s="196">
        <f t="shared" ref="D45:I45" si="8">SUM(D34:D40)</f>
        <v>1125.4333138081317</v>
      </c>
      <c r="E45" s="196">
        <f t="shared" si="8"/>
        <v>756.42426266181906</v>
      </c>
      <c r="F45" s="196">
        <f t="shared" si="8"/>
        <v>692.18087185320007</v>
      </c>
      <c r="G45" s="196">
        <f t="shared" si="8"/>
        <v>411.67200000000003</v>
      </c>
      <c r="H45" s="196">
        <f t="shared" si="8"/>
        <v>234.56558000000007</v>
      </c>
      <c r="I45" s="196">
        <f t="shared" si="8"/>
        <v>104.55177</v>
      </c>
      <c r="K45" s="148"/>
    </row>
    <row r="46" spans="2:12" ht="12" customHeight="1">
      <c r="B46" s="140" t="s">
        <v>342</v>
      </c>
      <c r="C46" s="141">
        <f t="shared" ref="C46:I46" si="9">C45/C31</f>
        <v>0.70933200845843181</v>
      </c>
      <c r="D46" s="141">
        <f t="shared" si="9"/>
        <v>0.74568830973797995</v>
      </c>
      <c r="E46" s="141">
        <f t="shared" si="9"/>
        <v>0.78008007262059309</v>
      </c>
      <c r="F46" s="141">
        <f t="shared" si="9"/>
        <v>0.83988834636828846</v>
      </c>
      <c r="G46" s="141">
        <f t="shared" si="9"/>
        <v>0.81874103788501063</v>
      </c>
      <c r="H46" s="141">
        <f t="shared" si="9"/>
        <v>0.77469386102416549</v>
      </c>
      <c r="I46" s="141">
        <f t="shared" si="9"/>
        <v>0.77457477453810242</v>
      </c>
    </row>
    <row r="47" spans="2:12" ht="13.5">
      <c r="B47" s="152" t="s">
        <v>288</v>
      </c>
      <c r="C47" s="136"/>
      <c r="D47" s="136"/>
      <c r="J47" s="157"/>
    </row>
    <row r="48" spans="2:12" ht="25" customHeight="1">
      <c r="B48" s="298" t="s">
        <v>289</v>
      </c>
      <c r="C48" s="298"/>
      <c r="D48" s="298"/>
      <c r="E48" s="298"/>
      <c r="F48" s="298"/>
      <c r="G48" s="298"/>
      <c r="H48" s="298"/>
      <c r="I48" s="298"/>
      <c r="J48" s="157"/>
    </row>
    <row r="49" spans="2:9" ht="12" customHeight="1">
      <c r="B49" s="152" t="s">
        <v>344</v>
      </c>
      <c r="C49" s="36"/>
      <c r="D49" s="36"/>
      <c r="E49" s="36"/>
      <c r="F49" s="36"/>
      <c r="G49" s="36"/>
      <c r="H49" s="36"/>
      <c r="I49" s="36"/>
    </row>
    <row r="50" spans="2:9" ht="12" customHeight="1">
      <c r="B50" s="158" t="s">
        <v>343</v>
      </c>
      <c r="C50" s="36"/>
      <c r="D50" s="36"/>
      <c r="E50" s="36"/>
      <c r="F50" s="36"/>
      <c r="G50" s="36"/>
      <c r="H50" s="36"/>
      <c r="I50" s="36"/>
    </row>
    <row r="51" spans="2:9" ht="12" customHeight="1">
      <c r="B51" s="158"/>
      <c r="C51" s="136"/>
      <c r="D51" s="136"/>
    </row>
    <row r="52" spans="2:9" ht="0" hidden="1" customHeight="1">
      <c r="B52" s="136"/>
      <c r="C52" s="159"/>
      <c r="D52" s="159"/>
    </row>
  </sheetData>
  <mergeCells count="1">
    <mergeCell ref="B48:I48"/>
  </mergeCells>
  <pageMargins left="0.511811024" right="0.511811024" top="0.78740157499999996" bottom="0.78740157499999996" header="0.31496062000000002" footer="0.31496062000000002"/>
  <pageSetup paperSize="9" orientation="portrait" r:id="rId1"/>
  <ignoredErrors>
    <ignoredError sqref="C13:G13 C12:E12" formulaRange="1"/>
    <ignoredError sqref="F23:I23 F8:I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3663F-FCC2-42B4-B212-FAAB45917BEF}">
  <dimension ref="A1:C32"/>
  <sheetViews>
    <sheetView showGridLines="0" workbookViewId="0">
      <selection activeCell="A2" sqref="A2"/>
    </sheetView>
  </sheetViews>
  <sheetFormatPr defaultColWidth="8.81640625" defaultRowHeight="14"/>
  <cols>
    <col min="1" max="1" width="39.1796875" style="1" bestFit="1" customWidth="1"/>
    <col min="2" max="2" width="18.81640625" style="1" customWidth="1"/>
    <col min="3" max="3" width="14.81640625" style="1" bestFit="1" customWidth="1"/>
    <col min="4" max="16384" width="8.81640625" style="1"/>
  </cols>
  <sheetData>
    <row r="1" spans="1:3">
      <c r="A1" s="3" t="s">
        <v>128</v>
      </c>
      <c r="B1" s="3"/>
    </row>
    <row r="2" spans="1:3">
      <c r="A2" s="1" t="s">
        <v>129</v>
      </c>
    </row>
    <row r="4" spans="1:3" s="3" customFormat="1">
      <c r="A4" s="3" t="s">
        <v>130</v>
      </c>
      <c r="B4" s="6">
        <v>2017</v>
      </c>
      <c r="C4" s="6">
        <v>2016</v>
      </c>
    </row>
    <row r="5" spans="1:3" s="3" customFormat="1"/>
    <row r="6" spans="1:3">
      <c r="A6" s="1" t="s">
        <v>131</v>
      </c>
      <c r="B6" s="2">
        <v>28903000</v>
      </c>
      <c r="C6" s="2">
        <v>24714000</v>
      </c>
    </row>
    <row r="7" spans="1:3">
      <c r="A7" s="1" t="s">
        <v>132</v>
      </c>
      <c r="B7" s="2">
        <v>-10466000</v>
      </c>
      <c r="C7" s="2">
        <v>-1507000</v>
      </c>
    </row>
    <row r="8" spans="1:3" s="3" customFormat="1">
      <c r="A8" s="3" t="s">
        <v>133</v>
      </c>
      <c r="B8" s="4">
        <f t="shared" ref="B8:C8" si="0">SUM(B6:B7)</f>
        <v>18437000</v>
      </c>
      <c r="C8" s="4">
        <f t="shared" si="0"/>
        <v>23207000</v>
      </c>
    </row>
    <row r="9" spans="1:3">
      <c r="A9" s="1" t="s">
        <v>134</v>
      </c>
      <c r="B9" s="2">
        <f>-2606000-192000</f>
        <v>-2798000</v>
      </c>
      <c r="C9" s="2">
        <f>-2586000-267000</f>
        <v>-2853000</v>
      </c>
    </row>
    <row r="10" spans="1:3">
      <c r="A10" s="1" t="s">
        <v>135</v>
      </c>
      <c r="B10" s="2">
        <v>-3082000</v>
      </c>
      <c r="C10" s="2">
        <v>-3082000</v>
      </c>
    </row>
    <row r="11" spans="1:3">
      <c r="A11" s="1" t="s">
        <v>136</v>
      </c>
      <c r="B11" s="2">
        <f>-1088000-193000</f>
        <v>-1281000</v>
      </c>
      <c r="C11" s="2">
        <f>-908000-219000</f>
        <v>-1127000</v>
      </c>
    </row>
    <row r="12" spans="1:3">
      <c r="A12" s="1" t="s">
        <v>137</v>
      </c>
      <c r="B12" s="2">
        <v>-12000</v>
      </c>
      <c r="C12" s="2">
        <v>0</v>
      </c>
    </row>
    <row r="13" spans="1:3">
      <c r="A13" s="1" t="s">
        <v>138</v>
      </c>
      <c r="B13" s="2"/>
      <c r="C13" s="2"/>
    </row>
    <row r="14" spans="1:3" s="3" customFormat="1">
      <c r="A14" s="3" t="s">
        <v>139</v>
      </c>
      <c r="B14" s="4">
        <f t="shared" ref="B14:C14" si="1">SUM(B8:B13)</f>
        <v>11264000</v>
      </c>
      <c r="C14" s="4">
        <f t="shared" si="1"/>
        <v>16145000</v>
      </c>
    </row>
    <row r="15" spans="1:3">
      <c r="A15" s="1" t="s">
        <v>140</v>
      </c>
      <c r="B15" s="2">
        <v>1836000</v>
      </c>
      <c r="C15" s="2">
        <v>1845000</v>
      </c>
    </row>
    <row r="16" spans="1:3">
      <c r="A16" s="1" t="s">
        <v>141</v>
      </c>
      <c r="B16" s="2">
        <v>-4586000</v>
      </c>
      <c r="C16" s="2">
        <v>-5503000</v>
      </c>
    </row>
    <row r="17" spans="1:3" s="3" customFormat="1">
      <c r="A17" s="3" t="s">
        <v>142</v>
      </c>
      <c r="B17" s="4">
        <f t="shared" ref="B17:C17" si="2">SUM(B14:B16)</f>
        <v>8514000</v>
      </c>
      <c r="C17" s="4">
        <f t="shared" si="2"/>
        <v>12487000</v>
      </c>
    </row>
    <row r="19" spans="1:3">
      <c r="A19" s="1" t="s">
        <v>143</v>
      </c>
      <c r="B19" s="2">
        <v>-1590000</v>
      </c>
      <c r="C19" s="2">
        <v>-1455000</v>
      </c>
    </row>
    <row r="20" spans="1:3" s="3" customFormat="1">
      <c r="A20" s="3" t="s">
        <v>144</v>
      </c>
      <c r="B20" s="4">
        <f t="shared" ref="B20:C20" si="3">SUM(B17:B19)</f>
        <v>6924000</v>
      </c>
      <c r="C20" s="4">
        <f t="shared" si="3"/>
        <v>11032000</v>
      </c>
    </row>
    <row r="22" spans="1:3">
      <c r="A22" s="3" t="s">
        <v>145</v>
      </c>
      <c r="B22" s="3"/>
    </row>
    <row r="23" spans="1:3">
      <c r="A23" s="1" t="s">
        <v>133</v>
      </c>
      <c r="B23" s="2">
        <f t="shared" ref="B23" si="4">B8</f>
        <v>18437000</v>
      </c>
      <c r="C23" s="2">
        <f t="shared" ref="C23:C24" si="5">C8</f>
        <v>23207000</v>
      </c>
    </row>
    <row r="24" spans="1:3">
      <c r="A24" s="1" t="s">
        <v>146</v>
      </c>
      <c r="B24" s="2">
        <f t="shared" ref="B24" si="6">B9</f>
        <v>-2798000</v>
      </c>
      <c r="C24" s="2">
        <f t="shared" si="5"/>
        <v>-2853000</v>
      </c>
    </row>
    <row r="25" spans="1:3">
      <c r="A25" s="1" t="s">
        <v>136</v>
      </c>
      <c r="B25" s="2">
        <f t="shared" ref="B25" si="7">B11</f>
        <v>-1281000</v>
      </c>
      <c r="C25" s="2">
        <f t="shared" ref="C25" si="8">C11</f>
        <v>-1127000</v>
      </c>
    </row>
    <row r="26" spans="1:3">
      <c r="A26" s="1" t="s">
        <v>138</v>
      </c>
      <c r="B26" s="2">
        <f t="shared" ref="B26" si="9">B13</f>
        <v>0</v>
      </c>
      <c r="C26" s="2">
        <f t="shared" ref="C26" si="10">C13</f>
        <v>0</v>
      </c>
    </row>
    <row r="27" spans="1:3">
      <c r="A27" s="1" t="s">
        <v>147</v>
      </c>
      <c r="B27" s="4">
        <f t="shared" ref="B27:C27" si="11">SUM(B23:B26)</f>
        <v>14358000</v>
      </c>
      <c r="C27" s="4">
        <f t="shared" si="11"/>
        <v>19227000</v>
      </c>
    </row>
    <row r="29" spans="1:3">
      <c r="A29" s="3" t="s">
        <v>148</v>
      </c>
      <c r="B29" s="5">
        <v>0.51</v>
      </c>
      <c r="C29" s="5">
        <v>0.51</v>
      </c>
    </row>
    <row r="31" spans="1:3" s="3" customFormat="1">
      <c r="A31" s="3" t="s">
        <v>149</v>
      </c>
      <c r="B31" s="4">
        <f t="shared" ref="B31:C31" si="12">B8*B29</f>
        <v>9402870</v>
      </c>
      <c r="C31" s="4">
        <f t="shared" si="12"/>
        <v>11835570</v>
      </c>
    </row>
    <row r="32" spans="1:3">
      <c r="A32" s="3" t="s">
        <v>150</v>
      </c>
      <c r="B32" s="4">
        <f t="shared" ref="B32:C32" si="13">B27*B29</f>
        <v>7322580</v>
      </c>
      <c r="C32" s="4">
        <f t="shared" si="13"/>
        <v>9805770</v>
      </c>
    </row>
  </sheetData>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90AE-B4E6-4625-B18C-22F89DBB314F}">
  <sheetPr>
    <tabColor rgb="FF26395F"/>
  </sheetPr>
  <dimension ref="A1:K87"/>
  <sheetViews>
    <sheetView showGridLines="0" zoomScaleNormal="100" workbookViewId="0"/>
  </sheetViews>
  <sheetFormatPr defaultColWidth="0" defaultRowHeight="0" customHeight="1" zeroHeight="1"/>
  <cols>
    <col min="1" max="1" width="5.453125" style="7" customWidth="1"/>
    <col min="2" max="2" width="36.54296875" style="7" bestFit="1" customWidth="1"/>
    <col min="3" max="3" width="10.54296875" style="7" bestFit="1" customWidth="1"/>
    <col min="4" max="4" width="12.81640625" style="7" bestFit="1" customWidth="1"/>
    <col min="5" max="5" width="14.7265625" style="7" bestFit="1" customWidth="1"/>
    <col min="6" max="6" width="17.26953125" style="9" customWidth="1"/>
    <col min="7" max="7" width="13.453125" style="9" customWidth="1"/>
    <col min="8" max="9" width="11.54296875" style="7" customWidth="1"/>
    <col min="10" max="10" width="37.1796875" style="7" customWidth="1"/>
    <col min="11" max="11" width="58.453125" style="7" hidden="1" customWidth="1"/>
    <col min="12" max="16384" width="9.453125" style="7" hidden="1"/>
  </cols>
  <sheetData>
    <row r="1" spans="2:11" ht="12" customHeight="1"/>
    <row r="2" spans="2:11" ht="12" customHeight="1"/>
    <row r="3" spans="2:11" ht="12" customHeight="1"/>
    <row r="4" spans="2:11" ht="12" customHeight="1"/>
    <row r="5" spans="2:11" ht="12" customHeight="1">
      <c r="J5" s="79"/>
    </row>
    <row r="6" spans="2:11" ht="12" customHeight="1">
      <c r="B6" s="75" t="s">
        <v>151</v>
      </c>
      <c r="C6" s="75"/>
      <c r="D6" s="76"/>
      <c r="E6" s="76"/>
      <c r="F6" s="78"/>
      <c r="G6" s="78"/>
      <c r="H6" s="78"/>
      <c r="I6" s="79"/>
      <c r="J6" s="79"/>
    </row>
    <row r="7" spans="2:11" ht="12" customHeight="1">
      <c r="J7" s="79"/>
    </row>
    <row r="8" spans="2:11" ht="12" customHeight="1">
      <c r="B8" s="21"/>
      <c r="C8" s="28">
        <v>2022</v>
      </c>
      <c r="D8" s="28">
        <v>2021</v>
      </c>
      <c r="E8" s="28">
        <v>2020</v>
      </c>
      <c r="F8" s="28">
        <v>2019</v>
      </c>
      <c r="G8" s="28">
        <v>2018</v>
      </c>
      <c r="H8" s="28">
        <v>2017</v>
      </c>
      <c r="J8" s="9"/>
      <c r="K8" s="79"/>
    </row>
    <row r="9" spans="2:11" ht="12" customHeight="1">
      <c r="B9" s="37" t="s">
        <v>345</v>
      </c>
      <c r="C9" s="81">
        <v>7636.954999999999</v>
      </c>
      <c r="D9" s="79">
        <v>6106.1930000000002</v>
      </c>
      <c r="E9" s="80">
        <v>5990.9999999999991</v>
      </c>
      <c r="F9" s="81">
        <v>4018.4920000000002</v>
      </c>
      <c r="G9" s="81">
        <v>2130.1490000000003</v>
      </c>
      <c r="H9" s="81">
        <v>1906.6659999999999</v>
      </c>
      <c r="J9" s="9"/>
      <c r="K9" s="79"/>
    </row>
    <row r="10" spans="2:11" ht="12" customHeight="1">
      <c r="B10" s="37" t="s">
        <v>346</v>
      </c>
      <c r="C10" s="81">
        <v>801.35299999999995</v>
      </c>
      <c r="D10" s="240" t="s">
        <v>21</v>
      </c>
      <c r="E10" s="240" t="s">
        <v>21</v>
      </c>
      <c r="F10" s="240" t="s">
        <v>21</v>
      </c>
      <c r="G10" s="240" t="s">
        <v>21</v>
      </c>
      <c r="H10" s="240" t="s">
        <v>21</v>
      </c>
      <c r="J10" s="9"/>
      <c r="K10" s="79"/>
    </row>
    <row r="11" spans="2:11" ht="12" customHeight="1">
      <c r="B11" s="37" t="s">
        <v>152</v>
      </c>
      <c r="C11" s="80">
        <v>-62.304000000000002</v>
      </c>
      <c r="D11" s="80">
        <v>-67.760000000000005</v>
      </c>
      <c r="E11" s="80">
        <v>-94.146000000000001</v>
      </c>
      <c r="F11" s="81">
        <v>-67.608000000000004</v>
      </c>
      <c r="G11" s="81">
        <v>-21.138999999999999</v>
      </c>
      <c r="H11" s="81">
        <v>-23.937000000000001</v>
      </c>
      <c r="J11" s="42"/>
      <c r="K11" s="132"/>
    </row>
    <row r="12" spans="2:11" ht="12" customHeight="1">
      <c r="B12" s="84" t="s">
        <v>153</v>
      </c>
      <c r="C12" s="87">
        <f>SUM(C9:C11)</f>
        <v>8376.003999999999</v>
      </c>
      <c r="D12" s="87">
        <f>SUM(D9:D11)</f>
        <v>6038.433</v>
      </c>
      <c r="E12" s="87">
        <f>SUM(E9:E11)</f>
        <v>5896.8539999999994</v>
      </c>
      <c r="F12" s="87">
        <f t="shared" ref="F12:H12" si="0">SUM(F9:F11)</f>
        <v>3950.884</v>
      </c>
      <c r="G12" s="87">
        <f t="shared" si="0"/>
        <v>2109.0100000000002</v>
      </c>
      <c r="H12" s="87">
        <f t="shared" si="0"/>
        <v>1882.729</v>
      </c>
      <c r="J12" s="9"/>
    </row>
    <row r="13" spans="2:11" ht="12" customHeight="1">
      <c r="B13" s="37" t="s">
        <v>154</v>
      </c>
      <c r="C13" s="81">
        <v>1473.0119999999999</v>
      </c>
      <c r="D13" s="81">
        <v>1194.182</v>
      </c>
      <c r="E13" s="81">
        <v>881.36400000000003</v>
      </c>
      <c r="F13" s="81">
        <v>984.47</v>
      </c>
      <c r="G13" s="81">
        <v>195.38800000000001</v>
      </c>
      <c r="H13" s="81">
        <v>350.887</v>
      </c>
      <c r="J13" s="9"/>
      <c r="K13" s="133"/>
    </row>
    <row r="14" spans="2:11" ht="12" customHeight="1">
      <c r="B14" s="85" t="s">
        <v>155</v>
      </c>
      <c r="C14" s="198">
        <v>211.06899999999999</v>
      </c>
      <c r="D14" s="86">
        <v>229.29900000000001</v>
      </c>
      <c r="E14" s="86">
        <v>461.77100000000002</v>
      </c>
      <c r="F14" s="86">
        <v>154.06299999999999</v>
      </c>
      <c r="G14" s="86">
        <v>95.963999999999999</v>
      </c>
      <c r="H14" s="86">
        <v>82.513999999999996</v>
      </c>
      <c r="J14" s="42"/>
    </row>
    <row r="15" spans="2:11" ht="12" customHeight="1">
      <c r="B15" s="84" t="s">
        <v>156</v>
      </c>
      <c r="C15" s="197">
        <f>+C12-C13-C14</f>
        <v>6691.9229999999989</v>
      </c>
      <c r="D15" s="87">
        <f>+D12-D13-D14</f>
        <v>4614.9520000000002</v>
      </c>
      <c r="E15" s="87">
        <f>+E12-E13-E14</f>
        <v>4553.7190000000001</v>
      </c>
      <c r="F15" s="87">
        <f t="shared" ref="F15:H15" si="1">+F12-F13-F14</f>
        <v>2812.3509999999997</v>
      </c>
      <c r="G15" s="87">
        <f t="shared" si="1"/>
        <v>1817.6580000000004</v>
      </c>
      <c r="H15" s="87">
        <f t="shared" si="1"/>
        <v>1449.3280000000002</v>
      </c>
      <c r="J15" s="42"/>
    </row>
    <row r="16" spans="2:11" ht="12" customHeight="1">
      <c r="B16" s="37" t="s">
        <v>157</v>
      </c>
      <c r="C16" s="81">
        <v>867.20060999999998</v>
      </c>
      <c r="D16" s="80">
        <v>936.22202689649976</v>
      </c>
      <c r="E16" s="80">
        <v>920.66741807620031</v>
      </c>
      <c r="F16" s="80">
        <v>660.55430547459991</v>
      </c>
      <c r="G16" s="199" t="s">
        <v>21</v>
      </c>
      <c r="H16" s="199" t="s">
        <v>21</v>
      </c>
      <c r="J16" s="9"/>
    </row>
    <row r="17" spans="2:10" ht="12" customHeight="1">
      <c r="B17" s="85" t="s">
        <v>158</v>
      </c>
      <c r="C17" s="198">
        <v>0</v>
      </c>
      <c r="D17" s="118">
        <v>0</v>
      </c>
      <c r="E17" s="118">
        <v>130.76054016914998</v>
      </c>
      <c r="F17" s="118">
        <v>0</v>
      </c>
      <c r="G17" s="200" t="s">
        <v>21</v>
      </c>
      <c r="H17" s="200" t="s">
        <v>21</v>
      </c>
      <c r="J17" s="42"/>
    </row>
    <row r="18" spans="2:10" ht="12" customHeight="1">
      <c r="B18" s="84" t="s">
        <v>159</v>
      </c>
      <c r="C18" s="197">
        <f>SUM(C15:C17)</f>
        <v>7559.1236099999987</v>
      </c>
      <c r="D18" s="87">
        <f>SUM(D15:D17)</f>
        <v>5551.1740268965004</v>
      </c>
      <c r="E18" s="87">
        <f t="shared" ref="E18:F18" si="2">SUM(E15:E17)</f>
        <v>5605.1469582453501</v>
      </c>
      <c r="F18" s="87">
        <f t="shared" si="2"/>
        <v>3472.9053054745996</v>
      </c>
      <c r="G18" s="87" t="s">
        <v>21</v>
      </c>
      <c r="H18" s="87" t="s">
        <v>21</v>
      </c>
      <c r="J18" s="42"/>
    </row>
    <row r="19" spans="2:10" ht="12" customHeight="1">
      <c r="B19" s="23" t="s">
        <v>291</v>
      </c>
      <c r="C19" s="23"/>
      <c r="D19" s="23"/>
      <c r="E19" s="23"/>
      <c r="F19" s="39"/>
    </row>
    <row r="20" spans="2:10" ht="12" customHeight="1">
      <c r="C20" s="116"/>
    </row>
    <row r="21" spans="2:10" ht="12" customHeight="1">
      <c r="B21" s="268" t="s">
        <v>649</v>
      </c>
      <c r="C21" s="10"/>
      <c r="G21" s="131"/>
    </row>
    <row r="22" spans="2:10" ht="12" customHeight="1"/>
    <row r="23" spans="2:10" ht="22.5" customHeight="1">
      <c r="B23" s="21" t="s">
        <v>160</v>
      </c>
      <c r="C23" s="27" t="s">
        <v>161</v>
      </c>
      <c r="D23" s="27" t="s">
        <v>162</v>
      </c>
      <c r="E23" s="27" t="s">
        <v>163</v>
      </c>
      <c r="H23" s="9"/>
      <c r="I23" s="9"/>
    </row>
    <row r="24" spans="2:10" ht="12" customHeight="1">
      <c r="B24" s="110">
        <v>2023</v>
      </c>
      <c r="C24" s="111">
        <v>867.58083017509011</v>
      </c>
      <c r="D24" s="111">
        <v>88.596152260077318</v>
      </c>
      <c r="E24" s="111">
        <f t="shared" ref="E24:E35" si="3">SUM(C24:D24)</f>
        <v>956.17698243516747</v>
      </c>
      <c r="H24" s="9"/>
      <c r="I24" s="9"/>
    </row>
    <row r="25" spans="2:10" ht="12" customHeight="1">
      <c r="B25" s="110">
        <v>2024</v>
      </c>
      <c r="C25" s="111">
        <v>1592.3515264293667</v>
      </c>
      <c r="D25" s="111">
        <v>72.16712405537173</v>
      </c>
      <c r="E25" s="111">
        <f t="shared" si="3"/>
        <v>1664.5186504847384</v>
      </c>
      <c r="H25" s="9"/>
      <c r="I25" s="9"/>
    </row>
    <row r="26" spans="2:10" ht="12" customHeight="1">
      <c r="B26" s="110">
        <v>2025</v>
      </c>
      <c r="C26" s="111">
        <v>1150.1248383300276</v>
      </c>
      <c r="D26" s="111">
        <v>73.285287184640083</v>
      </c>
      <c r="E26" s="111">
        <f t="shared" si="3"/>
        <v>1223.4101255146677</v>
      </c>
      <c r="H26" s="9"/>
      <c r="I26" s="9"/>
    </row>
    <row r="27" spans="2:10" ht="12" customHeight="1">
      <c r="B27" s="110">
        <v>2026</v>
      </c>
      <c r="C27" s="111">
        <v>573.00773908718816</v>
      </c>
      <c r="D27" s="111">
        <v>77.126841379813925</v>
      </c>
      <c r="E27" s="111">
        <f t="shared" si="3"/>
        <v>650.13458046700202</v>
      </c>
      <c r="H27" s="9"/>
      <c r="I27" s="9"/>
    </row>
    <row r="28" spans="2:10" ht="12" customHeight="1">
      <c r="B28" s="110">
        <v>2027</v>
      </c>
      <c r="C28" s="111">
        <v>645.15886261483467</v>
      </c>
      <c r="D28" s="111">
        <v>81.265389097498527</v>
      </c>
      <c r="E28" s="111">
        <f t="shared" si="3"/>
        <v>726.42425171233322</v>
      </c>
      <c r="H28" s="9"/>
      <c r="I28" s="9"/>
    </row>
    <row r="29" spans="2:10" ht="12" customHeight="1">
      <c r="B29" s="110">
        <v>2028</v>
      </c>
      <c r="C29" s="111">
        <v>661.60676925479231</v>
      </c>
      <c r="D29" s="111">
        <v>84.897030206320977</v>
      </c>
      <c r="E29" s="111">
        <f t="shared" si="3"/>
        <v>746.50379946111332</v>
      </c>
    </row>
    <row r="30" spans="2:10" ht="12" customHeight="1">
      <c r="B30" s="110">
        <v>2029</v>
      </c>
      <c r="C30" s="111">
        <v>686.83290199917349</v>
      </c>
      <c r="D30" s="111">
        <v>89.256585383000683</v>
      </c>
      <c r="E30" s="111">
        <f t="shared" si="3"/>
        <v>776.08948738217418</v>
      </c>
    </row>
    <row r="31" spans="2:10" ht="12" customHeight="1">
      <c r="B31" s="110">
        <v>2030</v>
      </c>
      <c r="C31" s="111">
        <v>301.44583971616248</v>
      </c>
      <c r="D31" s="111">
        <v>95.060605746747413</v>
      </c>
      <c r="E31" s="111">
        <f t="shared" si="3"/>
        <v>396.50644546290988</v>
      </c>
    </row>
    <row r="32" spans="2:10" ht="12" customHeight="1">
      <c r="B32" s="110">
        <v>2031</v>
      </c>
      <c r="C32" s="111">
        <v>288.67958557809237</v>
      </c>
      <c r="D32" s="111">
        <v>101.59424639416125</v>
      </c>
      <c r="E32" s="111">
        <f t="shared" si="3"/>
        <v>390.27383197225362</v>
      </c>
    </row>
    <row r="33" spans="2:10" ht="12" customHeight="1">
      <c r="B33" s="110">
        <v>2032</v>
      </c>
      <c r="C33" s="111">
        <v>305.39026309474104</v>
      </c>
      <c r="D33" s="111">
        <v>97.202605241913631</v>
      </c>
      <c r="E33" s="111">
        <f t="shared" si="3"/>
        <v>402.59286833665465</v>
      </c>
    </row>
    <row r="34" spans="2:10" ht="12" customHeight="1">
      <c r="B34" s="110">
        <v>2033</v>
      </c>
      <c r="C34" s="111">
        <v>275.71434173131757</v>
      </c>
      <c r="D34" s="111">
        <v>95.123210484461538</v>
      </c>
      <c r="E34" s="111">
        <f t="shared" si="3"/>
        <v>370.83755221577911</v>
      </c>
    </row>
    <row r="35" spans="2:10" ht="12" customHeight="1">
      <c r="B35" s="110" t="s">
        <v>164</v>
      </c>
      <c r="C35" s="111">
        <v>651.63300068665296</v>
      </c>
      <c r="D35" s="111">
        <v>265.68066305500031</v>
      </c>
      <c r="E35" s="111">
        <f t="shared" si="3"/>
        <v>917.31366374165327</v>
      </c>
    </row>
    <row r="36" spans="2:10" ht="12" customHeight="1">
      <c r="B36" s="84" t="s">
        <v>22</v>
      </c>
      <c r="C36" s="88">
        <f>SUM(C24:C35)</f>
        <v>7999.5264986974389</v>
      </c>
      <c r="D36" s="88">
        <f>SUM(D24:D35)</f>
        <v>1221.2557404890074</v>
      </c>
      <c r="E36" s="88">
        <f>SUM(E24:E35)</f>
        <v>9220.7822391864465</v>
      </c>
    </row>
    <row r="37" spans="2:10" ht="12" customHeight="1">
      <c r="B37" s="23" t="s">
        <v>702</v>
      </c>
    </row>
    <row r="38" spans="2:10" ht="12" customHeight="1">
      <c r="B38" s="23"/>
      <c r="C38" s="133"/>
    </row>
    <row r="39" spans="2:10" ht="12" customHeight="1"/>
    <row r="40" spans="2:10" ht="12" customHeight="1">
      <c r="B40" s="279" t="s">
        <v>388</v>
      </c>
      <c r="C40" s="279"/>
      <c r="D40" s="280"/>
      <c r="E40" s="280"/>
      <c r="F40" s="281"/>
      <c r="G40" s="281"/>
      <c r="H40" s="281"/>
    </row>
    <row r="41" spans="2:10" ht="12" customHeight="1">
      <c r="B41" s="144"/>
      <c r="C41" s="144"/>
      <c r="D41" s="144"/>
      <c r="E41" s="144"/>
      <c r="F41" s="282"/>
      <c r="G41" s="282"/>
      <c r="H41" s="144"/>
    </row>
    <row r="42" spans="2:10" ht="24">
      <c r="B42" s="21" t="s">
        <v>71</v>
      </c>
      <c r="C42" s="21"/>
      <c r="D42" s="22" t="s">
        <v>165</v>
      </c>
      <c r="E42" s="242" t="s">
        <v>166</v>
      </c>
      <c r="F42" s="22" t="s">
        <v>167</v>
      </c>
      <c r="G42" s="22" t="s">
        <v>168</v>
      </c>
      <c r="H42" s="22" t="s">
        <v>387</v>
      </c>
      <c r="I42" s="112"/>
    </row>
    <row r="43" spans="2:10" ht="12">
      <c r="B43" s="36" t="s">
        <v>96</v>
      </c>
      <c r="C43" s="36"/>
      <c r="D43" s="18" t="s">
        <v>169</v>
      </c>
      <c r="E43" s="283">
        <v>45839</v>
      </c>
      <c r="F43" s="18" t="s">
        <v>686</v>
      </c>
      <c r="G43" s="18" t="s">
        <v>360</v>
      </c>
      <c r="H43" s="19">
        <v>52.314999999999998</v>
      </c>
      <c r="I43" s="112"/>
      <c r="J43" s="43"/>
    </row>
    <row r="44" spans="2:10" ht="12">
      <c r="B44" s="36" t="s">
        <v>78</v>
      </c>
      <c r="C44" s="36"/>
      <c r="D44" s="18" t="s">
        <v>170</v>
      </c>
      <c r="E44" s="283">
        <v>47757</v>
      </c>
      <c r="F44" s="18" t="s">
        <v>686</v>
      </c>
      <c r="G44" s="18" t="s">
        <v>361</v>
      </c>
      <c r="H44" s="19">
        <v>119.482</v>
      </c>
      <c r="I44" s="112"/>
      <c r="J44" s="43"/>
    </row>
    <row r="45" spans="2:10" ht="12">
      <c r="B45" s="36" t="s">
        <v>95</v>
      </c>
      <c r="C45" s="36"/>
      <c r="D45" s="18" t="s">
        <v>170</v>
      </c>
      <c r="E45" s="283">
        <v>50222</v>
      </c>
      <c r="F45" s="18" t="s">
        <v>686</v>
      </c>
      <c r="G45" s="18" t="s">
        <v>362</v>
      </c>
      <c r="H45" s="19">
        <v>89.796999999999997</v>
      </c>
      <c r="I45" s="112"/>
      <c r="J45" s="43"/>
    </row>
    <row r="46" spans="2:10" ht="12">
      <c r="B46" s="36" t="s">
        <v>80</v>
      </c>
      <c r="C46" s="36"/>
      <c r="D46" s="18" t="s">
        <v>170</v>
      </c>
      <c r="E46" s="283">
        <v>48580</v>
      </c>
      <c r="F46" s="18" t="s">
        <v>686</v>
      </c>
      <c r="G46" s="18" t="s">
        <v>363</v>
      </c>
      <c r="H46" s="19">
        <v>228.46799999999999</v>
      </c>
      <c r="I46" s="112"/>
      <c r="J46" s="43"/>
    </row>
    <row r="47" spans="2:10" ht="12">
      <c r="B47" s="36" t="s">
        <v>80</v>
      </c>
      <c r="C47" s="36"/>
      <c r="D47" s="18" t="s">
        <v>700</v>
      </c>
      <c r="E47" s="283">
        <v>46357</v>
      </c>
      <c r="F47" s="18" t="s">
        <v>687</v>
      </c>
      <c r="G47" s="18" t="s">
        <v>364</v>
      </c>
      <c r="H47" s="19">
        <v>29.594000000000001</v>
      </c>
      <c r="I47" s="112"/>
      <c r="J47" s="43"/>
    </row>
    <row r="48" spans="2:10" ht="12">
      <c r="B48" s="36" t="s">
        <v>81</v>
      </c>
      <c r="C48" s="36"/>
      <c r="D48" s="18" t="s">
        <v>170</v>
      </c>
      <c r="E48" s="283">
        <v>49004</v>
      </c>
      <c r="F48" s="18" t="s">
        <v>686</v>
      </c>
      <c r="G48" s="18" t="s">
        <v>365</v>
      </c>
      <c r="H48" s="19">
        <v>842.07899999999995</v>
      </c>
      <c r="I48" s="112"/>
      <c r="J48" s="43"/>
    </row>
    <row r="49" spans="2:10" ht="12">
      <c r="B49" s="36" t="s">
        <v>81</v>
      </c>
      <c r="C49" s="36"/>
      <c r="D49" s="18" t="s">
        <v>700</v>
      </c>
      <c r="E49" s="283">
        <v>47453</v>
      </c>
      <c r="F49" s="18" t="s">
        <v>687</v>
      </c>
      <c r="G49" s="18" t="s">
        <v>366</v>
      </c>
      <c r="H49" s="19">
        <v>209.93199999999999</v>
      </c>
      <c r="I49" s="112"/>
      <c r="J49" s="43"/>
    </row>
    <row r="50" spans="2:10" ht="12">
      <c r="B50" s="36" t="s">
        <v>272</v>
      </c>
      <c r="C50" s="36"/>
      <c r="D50" s="18" t="s">
        <v>171</v>
      </c>
      <c r="E50" s="283">
        <v>50526</v>
      </c>
      <c r="F50" s="18" t="s">
        <v>686</v>
      </c>
      <c r="G50" s="18" t="s">
        <v>367</v>
      </c>
      <c r="H50" s="19">
        <v>295.97500000000002</v>
      </c>
      <c r="I50" s="112"/>
      <c r="J50" s="43"/>
    </row>
    <row r="51" spans="2:10" ht="12">
      <c r="B51" s="36" t="s">
        <v>273</v>
      </c>
      <c r="C51" s="36"/>
      <c r="D51" s="18" t="s">
        <v>171</v>
      </c>
      <c r="E51" s="283">
        <v>50771</v>
      </c>
      <c r="F51" s="18" t="s">
        <v>686</v>
      </c>
      <c r="G51" s="18" t="s">
        <v>368</v>
      </c>
      <c r="H51" s="19">
        <v>281.13099999999997</v>
      </c>
      <c r="I51" s="112"/>
      <c r="J51" s="43"/>
    </row>
    <row r="52" spans="2:10" ht="12">
      <c r="B52" s="36" t="s">
        <v>175</v>
      </c>
      <c r="C52" s="36"/>
      <c r="D52" s="18" t="s">
        <v>700</v>
      </c>
      <c r="E52" s="283">
        <v>45413</v>
      </c>
      <c r="F52" s="18" t="s">
        <v>687</v>
      </c>
      <c r="G52" s="18" t="s">
        <v>356</v>
      </c>
      <c r="H52" s="19">
        <v>314.13099999999997</v>
      </c>
      <c r="I52" s="112"/>
      <c r="J52" s="43"/>
    </row>
    <row r="53" spans="2:10" ht="12">
      <c r="B53" s="36" t="s">
        <v>175</v>
      </c>
      <c r="C53" s="36"/>
      <c r="D53" s="18" t="s">
        <v>700</v>
      </c>
      <c r="E53" s="283">
        <v>46143</v>
      </c>
      <c r="F53" s="18" t="s">
        <v>687</v>
      </c>
      <c r="G53" s="18" t="s">
        <v>369</v>
      </c>
      <c r="H53" s="19">
        <v>171.03200000000001</v>
      </c>
      <c r="I53" s="112"/>
      <c r="J53" s="43"/>
    </row>
    <row r="54" spans="2:10" ht="12">
      <c r="B54" s="36" t="s">
        <v>175</v>
      </c>
      <c r="C54" s="36"/>
      <c r="D54" s="18" t="s">
        <v>700</v>
      </c>
      <c r="E54" s="283">
        <v>46143</v>
      </c>
      <c r="F54" s="18" t="s">
        <v>689</v>
      </c>
      <c r="G54" s="18" t="s">
        <v>370</v>
      </c>
      <c r="H54" s="19">
        <v>235.26599999999999</v>
      </c>
      <c r="I54" s="112"/>
      <c r="J54" s="43"/>
    </row>
    <row r="55" spans="2:10" ht="12">
      <c r="B55" s="36" t="s">
        <v>175</v>
      </c>
      <c r="C55" s="36"/>
      <c r="D55" s="18" t="s">
        <v>700</v>
      </c>
      <c r="E55" s="283">
        <v>46508</v>
      </c>
      <c r="F55" s="18" t="s">
        <v>687</v>
      </c>
      <c r="G55" s="18" t="s">
        <v>371</v>
      </c>
      <c r="H55" s="19">
        <v>187.072</v>
      </c>
      <c r="I55" s="112"/>
      <c r="J55" s="43"/>
    </row>
    <row r="56" spans="2:10" ht="12">
      <c r="B56" s="36" t="s">
        <v>175</v>
      </c>
      <c r="C56" s="36"/>
      <c r="D56" s="18" t="s">
        <v>700</v>
      </c>
      <c r="E56" s="283">
        <v>46997</v>
      </c>
      <c r="F56" s="18" t="s">
        <v>689</v>
      </c>
      <c r="G56" s="18" t="s">
        <v>372</v>
      </c>
      <c r="H56" s="19">
        <v>134.209</v>
      </c>
      <c r="I56" s="112"/>
      <c r="J56" s="43"/>
    </row>
    <row r="57" spans="2:10" ht="12">
      <c r="B57" s="36" t="s">
        <v>175</v>
      </c>
      <c r="C57" s="36"/>
      <c r="D57" s="18" t="s">
        <v>700</v>
      </c>
      <c r="E57" s="283">
        <v>46997</v>
      </c>
      <c r="F57" s="18" t="s">
        <v>689</v>
      </c>
      <c r="G57" s="18" t="s">
        <v>372</v>
      </c>
      <c r="H57" s="19">
        <v>61.003999999999998</v>
      </c>
      <c r="I57" s="112"/>
      <c r="J57" s="43"/>
    </row>
    <row r="58" spans="2:10" ht="12">
      <c r="B58" s="36" t="s">
        <v>175</v>
      </c>
      <c r="C58" s="36"/>
      <c r="D58" s="18" t="s">
        <v>700</v>
      </c>
      <c r="E58" s="283">
        <v>47178</v>
      </c>
      <c r="F58" s="18" t="s">
        <v>690</v>
      </c>
      <c r="G58" s="18" t="s">
        <v>373</v>
      </c>
      <c r="H58" s="19">
        <v>1052.0519999999999</v>
      </c>
      <c r="I58" s="112"/>
      <c r="J58" s="43"/>
    </row>
    <row r="59" spans="2:10" ht="12">
      <c r="B59" s="36" t="s">
        <v>175</v>
      </c>
      <c r="C59" s="36"/>
      <c r="D59" s="18" t="s">
        <v>700</v>
      </c>
      <c r="E59" s="283">
        <v>46905</v>
      </c>
      <c r="F59" s="18" t="s">
        <v>687</v>
      </c>
      <c r="G59" s="18" t="s">
        <v>374</v>
      </c>
      <c r="H59" s="19">
        <v>77.688999999999993</v>
      </c>
      <c r="I59" s="112"/>
      <c r="J59" s="43"/>
    </row>
    <row r="60" spans="2:10" ht="12">
      <c r="B60" s="36" t="s">
        <v>176</v>
      </c>
      <c r="C60" s="36"/>
      <c r="D60" s="18" t="s">
        <v>170</v>
      </c>
      <c r="E60" s="283">
        <v>48519</v>
      </c>
      <c r="F60" s="18" t="s">
        <v>686</v>
      </c>
      <c r="G60" s="18" t="s">
        <v>375</v>
      </c>
      <c r="H60" s="19">
        <v>121.816</v>
      </c>
      <c r="I60" s="112"/>
      <c r="J60" s="43"/>
    </row>
    <row r="61" spans="2:10" ht="12">
      <c r="B61" s="36" t="s">
        <v>176</v>
      </c>
      <c r="C61" s="36"/>
      <c r="D61" s="18" t="s">
        <v>700</v>
      </c>
      <c r="E61" s="283">
        <v>47788</v>
      </c>
      <c r="F61" s="18" t="s">
        <v>686</v>
      </c>
      <c r="G61" s="18" t="s">
        <v>376</v>
      </c>
      <c r="H61" s="19">
        <v>39.451000000000001</v>
      </c>
      <c r="I61" s="112"/>
      <c r="J61" s="43"/>
    </row>
    <row r="62" spans="2:10" ht="12">
      <c r="B62" s="36" t="s">
        <v>177</v>
      </c>
      <c r="C62" s="36"/>
      <c r="D62" s="18" t="s">
        <v>170</v>
      </c>
      <c r="E62" s="283">
        <v>49096</v>
      </c>
      <c r="F62" s="18" t="s">
        <v>686</v>
      </c>
      <c r="G62" s="18" t="s">
        <v>377</v>
      </c>
      <c r="H62" s="19">
        <v>649.31700000000001</v>
      </c>
      <c r="I62" s="112"/>
      <c r="J62" s="43"/>
    </row>
    <row r="63" spans="2:10" ht="12">
      <c r="B63" s="36" t="s">
        <v>177</v>
      </c>
      <c r="C63" s="36"/>
      <c r="D63" s="18" t="s">
        <v>700</v>
      </c>
      <c r="E63" s="283">
        <v>47635</v>
      </c>
      <c r="F63" s="18" t="s">
        <v>687</v>
      </c>
      <c r="G63" s="18" t="s">
        <v>378</v>
      </c>
      <c r="H63" s="19">
        <v>163.864</v>
      </c>
      <c r="I63" s="112"/>
      <c r="J63" s="43"/>
    </row>
    <row r="64" spans="2:10" ht="12">
      <c r="B64" s="36" t="s">
        <v>178</v>
      </c>
      <c r="C64" s="36"/>
      <c r="D64" s="18" t="s">
        <v>171</v>
      </c>
      <c r="E64" s="283">
        <v>50710</v>
      </c>
      <c r="F64" s="18" t="s">
        <v>686</v>
      </c>
      <c r="G64" s="18" t="s">
        <v>379</v>
      </c>
      <c r="H64" s="19">
        <v>190.23500000000001</v>
      </c>
      <c r="I64" s="112"/>
      <c r="J64" s="43"/>
    </row>
    <row r="65" spans="2:10" ht="12">
      <c r="B65" s="36" t="s">
        <v>179</v>
      </c>
      <c r="C65" s="36"/>
      <c r="D65" s="18" t="s">
        <v>700</v>
      </c>
      <c r="E65" s="283">
        <v>45292</v>
      </c>
      <c r="F65" s="18" t="s">
        <v>688</v>
      </c>
      <c r="G65" s="18" t="s">
        <v>703</v>
      </c>
      <c r="H65" s="19">
        <v>669.351</v>
      </c>
      <c r="I65" s="112"/>
      <c r="J65" s="43"/>
    </row>
    <row r="66" spans="2:10" ht="12">
      <c r="B66" s="36" t="s">
        <v>179</v>
      </c>
      <c r="C66" s="36"/>
      <c r="D66" s="18" t="s">
        <v>171</v>
      </c>
      <c r="E66" s="283">
        <v>52413</v>
      </c>
      <c r="F66" s="18" t="s">
        <v>686</v>
      </c>
      <c r="G66" s="18" t="s">
        <v>381</v>
      </c>
      <c r="H66" s="19">
        <v>384.904</v>
      </c>
      <c r="I66" s="112"/>
      <c r="J66" s="43"/>
    </row>
    <row r="67" spans="2:10" ht="12">
      <c r="B67" s="36" t="s">
        <v>317</v>
      </c>
      <c r="C67" s="36"/>
      <c r="D67" s="18" t="s">
        <v>382</v>
      </c>
      <c r="E67" s="283">
        <v>45839</v>
      </c>
      <c r="F67" s="18" t="s">
        <v>687</v>
      </c>
      <c r="G67" s="18" t="s">
        <v>383</v>
      </c>
      <c r="H67" s="19">
        <v>219.07499999999999</v>
      </c>
      <c r="I67" s="112"/>
      <c r="J67" s="43"/>
    </row>
    <row r="68" spans="2:10" ht="27" customHeight="1">
      <c r="B68" s="36" t="s">
        <v>180</v>
      </c>
      <c r="C68" s="36"/>
      <c r="D68" s="18" t="s">
        <v>699</v>
      </c>
      <c r="E68" s="283">
        <v>45139</v>
      </c>
      <c r="F68" s="18" t="s">
        <v>689</v>
      </c>
      <c r="G68" s="18" t="s">
        <v>384</v>
      </c>
      <c r="H68" s="19">
        <v>163.31299999999999</v>
      </c>
      <c r="J68" s="43"/>
    </row>
    <row r="69" spans="2:10" ht="12">
      <c r="B69" s="36" t="s">
        <v>180</v>
      </c>
      <c r="C69" s="36"/>
      <c r="D69" s="18" t="s">
        <v>700</v>
      </c>
      <c r="E69" s="283">
        <v>45809</v>
      </c>
      <c r="F69" s="18" t="s">
        <v>689</v>
      </c>
      <c r="G69" s="18" t="s">
        <v>380</v>
      </c>
      <c r="H69" s="19">
        <v>654.40099999999995</v>
      </c>
      <c r="J69" s="43"/>
    </row>
    <row r="70" spans="2:10" ht="12">
      <c r="B70" s="36" t="s">
        <v>181</v>
      </c>
      <c r="C70" s="36"/>
      <c r="D70" s="18" t="s">
        <v>182</v>
      </c>
      <c r="E70" s="283">
        <v>45505</v>
      </c>
      <c r="F70" s="18" t="s">
        <v>689</v>
      </c>
      <c r="G70" s="18" t="s">
        <v>385</v>
      </c>
      <c r="H70" s="19">
        <v>521.77</v>
      </c>
      <c r="I70" s="112"/>
      <c r="J70" s="43"/>
    </row>
    <row r="71" spans="2:10" ht="12">
      <c r="B71" s="36" t="s">
        <v>181</v>
      </c>
      <c r="C71" s="36"/>
      <c r="D71" s="18" t="s">
        <v>182</v>
      </c>
      <c r="E71" s="283">
        <v>44927</v>
      </c>
      <c r="F71" s="18" t="s">
        <v>689</v>
      </c>
      <c r="G71" s="18" t="s">
        <v>386</v>
      </c>
      <c r="H71" s="19">
        <v>279.58300000000003</v>
      </c>
      <c r="I71" s="112"/>
      <c r="J71" s="43"/>
    </row>
    <row r="72" spans="2:10" ht="12">
      <c r="B72" s="89" t="s">
        <v>153</v>
      </c>
      <c r="C72" s="89"/>
      <c r="D72" s="284"/>
      <c r="E72" s="284"/>
      <c r="F72" s="284"/>
      <c r="G72" s="285"/>
      <c r="H72" s="286">
        <f>SUM(H43:H71)</f>
        <v>8438.3079999999991</v>
      </c>
      <c r="I72" s="112"/>
      <c r="J72" s="43"/>
    </row>
    <row r="73" spans="2:10" ht="12">
      <c r="B73" s="36" t="s">
        <v>89</v>
      </c>
      <c r="C73" s="36"/>
      <c r="D73" s="18" t="s">
        <v>170</v>
      </c>
      <c r="E73" s="283">
        <v>45658</v>
      </c>
      <c r="F73" s="18" t="s">
        <v>686</v>
      </c>
      <c r="G73" s="18" t="s">
        <v>347</v>
      </c>
      <c r="H73" s="19">
        <v>6.9585944331000009</v>
      </c>
      <c r="I73" s="112"/>
      <c r="J73" s="43"/>
    </row>
    <row r="74" spans="2:10" ht="12">
      <c r="B74" s="36" t="s">
        <v>88</v>
      </c>
      <c r="C74" s="36"/>
      <c r="D74" s="18" t="s">
        <v>700</v>
      </c>
      <c r="E74" s="283">
        <v>49157</v>
      </c>
      <c r="F74" s="18" t="s">
        <v>687</v>
      </c>
      <c r="G74" s="18" t="s">
        <v>348</v>
      </c>
      <c r="H74" s="19">
        <v>125.724620945</v>
      </c>
      <c r="I74" s="112"/>
      <c r="J74" s="43"/>
    </row>
    <row r="75" spans="2:10" ht="12">
      <c r="B75" s="36" t="s">
        <v>88</v>
      </c>
      <c r="C75" s="36"/>
      <c r="D75" s="18" t="s">
        <v>170</v>
      </c>
      <c r="E75" s="283">
        <v>49706</v>
      </c>
      <c r="F75" s="18" t="s">
        <v>686</v>
      </c>
      <c r="G75" s="18" t="s">
        <v>349</v>
      </c>
      <c r="H75" s="19">
        <v>234.14185337000001</v>
      </c>
      <c r="I75" s="112"/>
      <c r="J75" s="43"/>
    </row>
    <row r="76" spans="2:10" ht="12">
      <c r="B76" s="36" t="s">
        <v>88</v>
      </c>
      <c r="C76" s="36"/>
      <c r="D76" s="18" t="s">
        <v>700</v>
      </c>
      <c r="E76" s="283">
        <v>48183</v>
      </c>
      <c r="F76" s="18" t="s">
        <v>687</v>
      </c>
      <c r="G76" s="18" t="s">
        <v>350</v>
      </c>
      <c r="H76" s="19">
        <v>68.243919015000003</v>
      </c>
      <c r="I76" s="112"/>
      <c r="J76" s="43"/>
    </row>
    <row r="77" spans="2:10" ht="12">
      <c r="B77" s="36" t="s">
        <v>88</v>
      </c>
      <c r="C77" s="36"/>
      <c r="D77" s="18" t="s">
        <v>171</v>
      </c>
      <c r="E77" s="283">
        <v>50587</v>
      </c>
      <c r="F77" s="18" t="s">
        <v>686</v>
      </c>
      <c r="G77" s="18" t="s">
        <v>351</v>
      </c>
      <c r="H77" s="19">
        <v>147.44609763</v>
      </c>
      <c r="I77" s="112"/>
      <c r="J77" s="43"/>
    </row>
    <row r="78" spans="2:10" ht="12">
      <c r="B78" s="36" t="s">
        <v>88</v>
      </c>
      <c r="C78" s="36"/>
      <c r="D78" s="18" t="s">
        <v>170</v>
      </c>
      <c r="E78" s="283">
        <v>49096</v>
      </c>
      <c r="F78" s="18" t="s">
        <v>686</v>
      </c>
      <c r="G78" s="18" t="s">
        <v>352</v>
      </c>
      <c r="H78" s="19">
        <v>111.12660226000001</v>
      </c>
      <c r="I78" s="112"/>
      <c r="J78" s="43"/>
    </row>
    <row r="79" spans="2:10" ht="12">
      <c r="B79" s="36" t="s">
        <v>183</v>
      </c>
      <c r="C79" s="36"/>
      <c r="D79" s="18" t="s">
        <v>170</v>
      </c>
      <c r="E79" s="283">
        <v>49096</v>
      </c>
      <c r="F79" s="18" t="s">
        <v>686</v>
      </c>
      <c r="G79" s="18" t="s">
        <v>353</v>
      </c>
      <c r="H79" s="19">
        <v>96.624505534999997</v>
      </c>
      <c r="I79" s="112"/>
      <c r="J79" s="43"/>
    </row>
    <row r="80" spans="2:10" ht="12">
      <c r="B80" s="36" t="s">
        <v>184</v>
      </c>
      <c r="C80" s="36"/>
      <c r="D80" s="18" t="s">
        <v>700</v>
      </c>
      <c r="E80" s="283">
        <v>48670</v>
      </c>
      <c r="F80" s="18" t="s">
        <v>686</v>
      </c>
      <c r="G80" s="18" t="s">
        <v>354</v>
      </c>
      <c r="H80" s="19">
        <v>64.209382444999989</v>
      </c>
      <c r="I80" s="112"/>
      <c r="J80" s="43"/>
    </row>
    <row r="81" spans="2:10" ht="12">
      <c r="B81" s="36" t="s">
        <v>184</v>
      </c>
      <c r="C81" s="36"/>
      <c r="D81" s="18" t="s">
        <v>170</v>
      </c>
      <c r="E81" s="283">
        <v>49400</v>
      </c>
      <c r="F81" s="18" t="s">
        <v>686</v>
      </c>
      <c r="G81" s="18" t="s">
        <v>355</v>
      </c>
      <c r="H81" s="19">
        <v>217.11276373999999</v>
      </c>
      <c r="I81" s="112"/>
      <c r="J81" s="43"/>
    </row>
    <row r="82" spans="2:10" ht="12">
      <c r="B82" s="36" t="s">
        <v>318</v>
      </c>
      <c r="C82" s="36"/>
      <c r="D82" s="18" t="s">
        <v>700</v>
      </c>
      <c r="E82" s="283">
        <v>45231</v>
      </c>
      <c r="F82" s="18" t="s">
        <v>688</v>
      </c>
      <c r="G82" s="18" t="s">
        <v>356</v>
      </c>
      <c r="H82" s="19">
        <v>25.08337671</v>
      </c>
      <c r="I82" s="112"/>
      <c r="J82" s="43"/>
    </row>
    <row r="83" spans="2:10" ht="12">
      <c r="B83" s="36" t="s">
        <v>318</v>
      </c>
      <c r="C83" s="144"/>
      <c r="D83" s="18" t="s">
        <v>171</v>
      </c>
      <c r="E83" s="283">
        <v>52718</v>
      </c>
      <c r="F83" s="18" t="s">
        <v>686</v>
      </c>
      <c r="G83" s="18" t="s">
        <v>357</v>
      </c>
      <c r="H83" s="19">
        <v>232.07206461499999</v>
      </c>
      <c r="I83" s="112"/>
      <c r="J83" s="43"/>
    </row>
    <row r="84" spans="2:10" ht="12">
      <c r="B84" s="89" t="s">
        <v>185</v>
      </c>
      <c r="C84" s="89"/>
      <c r="D84" s="284"/>
      <c r="E84" s="284"/>
      <c r="F84" s="284"/>
      <c r="G84" s="285"/>
      <c r="H84" s="286">
        <f>SUM(H72:H83)</f>
        <v>9767.051780698097</v>
      </c>
      <c r="I84" s="112"/>
      <c r="J84" s="267"/>
    </row>
    <row r="85" spans="2:10" ht="12" customHeight="1">
      <c r="B85" s="23" t="s">
        <v>186</v>
      </c>
      <c r="I85" s="112"/>
    </row>
    <row r="86" spans="2:10" ht="12" customHeight="1">
      <c r="B86" s="23" t="s">
        <v>187</v>
      </c>
    </row>
    <row r="87" spans="2:10" ht="12" customHeight="1"/>
  </sheetData>
  <pageMargins left="0.511811024" right="0.511811024" top="0.78740157499999996" bottom="0.78740157499999996" header="0.31496062000000002" footer="0.31496062000000002"/>
  <pageSetup paperSize="9" orientation="portrait" horizontalDpi="300" verticalDpi="300" r:id="rId1"/>
  <ignoredErrors>
    <ignoredError sqref="E24:E36 C12:H1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61FA-37AA-4B30-BACC-3412A68945C1}">
  <sheetPr>
    <tabColor rgb="FF26395F"/>
  </sheetPr>
  <dimension ref="A1:T30"/>
  <sheetViews>
    <sheetView showGridLines="0" workbookViewId="0"/>
  </sheetViews>
  <sheetFormatPr defaultColWidth="0" defaultRowHeight="12" customHeight="1" zeroHeight="1"/>
  <cols>
    <col min="1" max="1" width="5.453125" style="7" customWidth="1"/>
    <col min="2" max="19" width="9.1796875" customWidth="1"/>
    <col min="20" max="20" width="4.7265625" customWidth="1"/>
    <col min="21" max="16384" width="9.1796875" hidden="1"/>
  </cols>
  <sheetData>
    <row r="1" spans="1:19" ht="12" customHeight="1">
      <c r="A1" s="7" t="s">
        <v>188</v>
      </c>
    </row>
    <row r="2" spans="1:19" ht="12" customHeight="1"/>
    <row r="3" spans="1:19" ht="12" customHeight="1"/>
    <row r="4" spans="1:19" ht="12" customHeight="1"/>
    <row r="5" spans="1:19" ht="12" customHeight="1"/>
    <row r="6" spans="1:19" s="7" customFormat="1" ht="12" customHeight="1">
      <c r="B6" s="75" t="s">
        <v>701</v>
      </c>
      <c r="C6" s="82"/>
      <c r="D6" s="82"/>
      <c r="E6" s="82"/>
      <c r="F6" s="82"/>
      <c r="G6" s="82"/>
      <c r="H6" s="82"/>
      <c r="I6" s="82"/>
      <c r="J6" s="82"/>
      <c r="K6" s="82"/>
      <c r="L6" s="82"/>
      <c r="M6" s="82"/>
      <c r="N6" s="82"/>
      <c r="O6" s="82"/>
      <c r="P6" s="82"/>
      <c r="Q6" s="82"/>
      <c r="R6" s="82"/>
      <c r="S6" s="82"/>
    </row>
    <row r="7" spans="1:19" ht="12" customHeight="1"/>
    <row r="8" spans="1:19" ht="12" customHeight="1"/>
    <row r="9" spans="1:19" ht="12" customHeight="1"/>
    <row r="10" spans="1:19" ht="12" customHeight="1"/>
    <row r="11" spans="1:19" ht="12" customHeight="1"/>
    <row r="12" spans="1:19" ht="12" customHeight="1"/>
    <row r="13" spans="1:19" ht="12" customHeight="1"/>
    <row r="14" spans="1:19" ht="12" customHeight="1"/>
    <row r="15" spans="1:19" ht="12" customHeight="1"/>
    <row r="16" spans="1:1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7" ma:contentTypeDescription="Criar um novo documento." ma:contentTypeScope="" ma:versionID="aa2cdc39e608e7e34de1ef87be316197">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d127cc8be0bd5c806872564ee43cc9fa"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73576A-F752-4A4B-8B8B-23D373E4E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5F4497-E55F-4AAD-9D61-61023F58DEC0}">
  <ds:schemaRefs>
    <ds:schemaRef ds:uri="http://schemas.microsoft.com/sharepoint/v3/contenttype/forms"/>
  </ds:schemaRefs>
</ds:datastoreItem>
</file>

<file path=customXml/itemProps3.xml><?xml version="1.0" encoding="utf-8"?>
<ds:datastoreItem xmlns:ds="http://schemas.openxmlformats.org/officeDocument/2006/customXml" ds:itemID="{502DA7D8-0260-4A6B-9C07-6DA4D962BBD7}">
  <ds:schemaRefs>
    <ds:schemaRef ds:uri="http://schemas.microsoft.com/office/2006/metadata/properties"/>
    <ds:schemaRef ds:uri="http://schemas.microsoft.com/office/infopath/2007/PartnerControls"/>
    <ds:schemaRef ds:uri="7446d943-6735-4f65-a92c-e33387c6efba"/>
    <ds:schemaRef ds:uri="01b2a052-d4e2-49c7-b291-f21febf6613e"/>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Disclaimer</vt:lpstr>
      <vt:lpstr>Complex Overview</vt:lpstr>
      <vt:lpstr>Development Program</vt:lpstr>
      <vt:lpstr>Energy Portfolio</vt:lpstr>
      <vt:lpstr>Operational KPIs</vt:lpstr>
      <vt:lpstr>Financials KPIs</vt:lpstr>
      <vt:lpstr>Pipoca 17 e 16</vt:lpstr>
      <vt:lpstr>Indebtedness</vt:lpstr>
      <vt:lpstr>Asset Structure</vt:lpstr>
      <vt:lpstr>Operational Power Plants</vt:lpstr>
      <vt:lpstr>P&amp;L</vt:lpstr>
      <vt:lpstr>Balance Sheet</vt:lpstr>
      <vt:lpstr>Notes - Net Op. Revenue </vt:lpstr>
      <vt:lpstr>'Complex Overview'!_Hlk2787261</vt:lpstr>
      <vt:lpstr>'Development Program'!_Hlk2787261</vt:lpstr>
      <vt:lpstr>Disclaimer!Print_Area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Aline Biazin</dc:creator>
  <cp:keywords/>
  <dc:description/>
  <cp:lastModifiedBy>Ramiro Pandullo</cp:lastModifiedBy>
  <cp:revision/>
  <dcterms:created xsi:type="dcterms:W3CDTF">2019-08-28T22:29:54Z</dcterms:created>
  <dcterms:modified xsi:type="dcterms:W3CDTF">2024-06-14T17:38:54Z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6fd6e43b-3458-4ba3-b7ae-bacd0985bbb5</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0x0101005E0B370FF39926438992CA2E56ECF9A5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ediaServiceImageTags">
    <vt:lpwstr/>
  </property>
</Properties>
</file>