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defaultThemeVersion="124226"/>
  <mc:AlternateContent xmlns:mc="http://schemas.openxmlformats.org/markup-compatibility/2006">
    <mc:Choice Requires="x15">
      <x15ac:absPath xmlns:x15ac="http://schemas.microsoft.com/office/spreadsheetml/2010/11/ac" url="K:\RI\6. Dados Operacionais\Planilhas Site\"/>
    </mc:Choice>
  </mc:AlternateContent>
  <xr:revisionPtr revIDLastSave="0" documentId="13_ncr:1_{C818F12B-6191-4821-96D4-F7C775D8958F}" xr6:coauthVersionLast="47" xr6:coauthVersionMax="47" xr10:uidLastSave="{00000000-0000-0000-0000-000000000000}"/>
  <bookViews>
    <workbookView xWindow="-110" yWindow="-110" windowWidth="19420" windowHeight="10300" tabRatio="689" firstSheet="1" activeTab="1" xr2:uid="{00000000-000D-0000-FFFF-FFFF00000000}"/>
  </bookViews>
  <sheets>
    <sheet name="Language" sheetId="4" state="hidden" r:id="rId1"/>
    <sheet name="Cover" sheetId="5" r:id="rId2"/>
    <sheet name="Consolidated" sheetId="6" r:id="rId3"/>
    <sheet name="Toll Roads" sheetId="12" r:id="rId4"/>
    <sheet name="Energy" sheetId="2" r:id="rId5"/>
    <sheet name="Parent Company" sheetId="16" r:id="rId6"/>
    <sheet name="Debt" sheetId="39" r:id="rId7"/>
  </sheets>
  <definedNames>
    <definedName name="_xlnm._FilterDatabase" localSheetId="6" hidden="1">Debt!$B$4:$H$38</definedName>
    <definedName name="_xlnm.Print_Area" localSheetId="2">Consolidated!$A$83:$AC$315</definedName>
    <definedName name="_xlnm.Print_Area" localSheetId="6">Debt!$B$2:$H$37</definedName>
    <definedName name="_xlnm.Print_Area" localSheetId="4">Energy!$A$70:$AC$263</definedName>
    <definedName name="_xlnm.Print_Area" localSheetId="5">'Parent Company'!$A$5:$AC$47</definedName>
    <definedName name="_xlnm.Print_Area" localSheetId="3">'Toll Roads'!$A$85:$AC$433</definedName>
    <definedName name="_xlnm.Print_Titles" localSheetId="2">Consolidated!$A:$A,Consolidated!$1:$5</definedName>
    <definedName name="_xlnm.Print_Titles" localSheetId="4">Energy!$A:$A,Energy!$1:$5</definedName>
    <definedName name="_xlnm.Print_Titles" localSheetId="5">'Parent Company'!$A:$A,'Parent Company'!$1:$5</definedName>
    <definedName name="_xlnm.Print_Titles" localSheetId="3">'Toll Roads'!$A:$A,'Toll Roads'!$1:$5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K19" i="16" l="1"/>
  <c r="CG35" i="16"/>
  <c r="CK305" i="12"/>
  <c r="CK206" i="2"/>
  <c r="CN164" i="2"/>
  <c r="CK163" i="2"/>
  <c r="CK154" i="2" s="1"/>
  <c r="CN127" i="2"/>
  <c r="CN94" i="2"/>
  <c r="CN111" i="2"/>
  <c r="CK104" i="2"/>
  <c r="CK101" i="2" s="1"/>
  <c r="CN77" i="2"/>
  <c r="CK337" i="12"/>
  <c r="CK338" i="12"/>
  <c r="CN348" i="12"/>
  <c r="CN380" i="12" s="1"/>
  <c r="CK341" i="12"/>
  <c r="CK340" i="12"/>
  <c r="CK328" i="12"/>
  <c r="CK327" i="12" s="1"/>
  <c r="CK281" i="12"/>
  <c r="CK278" i="12"/>
  <c r="CN274" i="12"/>
  <c r="CK267" i="12"/>
  <c r="CK266" i="12"/>
  <c r="CK257" i="12"/>
  <c r="CK241" i="12"/>
  <c r="CK231" i="12"/>
  <c r="CN217" i="12"/>
  <c r="CK214" i="12"/>
  <c r="CK210" i="12"/>
  <c r="CK197" i="12"/>
  <c r="CK196" i="12"/>
  <c r="CK186" i="12"/>
  <c r="CK178" i="12"/>
  <c r="CK175" i="12"/>
  <c r="CK160" i="12"/>
  <c r="CK157" i="12"/>
  <c r="CK136" i="12"/>
  <c r="CK128" i="12"/>
  <c r="CN116" i="12"/>
  <c r="CK113" i="12"/>
  <c r="CK111" i="12"/>
  <c r="CN427" i="12"/>
  <c r="CK96" i="12"/>
  <c r="CK172" i="6"/>
  <c r="CN238" i="6"/>
  <c r="CK169" i="6"/>
  <c r="CK120" i="6"/>
  <c r="CK116" i="6"/>
  <c r="CK111" i="6"/>
  <c r="CK109" i="6"/>
  <c r="CK107" i="6"/>
  <c r="CK106" i="6"/>
  <c r="CK103" i="6"/>
  <c r="CK99" i="6"/>
  <c r="CK175" i="6" s="1"/>
  <c r="CK207" i="6" s="1"/>
  <c r="CK98" i="6"/>
  <c r="CK95" i="6"/>
  <c r="CK94" i="6"/>
  <c r="CK86" i="6"/>
  <c r="CK34" i="16"/>
  <c r="CK66" i="2"/>
  <c r="CK65" i="2"/>
  <c r="CK64" i="2"/>
  <c r="CK57" i="2"/>
  <c r="CN40" i="2"/>
  <c r="CK36" i="2"/>
  <c r="CK34" i="2"/>
  <c r="CK33" i="2"/>
  <c r="CK32" i="2"/>
  <c r="CK27" i="2"/>
  <c r="CK23" i="2"/>
  <c r="CK229" i="2" s="1"/>
  <c r="CK22" i="2"/>
  <c r="CN20" i="2"/>
  <c r="CK19" i="2"/>
  <c r="CK16" i="2"/>
  <c r="CK12" i="2"/>
  <c r="CK9" i="2"/>
  <c r="CK8" i="2"/>
  <c r="CK80" i="12"/>
  <c r="CK79" i="12"/>
  <c r="CK74" i="12"/>
  <c r="CK72" i="12"/>
  <c r="CK69" i="12"/>
  <c r="CK68" i="12"/>
  <c r="CK59" i="12"/>
  <c r="CK56" i="12"/>
  <c r="CK54" i="12"/>
  <c r="CK50" i="12"/>
  <c r="CK48" i="12"/>
  <c r="CK45" i="12"/>
  <c r="CK41" i="12"/>
  <c r="CK39" i="12"/>
  <c r="CK34" i="12"/>
  <c r="CK33" i="12"/>
  <c r="CK29" i="12"/>
  <c r="CK27" i="12"/>
  <c r="CK24" i="12"/>
  <c r="CK388" i="12" s="1"/>
  <c r="CK23" i="12"/>
  <c r="CN21" i="12"/>
  <c r="CK19" i="12"/>
  <c r="CK13" i="12"/>
  <c r="CK11" i="12"/>
  <c r="CK10" i="12"/>
  <c r="CK9" i="12"/>
  <c r="CN189" i="6"/>
  <c r="CK187" i="6"/>
  <c r="CK215" i="2" s="1"/>
  <c r="CN360" i="12"/>
  <c r="CK182" i="6"/>
  <c r="CK359" i="12" s="1"/>
  <c r="CK181" i="6"/>
  <c r="CK358" i="12" s="1"/>
  <c r="CN178" i="6"/>
  <c r="CK76" i="6"/>
  <c r="CK70" i="6"/>
  <c r="CK68" i="6"/>
  <c r="CK66" i="6"/>
  <c r="CK65" i="6"/>
  <c r="CK64" i="6"/>
  <c r="CK59" i="6"/>
  <c r="CK56" i="6"/>
  <c r="CK54" i="6"/>
  <c r="CK53" i="6"/>
  <c r="CK52" i="6"/>
  <c r="CK51" i="6"/>
  <c r="CK48" i="6"/>
  <c r="CK42" i="6"/>
  <c r="CK41" i="6"/>
  <c r="CK40" i="6"/>
  <c r="CK37" i="6"/>
  <c r="CK33" i="6"/>
  <c r="CK32" i="6"/>
  <c r="CN230" i="6"/>
  <c r="CK26" i="6"/>
  <c r="CK229" i="6" s="1"/>
  <c r="CK25" i="6"/>
  <c r="CK22" i="6"/>
  <c r="CK20" i="6"/>
  <c r="CK19" i="6"/>
  <c r="CK18" i="6"/>
  <c r="CK15" i="6"/>
  <c r="CK14" i="6"/>
  <c r="CK12" i="6"/>
  <c r="CK10" i="6"/>
  <c r="CK40" i="16"/>
  <c r="CK26" i="16"/>
  <c r="CO47" i="16"/>
  <c r="CN47" i="16"/>
  <c r="CM47" i="16"/>
  <c r="CL47" i="16"/>
  <c r="CK47" i="16"/>
  <c r="CO38" i="16"/>
  <c r="CL38" i="16"/>
  <c r="CM38" i="16"/>
  <c r="CO30" i="16"/>
  <c r="CM30" i="16"/>
  <c r="CL30" i="16"/>
  <c r="CO20" i="16"/>
  <c r="CM20" i="16"/>
  <c r="CL20" i="16"/>
  <c r="CO28" i="16"/>
  <c r="CO27" i="16" s="1"/>
  <c r="CM28" i="16"/>
  <c r="CM27" i="16" s="1"/>
  <c r="CL28" i="16"/>
  <c r="CL27" i="16" s="1"/>
  <c r="CM13" i="16"/>
  <c r="CM17" i="16" s="1"/>
  <c r="CL13" i="16"/>
  <c r="CL17" i="16" s="1"/>
  <c r="CK195" i="6"/>
  <c r="CK188" i="6"/>
  <c r="CK176" i="6"/>
  <c r="CK208" i="6" s="1"/>
  <c r="CK173" i="6"/>
  <c r="CK114" i="6"/>
  <c r="CK117" i="6"/>
  <c r="CK110" i="6"/>
  <c r="CK100" i="6"/>
  <c r="CK101" i="6"/>
  <c r="CK102" i="6"/>
  <c r="CK104" i="6"/>
  <c r="CK105" i="6"/>
  <c r="CK87" i="6"/>
  <c r="CK198" i="6" s="1"/>
  <c r="CK88" i="6"/>
  <c r="CK89" i="6"/>
  <c r="CK91" i="6"/>
  <c r="CK92" i="6"/>
  <c r="CK93" i="6"/>
  <c r="CK199" i="6" s="1"/>
  <c r="CK85" i="6"/>
  <c r="CK69" i="6"/>
  <c r="CK71" i="6"/>
  <c r="CK202" i="6" s="1"/>
  <c r="CK72" i="6"/>
  <c r="CK73" i="6"/>
  <c r="CK74" i="6"/>
  <c r="CK75" i="6"/>
  <c r="CK77" i="6"/>
  <c r="CK78" i="6"/>
  <c r="CK55" i="6"/>
  <c r="CK57" i="6"/>
  <c r="CK58" i="6"/>
  <c r="CK60" i="6"/>
  <c r="CK61" i="6"/>
  <c r="CK62" i="6"/>
  <c r="CK63" i="6"/>
  <c r="CK50" i="6"/>
  <c r="CK34" i="6"/>
  <c r="CK35" i="6"/>
  <c r="CK36" i="6"/>
  <c r="CK38" i="6"/>
  <c r="CK43" i="6"/>
  <c r="CK44" i="6"/>
  <c r="CK45" i="6"/>
  <c r="CK46" i="6"/>
  <c r="CK47" i="6"/>
  <c r="CK24" i="6"/>
  <c r="CK9" i="6"/>
  <c r="CK11" i="6"/>
  <c r="CK13" i="6"/>
  <c r="CK16" i="6"/>
  <c r="CK17" i="6"/>
  <c r="CK21" i="6"/>
  <c r="CK8" i="6"/>
  <c r="CL7" i="6"/>
  <c r="CO307" i="6"/>
  <c r="CM307" i="6"/>
  <c r="CO306" i="6"/>
  <c r="CM306" i="6"/>
  <c r="CO305" i="6"/>
  <c r="CN305" i="6"/>
  <c r="CM305" i="6"/>
  <c r="CL305" i="6"/>
  <c r="CK305" i="6"/>
  <c r="CO304" i="6"/>
  <c r="CO303" i="6" s="1"/>
  <c r="CN304" i="6"/>
  <c r="CM304" i="6"/>
  <c r="CM303" i="6" s="1"/>
  <c r="CL304" i="6"/>
  <c r="CK304" i="6"/>
  <c r="CO302" i="6"/>
  <c r="CN302" i="6"/>
  <c r="CM302" i="6"/>
  <c r="CL302" i="6"/>
  <c r="CO301" i="6"/>
  <c r="CM301" i="6"/>
  <c r="CM295" i="6" s="1"/>
  <c r="CL301" i="6"/>
  <c r="CO300" i="6"/>
  <c r="CM300" i="6"/>
  <c r="CL300" i="6"/>
  <c r="CO299" i="6"/>
  <c r="CO295" i="6" s="1"/>
  <c r="CN299" i="6"/>
  <c r="CM299" i="6"/>
  <c r="CL299" i="6"/>
  <c r="CO298" i="6"/>
  <c r="CN298" i="6"/>
  <c r="CM298" i="6"/>
  <c r="CL298" i="6"/>
  <c r="CL295" i="6" s="1"/>
  <c r="CO297" i="6"/>
  <c r="CM297" i="6"/>
  <c r="CL297" i="6"/>
  <c r="CO296" i="6"/>
  <c r="CN296" i="6"/>
  <c r="CM296" i="6"/>
  <c r="CL296" i="6"/>
  <c r="CO285" i="6"/>
  <c r="CM285" i="6"/>
  <c r="CO284" i="6"/>
  <c r="CO281" i="6" s="1"/>
  <c r="CM284" i="6"/>
  <c r="CM281" i="6"/>
  <c r="CO279" i="6"/>
  <c r="CM279" i="6"/>
  <c r="CL279" i="6"/>
  <c r="CO278" i="6"/>
  <c r="CM278" i="6"/>
  <c r="CL278" i="6"/>
  <c r="CO276" i="6"/>
  <c r="CN276" i="6"/>
  <c r="CM276" i="6"/>
  <c r="CL276" i="6"/>
  <c r="CO275" i="6"/>
  <c r="CM275" i="6"/>
  <c r="CL275" i="6"/>
  <c r="CO274" i="6"/>
  <c r="CN274" i="6"/>
  <c r="CM274" i="6"/>
  <c r="CM273" i="6" s="1"/>
  <c r="CL274" i="6"/>
  <c r="CK274" i="6"/>
  <c r="CO273" i="6"/>
  <c r="CL273" i="6"/>
  <c r="CO264" i="6"/>
  <c r="CM264" i="6"/>
  <c r="CO263" i="6"/>
  <c r="CM263" i="6"/>
  <c r="CL263" i="6"/>
  <c r="CO262" i="6"/>
  <c r="CN262" i="6"/>
  <c r="CM262" i="6"/>
  <c r="CL262" i="6"/>
  <c r="CK262" i="6"/>
  <c r="CO261" i="6"/>
  <c r="CO260" i="6" s="1"/>
  <c r="CN261" i="6"/>
  <c r="CM261" i="6"/>
  <c r="CL261" i="6"/>
  <c r="CK261" i="6"/>
  <c r="CM260" i="6"/>
  <c r="CO259" i="6"/>
  <c r="CM259" i="6"/>
  <c r="CL259" i="6"/>
  <c r="CO258" i="6"/>
  <c r="CM258" i="6"/>
  <c r="CL258" i="6"/>
  <c r="CO257" i="6"/>
  <c r="CO254" i="6" s="1"/>
  <c r="CO253" i="6" s="1"/>
  <c r="CN257" i="6"/>
  <c r="CM257" i="6"/>
  <c r="CL257" i="6"/>
  <c r="CO256" i="6"/>
  <c r="CM256" i="6"/>
  <c r="CL256" i="6"/>
  <c r="CO255" i="6"/>
  <c r="CN255" i="6"/>
  <c r="CM255" i="6"/>
  <c r="CM254" i="6" s="1"/>
  <c r="CM253" i="6" s="1"/>
  <c r="CL255" i="6"/>
  <c r="CL254" i="6"/>
  <c r="CO203" i="6"/>
  <c r="CN203" i="6"/>
  <c r="CM203" i="6"/>
  <c r="CL203" i="6"/>
  <c r="CK203" i="6"/>
  <c r="CO202" i="6"/>
  <c r="CN202" i="6"/>
  <c r="CM202" i="6"/>
  <c r="CL202" i="6"/>
  <c r="CO199" i="6"/>
  <c r="CN199" i="6"/>
  <c r="CM199" i="6"/>
  <c r="CL199" i="6"/>
  <c r="CL189" i="6"/>
  <c r="CO189" i="6"/>
  <c r="CM189" i="6"/>
  <c r="CO184" i="6"/>
  <c r="CM184" i="6"/>
  <c r="CL184" i="6"/>
  <c r="CO178" i="6"/>
  <c r="CL358" i="12"/>
  <c r="CL178" i="6"/>
  <c r="CM178" i="6"/>
  <c r="CO208" i="6"/>
  <c r="CN208" i="6"/>
  <c r="CM208" i="6"/>
  <c r="CL208" i="6"/>
  <c r="CM175" i="6"/>
  <c r="CM207" i="6" s="1"/>
  <c r="CO171" i="6"/>
  <c r="CN171" i="6"/>
  <c r="CM171" i="6"/>
  <c r="CL171" i="6"/>
  <c r="CO238" i="6"/>
  <c r="CM238" i="6"/>
  <c r="CL238" i="6"/>
  <c r="CO168" i="6"/>
  <c r="CM168" i="6"/>
  <c r="CM206" i="6" s="1"/>
  <c r="CL168" i="6"/>
  <c r="CL206" i="6" s="1"/>
  <c r="CL115" i="6"/>
  <c r="CO115" i="6"/>
  <c r="CM115" i="6"/>
  <c r="CM108" i="6"/>
  <c r="CO108" i="6"/>
  <c r="CL108" i="6"/>
  <c r="CM97" i="6"/>
  <c r="CO175" i="6"/>
  <c r="CO207" i="6" s="1"/>
  <c r="CL175" i="6"/>
  <c r="CL207" i="6" s="1"/>
  <c r="CO97" i="6"/>
  <c r="CL97" i="6"/>
  <c r="CO198" i="6"/>
  <c r="CN198" i="6"/>
  <c r="CM84" i="6"/>
  <c r="CM96" i="6" s="1"/>
  <c r="CL198" i="6"/>
  <c r="CO84" i="6"/>
  <c r="CO96" i="6" s="1"/>
  <c r="CL84" i="6"/>
  <c r="CL96" i="6" s="1"/>
  <c r="CO83" i="6"/>
  <c r="CN83" i="6"/>
  <c r="CM83" i="6"/>
  <c r="CL83" i="6"/>
  <c r="CK83" i="6"/>
  <c r="CM67" i="6"/>
  <c r="CM201" i="6" s="1"/>
  <c r="CO67" i="6"/>
  <c r="CO201" i="6" s="1"/>
  <c r="CL67" i="6"/>
  <c r="CL201" i="6" s="1"/>
  <c r="CL200" i="6" s="1"/>
  <c r="CM49" i="6"/>
  <c r="CO49" i="6"/>
  <c r="CL49" i="6"/>
  <c r="CO31" i="6"/>
  <c r="CM31" i="6"/>
  <c r="CL31" i="6"/>
  <c r="CO230" i="6"/>
  <c r="CM230" i="6"/>
  <c r="CL230" i="6"/>
  <c r="CO229" i="6"/>
  <c r="CM229" i="6"/>
  <c r="CL229" i="6"/>
  <c r="CM23" i="6"/>
  <c r="CO23" i="6"/>
  <c r="CL23" i="6"/>
  <c r="CO7" i="6"/>
  <c r="CM7" i="6"/>
  <c r="CM226" i="6" s="1"/>
  <c r="CK205" i="2"/>
  <c r="CK199" i="2"/>
  <c r="CK198" i="2" s="1"/>
  <c r="CK187" i="2"/>
  <c r="CK162" i="2"/>
  <c r="CK150" i="2"/>
  <c r="CK126" i="2"/>
  <c r="CK121" i="2" s="1"/>
  <c r="CK125" i="2"/>
  <c r="CK115" i="2"/>
  <c r="CK116" i="2"/>
  <c r="CK114" i="2"/>
  <c r="CK109" i="2"/>
  <c r="CK106" i="2" s="1"/>
  <c r="CK105" i="2"/>
  <c r="CK99" i="2"/>
  <c r="CK100" i="2"/>
  <c r="CK95" i="2" s="1"/>
  <c r="CK98" i="2"/>
  <c r="CK81" i="2"/>
  <c r="CK80" i="2"/>
  <c r="CK75" i="2"/>
  <c r="CK76" i="2"/>
  <c r="CK74" i="2"/>
  <c r="CL76" i="2"/>
  <c r="CL75" i="2"/>
  <c r="CK58" i="2"/>
  <c r="CK59" i="2"/>
  <c r="CK60" i="2"/>
  <c r="CK61" i="2"/>
  <c r="CK62" i="2"/>
  <c r="CK63" i="2"/>
  <c r="CK55" i="2"/>
  <c r="CK28" i="2"/>
  <c r="CK29" i="2"/>
  <c r="CK30" i="2"/>
  <c r="CK31" i="2"/>
  <c r="CK35" i="2"/>
  <c r="CK37" i="2"/>
  <c r="CK38" i="2"/>
  <c r="CK39" i="2"/>
  <c r="CK24" i="2"/>
  <c r="CK230" i="2" s="1"/>
  <c r="CK21" i="2"/>
  <c r="CK10" i="2"/>
  <c r="CK11" i="2"/>
  <c r="CK13" i="2"/>
  <c r="CK14" i="2"/>
  <c r="CK15" i="2"/>
  <c r="CK17" i="2"/>
  <c r="CK18" i="2"/>
  <c r="CN238" i="2"/>
  <c r="CL238" i="2"/>
  <c r="CO220" i="2"/>
  <c r="CN220" i="2"/>
  <c r="CM220" i="2"/>
  <c r="CL220" i="2"/>
  <c r="CK220" i="2"/>
  <c r="CO219" i="2"/>
  <c r="CN219" i="2"/>
  <c r="CM219" i="2"/>
  <c r="CL219" i="2"/>
  <c r="CK219" i="2"/>
  <c r="CO216" i="2"/>
  <c r="CN216" i="2"/>
  <c r="CM216" i="2"/>
  <c r="CL216" i="2"/>
  <c r="CO215" i="2"/>
  <c r="CM215" i="2"/>
  <c r="CM212" i="2" s="1"/>
  <c r="CL215" i="2"/>
  <c r="CL212" i="2" s="1"/>
  <c r="CO211" i="2"/>
  <c r="CN211" i="2"/>
  <c r="CN207" i="2" s="1"/>
  <c r="CN224" i="2" s="1"/>
  <c r="CM211" i="2"/>
  <c r="CL211" i="2"/>
  <c r="CK211" i="2"/>
  <c r="CO210" i="2"/>
  <c r="CN210" i="2"/>
  <c r="CM210" i="2"/>
  <c r="CL210" i="2"/>
  <c r="CK210" i="2"/>
  <c r="CO209" i="2"/>
  <c r="CN209" i="2"/>
  <c r="CM209" i="2"/>
  <c r="CL209" i="2"/>
  <c r="CL207" i="2" s="1"/>
  <c r="CL224" i="2" s="1"/>
  <c r="CK209" i="2"/>
  <c r="CO208" i="2"/>
  <c r="CO207" i="2" s="1"/>
  <c r="CO224" i="2" s="1"/>
  <c r="CN208" i="2"/>
  <c r="CM208" i="2"/>
  <c r="CM207" i="2" s="1"/>
  <c r="CM224" i="2" s="1"/>
  <c r="CL208" i="2"/>
  <c r="CK208" i="2"/>
  <c r="CK207" i="2" s="1"/>
  <c r="CK224" i="2" s="1"/>
  <c r="CO204" i="2"/>
  <c r="CL204" i="2"/>
  <c r="CM204" i="2"/>
  <c r="CN190" i="2"/>
  <c r="CN189" i="2" s="1"/>
  <c r="CM190" i="2"/>
  <c r="CM189" i="2" s="1"/>
  <c r="CL190" i="2"/>
  <c r="CL189" i="2" s="1"/>
  <c r="CO198" i="2"/>
  <c r="CO192" i="2"/>
  <c r="CN192" i="2"/>
  <c r="CM192" i="2"/>
  <c r="CL192" i="2"/>
  <c r="CK192" i="2"/>
  <c r="CO191" i="2"/>
  <c r="CO238" i="2" s="1"/>
  <c r="CN191" i="2"/>
  <c r="CM191" i="2"/>
  <c r="CM238" i="2" s="1"/>
  <c r="CL191" i="2"/>
  <c r="CK191" i="2"/>
  <c r="CK238" i="2" s="1"/>
  <c r="CO190" i="2"/>
  <c r="CO189" i="2"/>
  <c r="CO237" i="2" s="1"/>
  <c r="CN184" i="2"/>
  <c r="CL184" i="2"/>
  <c r="CK184" i="2"/>
  <c r="CO184" i="2"/>
  <c r="CM184" i="2"/>
  <c r="CL164" i="2"/>
  <c r="CM164" i="2"/>
  <c r="CL154" i="2"/>
  <c r="CO161" i="2"/>
  <c r="CO152" i="2" s="1"/>
  <c r="CM153" i="2"/>
  <c r="CL161" i="2"/>
  <c r="CO154" i="2"/>
  <c r="CM154" i="2"/>
  <c r="CL153" i="2"/>
  <c r="CL147" i="2"/>
  <c r="CO147" i="2"/>
  <c r="CM147" i="2"/>
  <c r="CN143" i="2"/>
  <c r="CN168" i="2" s="1"/>
  <c r="CO137" i="2"/>
  <c r="CN137" i="2"/>
  <c r="CM137" i="2"/>
  <c r="CL137" i="2"/>
  <c r="CK137" i="2"/>
  <c r="CO132" i="2"/>
  <c r="CN132" i="2"/>
  <c r="CM132" i="2"/>
  <c r="CL132" i="2"/>
  <c r="CK132" i="2"/>
  <c r="CL127" i="2"/>
  <c r="CO127" i="2"/>
  <c r="CM127" i="2"/>
  <c r="CN121" i="2"/>
  <c r="CL122" i="2"/>
  <c r="CO120" i="2"/>
  <c r="CM122" i="2"/>
  <c r="CN122" i="2"/>
  <c r="CO121" i="2"/>
  <c r="CM121" i="2"/>
  <c r="CN120" i="2"/>
  <c r="CL120" i="2"/>
  <c r="CO119" i="2"/>
  <c r="CO144" i="2" s="1"/>
  <c r="CN119" i="2"/>
  <c r="CN144" i="2" s="1"/>
  <c r="CM119" i="2"/>
  <c r="CL119" i="2"/>
  <c r="CL144" i="2" s="1"/>
  <c r="CK119" i="2"/>
  <c r="CK144" i="2" s="1"/>
  <c r="CO118" i="2"/>
  <c r="CO143" i="2" s="1"/>
  <c r="CN118" i="2"/>
  <c r="CM118" i="2"/>
  <c r="CM143" i="2" s="1"/>
  <c r="CL118" i="2"/>
  <c r="CL143" i="2" s="1"/>
  <c r="CK118" i="2"/>
  <c r="CK143" i="2" s="1"/>
  <c r="CO111" i="2"/>
  <c r="CM111" i="2"/>
  <c r="CL111" i="2"/>
  <c r="CO106" i="2"/>
  <c r="CM106" i="2"/>
  <c r="CN106" i="2"/>
  <c r="CL106" i="2"/>
  <c r="CO101" i="2"/>
  <c r="CM101" i="2"/>
  <c r="CL92" i="2"/>
  <c r="CL101" i="2"/>
  <c r="CO92" i="2"/>
  <c r="CM92" i="2"/>
  <c r="CN95" i="2"/>
  <c r="CL95" i="2"/>
  <c r="CO94" i="2"/>
  <c r="CM94" i="2"/>
  <c r="CO93" i="2"/>
  <c r="CN93" i="2"/>
  <c r="CM93" i="2"/>
  <c r="CL93" i="2"/>
  <c r="CM88" i="2"/>
  <c r="CO87" i="2"/>
  <c r="CN87" i="2"/>
  <c r="CM87" i="2"/>
  <c r="CL87" i="2"/>
  <c r="CL264" i="6" s="1"/>
  <c r="CK87" i="2"/>
  <c r="CO86" i="2"/>
  <c r="CO248" i="2" s="1"/>
  <c r="CM86" i="2"/>
  <c r="CO77" i="2"/>
  <c r="CM77" i="2"/>
  <c r="CL88" i="2"/>
  <c r="CN86" i="2"/>
  <c r="CN263" i="6" s="1"/>
  <c r="CL71" i="2"/>
  <c r="CO71" i="2"/>
  <c r="CM71" i="2"/>
  <c r="CO70" i="2"/>
  <c r="CN70" i="2"/>
  <c r="CM70" i="2"/>
  <c r="CL70" i="2"/>
  <c r="CK70" i="2"/>
  <c r="CO56" i="2"/>
  <c r="CO218" i="2" s="1"/>
  <c r="CM56" i="2"/>
  <c r="CM218" i="2" s="1"/>
  <c r="CL56" i="2"/>
  <c r="CL218" i="2" s="1"/>
  <c r="CL40" i="2"/>
  <c r="CO40" i="2"/>
  <c r="CM40" i="2"/>
  <c r="CM26" i="2"/>
  <c r="CL26" i="2"/>
  <c r="CO26" i="2"/>
  <c r="CO227" i="2" s="1"/>
  <c r="CO230" i="2"/>
  <c r="CN230" i="2"/>
  <c r="CM230" i="2"/>
  <c r="CL230" i="2"/>
  <c r="CO229" i="2"/>
  <c r="CM229" i="2"/>
  <c r="CL229" i="2"/>
  <c r="CO20" i="2"/>
  <c r="CL20" i="2"/>
  <c r="CM20" i="2"/>
  <c r="CO7" i="2"/>
  <c r="CL7" i="2"/>
  <c r="CM7" i="2"/>
  <c r="CM6" i="2" s="1"/>
  <c r="CK382" i="12"/>
  <c r="CK381" i="12"/>
  <c r="CK351" i="12"/>
  <c r="CK352" i="12"/>
  <c r="CK353" i="12"/>
  <c r="CK347" i="12"/>
  <c r="CK334" i="12"/>
  <c r="CK333" i="12" s="1"/>
  <c r="CN333" i="12"/>
  <c r="CK318" i="12"/>
  <c r="CK306" i="12"/>
  <c r="CK307" i="12"/>
  <c r="CK308" i="12"/>
  <c r="CK279" i="12"/>
  <c r="CK280" i="12"/>
  <c r="CK282" i="12"/>
  <c r="CK276" i="12"/>
  <c r="CK273" i="12"/>
  <c r="CK272" i="12"/>
  <c r="CK255" i="12"/>
  <c r="CK256" i="12"/>
  <c r="CK258" i="12"/>
  <c r="CK259" i="12"/>
  <c r="CK254" i="12"/>
  <c r="CK238" i="12"/>
  <c r="CK239" i="12"/>
  <c r="CK240" i="12"/>
  <c r="CK237" i="12"/>
  <c r="CN235" i="12"/>
  <c r="CK229" i="12"/>
  <c r="CK230" i="12"/>
  <c r="CK227" i="12"/>
  <c r="CK219" i="12"/>
  <c r="CK220" i="12"/>
  <c r="CK221" i="12"/>
  <c r="CK223" i="12"/>
  <c r="CK224" i="12"/>
  <c r="CK218" i="12"/>
  <c r="CK211" i="12"/>
  <c r="CK212" i="12"/>
  <c r="CK213" i="12"/>
  <c r="CK215" i="12"/>
  <c r="CK216" i="12"/>
  <c r="CK209" i="12"/>
  <c r="CK195" i="12"/>
  <c r="CK194" i="12"/>
  <c r="CK187" i="12"/>
  <c r="CK188" i="12"/>
  <c r="CK190" i="12"/>
  <c r="CK191" i="12"/>
  <c r="CK179" i="12"/>
  <c r="CK180" i="12"/>
  <c r="CK181" i="12"/>
  <c r="CK182" i="12"/>
  <c r="CK153" i="12" s="1"/>
  <c r="CK173" i="12"/>
  <c r="CK174" i="12"/>
  <c r="CK166" i="12"/>
  <c r="CK167" i="12"/>
  <c r="CK168" i="12"/>
  <c r="CK165" i="12"/>
  <c r="CK158" i="12"/>
  <c r="CK159" i="12"/>
  <c r="CK156" i="12"/>
  <c r="CK134" i="12"/>
  <c r="CK137" i="12"/>
  <c r="CK138" i="12"/>
  <c r="CK133" i="12"/>
  <c r="CK126" i="12"/>
  <c r="CK127" i="12"/>
  <c r="CK129" i="12"/>
  <c r="CK130" i="12"/>
  <c r="CK125" i="12"/>
  <c r="CK119" i="12"/>
  <c r="CK120" i="12"/>
  <c r="CK121" i="12"/>
  <c r="CK117" i="12"/>
  <c r="CK112" i="12"/>
  <c r="CK114" i="12"/>
  <c r="CK97" i="12"/>
  <c r="CK98" i="12"/>
  <c r="CK426" i="12" s="1"/>
  <c r="CK73" i="12"/>
  <c r="CK75" i="12"/>
  <c r="CK373" i="12" s="1"/>
  <c r="CK76" i="12"/>
  <c r="CK374" i="12" s="1"/>
  <c r="CK77" i="12"/>
  <c r="CK81" i="12"/>
  <c r="CN373" i="12"/>
  <c r="CK57" i="12"/>
  <c r="CK60" i="12"/>
  <c r="CK61" i="12"/>
  <c r="CK62" i="12"/>
  <c r="CK63" i="12"/>
  <c r="CK64" i="12"/>
  <c r="CK65" i="12"/>
  <c r="CK67" i="12"/>
  <c r="CK70" i="12"/>
  <c r="CK58" i="12"/>
  <c r="CK40" i="12"/>
  <c r="CK42" i="12"/>
  <c r="CK43" i="12"/>
  <c r="CK46" i="12"/>
  <c r="CK47" i="12"/>
  <c r="CK49" i="12"/>
  <c r="CK51" i="12"/>
  <c r="CK52" i="12"/>
  <c r="CK53" i="12"/>
  <c r="CK25" i="12"/>
  <c r="CK26" i="12"/>
  <c r="CK28" i="12"/>
  <c r="CK30" i="12"/>
  <c r="CK31" i="12"/>
  <c r="CK389" i="12" s="1"/>
  <c r="CK32" i="12"/>
  <c r="CK35" i="12"/>
  <c r="CK36" i="12"/>
  <c r="CK12" i="12"/>
  <c r="CK14" i="12"/>
  <c r="CK15" i="12"/>
  <c r="CK16" i="12"/>
  <c r="CK17" i="12"/>
  <c r="CK18" i="12"/>
  <c r="CK20" i="12"/>
  <c r="CO71" i="12"/>
  <c r="CM71" i="12"/>
  <c r="CM372" i="12" s="1"/>
  <c r="CL71" i="12"/>
  <c r="CL7" i="12"/>
  <c r="CM7" i="12"/>
  <c r="CO7" i="12"/>
  <c r="CL21" i="12"/>
  <c r="CO21" i="12"/>
  <c r="CM21" i="12"/>
  <c r="CL388" i="12"/>
  <c r="CO388" i="12"/>
  <c r="CL38" i="12"/>
  <c r="CO38" i="12"/>
  <c r="CO386" i="12" s="1"/>
  <c r="CM38" i="12"/>
  <c r="CL386" i="12"/>
  <c r="CL55" i="12"/>
  <c r="CO55" i="12"/>
  <c r="CM55" i="12"/>
  <c r="CO372" i="12"/>
  <c r="CL373" i="12"/>
  <c r="CO373" i="12"/>
  <c r="CO371" i="12" s="1"/>
  <c r="CL85" i="12"/>
  <c r="CM85" i="12"/>
  <c r="CN85" i="12"/>
  <c r="CO85" i="12"/>
  <c r="CL87" i="12"/>
  <c r="CM87" i="12"/>
  <c r="CN87" i="12"/>
  <c r="CN140" i="12" s="1"/>
  <c r="CO87" i="12"/>
  <c r="CL89" i="12"/>
  <c r="CL142" i="12" s="1"/>
  <c r="CM89" i="12"/>
  <c r="CN89" i="12"/>
  <c r="CN142" i="12" s="1"/>
  <c r="CO89" i="12"/>
  <c r="CO142" i="12" s="1"/>
  <c r="CL92" i="12"/>
  <c r="CM92" i="12"/>
  <c r="CN92" i="12"/>
  <c r="CN145" i="12" s="1"/>
  <c r="CO92" i="12"/>
  <c r="CO145" i="12" s="1"/>
  <c r="CL94" i="12"/>
  <c r="CO94" i="12"/>
  <c r="CL88" i="12"/>
  <c r="CL141" i="12" s="1"/>
  <c r="CM88" i="12"/>
  <c r="CM141" i="12" s="1"/>
  <c r="CO88" i="12"/>
  <c r="CO141" i="12" s="1"/>
  <c r="CL90" i="12"/>
  <c r="CL143" i="12" s="1"/>
  <c r="CM90" i="12"/>
  <c r="CM143" i="12" s="1"/>
  <c r="CO90" i="12"/>
  <c r="CO143" i="12" s="1"/>
  <c r="CL101" i="12"/>
  <c r="CM101" i="12"/>
  <c r="CN101" i="12"/>
  <c r="CO101" i="12"/>
  <c r="CL109" i="12"/>
  <c r="CL364" i="12" s="1"/>
  <c r="CM109" i="12"/>
  <c r="CM364" i="12" s="1"/>
  <c r="CO109" i="12"/>
  <c r="CO364" i="12" s="1"/>
  <c r="CL91" i="12"/>
  <c r="CL144" i="12" s="1"/>
  <c r="CM91" i="12"/>
  <c r="CM144" i="12" s="1"/>
  <c r="CO91" i="12"/>
  <c r="CO144" i="12" s="1"/>
  <c r="CL116" i="12"/>
  <c r="CM116" i="12"/>
  <c r="CO116" i="12"/>
  <c r="CL124" i="12"/>
  <c r="CM124" i="12"/>
  <c r="CO124" i="12"/>
  <c r="CL131" i="12"/>
  <c r="CM131" i="12"/>
  <c r="CO131" i="12"/>
  <c r="CM140" i="12"/>
  <c r="CM142" i="12"/>
  <c r="CM368" i="12" s="1"/>
  <c r="CL145" i="12"/>
  <c r="CM145" i="12"/>
  <c r="CL146" i="12"/>
  <c r="CM146" i="12"/>
  <c r="CN146" i="12"/>
  <c r="CO146" i="12"/>
  <c r="CL148" i="12"/>
  <c r="CM148" i="12"/>
  <c r="CN148" i="12"/>
  <c r="CO148" i="12"/>
  <c r="CL150" i="12"/>
  <c r="CM150" i="12"/>
  <c r="CN150" i="12"/>
  <c r="CO150" i="12"/>
  <c r="CL151" i="12"/>
  <c r="CO151" i="12"/>
  <c r="CL153" i="12"/>
  <c r="CM153" i="12"/>
  <c r="CN153" i="12"/>
  <c r="CO153" i="12"/>
  <c r="CL155" i="12"/>
  <c r="CM155" i="12"/>
  <c r="CO155" i="12"/>
  <c r="CL152" i="12"/>
  <c r="CM152" i="12"/>
  <c r="CO152" i="12"/>
  <c r="CL163" i="12"/>
  <c r="CM163" i="12"/>
  <c r="CN163" i="12"/>
  <c r="CO163" i="12"/>
  <c r="CL170" i="12"/>
  <c r="CM170" i="12"/>
  <c r="CO170" i="12"/>
  <c r="CM151" i="12"/>
  <c r="CL176" i="12"/>
  <c r="CM176" i="12"/>
  <c r="CO176" i="12"/>
  <c r="CL184" i="12"/>
  <c r="CM184" i="12"/>
  <c r="CO184" i="12"/>
  <c r="CL192" i="12"/>
  <c r="CM192" i="12"/>
  <c r="CO192" i="12"/>
  <c r="CL200" i="12"/>
  <c r="CM200" i="12"/>
  <c r="CN200" i="12"/>
  <c r="CO200" i="12"/>
  <c r="CL202" i="12"/>
  <c r="CM202" i="12"/>
  <c r="CN202" i="12"/>
  <c r="CO202" i="12"/>
  <c r="CL203" i="12"/>
  <c r="CM203" i="12"/>
  <c r="CN203" i="12"/>
  <c r="CO203" i="12"/>
  <c r="CL204" i="12"/>
  <c r="CO204" i="12"/>
  <c r="CL206" i="12"/>
  <c r="CM206" i="12"/>
  <c r="CN206" i="12"/>
  <c r="CO206" i="12"/>
  <c r="CL201" i="12"/>
  <c r="CM201" i="12"/>
  <c r="CO201" i="12"/>
  <c r="CM204" i="12"/>
  <c r="CL205" i="12"/>
  <c r="CM205" i="12"/>
  <c r="CO205" i="12"/>
  <c r="CL217" i="12"/>
  <c r="CM217" i="12"/>
  <c r="CO217" i="12"/>
  <c r="CL226" i="12"/>
  <c r="CM226" i="12"/>
  <c r="CO226" i="12"/>
  <c r="CL235" i="12"/>
  <c r="CM235" i="12"/>
  <c r="CO235" i="12"/>
  <c r="CL248" i="12"/>
  <c r="CL288" i="12" s="1"/>
  <c r="CM248" i="12"/>
  <c r="CM288" i="12" s="1"/>
  <c r="CN248" i="12"/>
  <c r="CN288" i="12" s="1"/>
  <c r="CO248" i="12"/>
  <c r="CO288" i="12" s="1"/>
  <c r="CL253" i="12"/>
  <c r="CM253" i="12"/>
  <c r="CO253" i="12"/>
  <c r="CL262" i="12"/>
  <c r="CM262" i="12"/>
  <c r="CN262" i="12"/>
  <c r="CO262" i="12"/>
  <c r="CL265" i="12"/>
  <c r="CM265" i="12"/>
  <c r="CO265" i="12"/>
  <c r="CL268" i="12"/>
  <c r="CM268" i="12"/>
  <c r="CN268" i="12"/>
  <c r="CO268" i="12"/>
  <c r="CL271" i="12"/>
  <c r="CM271" i="12"/>
  <c r="CO271" i="12"/>
  <c r="CL274" i="12"/>
  <c r="CM274" i="12"/>
  <c r="CO274" i="12"/>
  <c r="CL277" i="12"/>
  <c r="CM277" i="12"/>
  <c r="CO277" i="12"/>
  <c r="CL303" i="12"/>
  <c r="CL302" i="12" s="1"/>
  <c r="CO303" i="12"/>
  <c r="CO302" i="12" s="1"/>
  <c r="CM303" i="12"/>
  <c r="CL315" i="12"/>
  <c r="CM315" i="12"/>
  <c r="CO315" i="12"/>
  <c r="CL324" i="12"/>
  <c r="CM324" i="12"/>
  <c r="CN324" i="12"/>
  <c r="CO324" i="12"/>
  <c r="CL327" i="12"/>
  <c r="CO327" i="12"/>
  <c r="CO322" i="12"/>
  <c r="CL330" i="12"/>
  <c r="CM330" i="12"/>
  <c r="CN330" i="12"/>
  <c r="CO330" i="12"/>
  <c r="CL333" i="12"/>
  <c r="CM333" i="12"/>
  <c r="CO333" i="12"/>
  <c r="CL336" i="12"/>
  <c r="CM336" i="12"/>
  <c r="CO336" i="12"/>
  <c r="CL323" i="12"/>
  <c r="CL397" i="12" s="1"/>
  <c r="CO323" i="12"/>
  <c r="CO397" i="12" s="1"/>
  <c r="CL339" i="12"/>
  <c r="CN339" i="12"/>
  <c r="CO339" i="12"/>
  <c r="CM339" i="12"/>
  <c r="CL342" i="12"/>
  <c r="CN342" i="12"/>
  <c r="CN378" i="12" s="1"/>
  <c r="CO342" i="12"/>
  <c r="CM342" i="12"/>
  <c r="CM378" i="12" s="1"/>
  <c r="CM348" i="12"/>
  <c r="CM380" i="12" s="1"/>
  <c r="CL348" i="12"/>
  <c r="CL380" i="12" s="1"/>
  <c r="CO348" i="12"/>
  <c r="CO380" i="12" s="1"/>
  <c r="CL356" i="12"/>
  <c r="CM356" i="12"/>
  <c r="CN356" i="12"/>
  <c r="CO356" i="12"/>
  <c r="CL357" i="12"/>
  <c r="CM357" i="12"/>
  <c r="CO357" i="12"/>
  <c r="CM358" i="12"/>
  <c r="CO358" i="12"/>
  <c r="CL359" i="12"/>
  <c r="CM359" i="12"/>
  <c r="CN359" i="12"/>
  <c r="CL360" i="12"/>
  <c r="CM360" i="12"/>
  <c r="CO360" i="12"/>
  <c r="CM373" i="12"/>
  <c r="CL374" i="12"/>
  <c r="CM374" i="12"/>
  <c r="CN374" i="12"/>
  <c r="CO374" i="12"/>
  <c r="CL378" i="12"/>
  <c r="CO378" i="12"/>
  <c r="CL383" i="12"/>
  <c r="CM383" i="12"/>
  <c r="CN383" i="12"/>
  <c r="CO383" i="12"/>
  <c r="CL385" i="12"/>
  <c r="CM388" i="12"/>
  <c r="CL389" i="12"/>
  <c r="CM389" i="12"/>
  <c r="CN389" i="12"/>
  <c r="CO389" i="12"/>
  <c r="CL424" i="12"/>
  <c r="CM424" i="12"/>
  <c r="CM430" i="12" s="1"/>
  <c r="CO424" i="12"/>
  <c r="CO430" i="12" s="1"/>
  <c r="CL425" i="12"/>
  <c r="CM425" i="12"/>
  <c r="CM431" i="12" s="1"/>
  <c r="CN425" i="12"/>
  <c r="CN431" i="12" s="1"/>
  <c r="CO425" i="12"/>
  <c r="CL426" i="12"/>
  <c r="CM426" i="12"/>
  <c r="CM432" i="12" s="1"/>
  <c r="CN426" i="12"/>
  <c r="CO426" i="12"/>
  <c r="CO432" i="12" s="1"/>
  <c r="CL427" i="12"/>
  <c r="CM427" i="12"/>
  <c r="CM433" i="12" s="1"/>
  <c r="CO427" i="12"/>
  <c r="CO431" i="12"/>
  <c r="CO433" i="12"/>
  <c r="CK85" i="12"/>
  <c r="CK92" i="12"/>
  <c r="CK101" i="12"/>
  <c r="CK146" i="12"/>
  <c r="CK148" i="12"/>
  <c r="CK200" i="12"/>
  <c r="CK262" i="12"/>
  <c r="CK268" i="12"/>
  <c r="CK324" i="12"/>
  <c r="CK330" i="12"/>
  <c r="CK342" i="12"/>
  <c r="CK378" i="12" s="1"/>
  <c r="CK356" i="12"/>
  <c r="CK383" i="12"/>
  <c r="CA35" i="16"/>
  <c r="CB35" i="16"/>
  <c r="CC119" i="6"/>
  <c r="CF206" i="2"/>
  <c r="CF205" i="2"/>
  <c r="CF199" i="2"/>
  <c r="CF187" i="2"/>
  <c r="CF166" i="2"/>
  <c r="CF115" i="2"/>
  <c r="CF105" i="2"/>
  <c r="CF99" i="2"/>
  <c r="CF100" i="2"/>
  <c r="CF81" i="2"/>
  <c r="CF58" i="2"/>
  <c r="CF59" i="2"/>
  <c r="CF60" i="2"/>
  <c r="CF61" i="2"/>
  <c r="CF62" i="2"/>
  <c r="CF63" i="2"/>
  <c r="CF28" i="2"/>
  <c r="CF29" i="2"/>
  <c r="CF30" i="2"/>
  <c r="CF37" i="2"/>
  <c r="CF38" i="2"/>
  <c r="CF11" i="2"/>
  <c r="CF14" i="2"/>
  <c r="CF15" i="2"/>
  <c r="CF17" i="2"/>
  <c r="CF18" i="2"/>
  <c r="CF256" i="12"/>
  <c r="CF259" i="12"/>
  <c r="CF254" i="12"/>
  <c r="CF238" i="12"/>
  <c r="CF239" i="12"/>
  <c r="CF240" i="12"/>
  <c r="CF229" i="12"/>
  <c r="CF230" i="12"/>
  <c r="CF227" i="12"/>
  <c r="CF220" i="12"/>
  <c r="CF221" i="12"/>
  <c r="CF224" i="12"/>
  <c r="CF218" i="12"/>
  <c r="CF211" i="12"/>
  <c r="CF212" i="12"/>
  <c r="CF215" i="12"/>
  <c r="CF216" i="12"/>
  <c r="CF209" i="12"/>
  <c r="CF195" i="12"/>
  <c r="CF187" i="12"/>
  <c r="CF190" i="12"/>
  <c r="CF179" i="12"/>
  <c r="CF182" i="12"/>
  <c r="CF173" i="12"/>
  <c r="CF158" i="12"/>
  <c r="CF156" i="12"/>
  <c r="CF134" i="12"/>
  <c r="CF137" i="12"/>
  <c r="CF138" i="12"/>
  <c r="CF126" i="12"/>
  <c r="CF127" i="12"/>
  <c r="CF129" i="12"/>
  <c r="CF125" i="12"/>
  <c r="CF119" i="12"/>
  <c r="CF120" i="12"/>
  <c r="CF117" i="12"/>
  <c r="CF112" i="12"/>
  <c r="CF97" i="12"/>
  <c r="CF76" i="12"/>
  <c r="CF77" i="12"/>
  <c r="CF81" i="12"/>
  <c r="CF61" i="12"/>
  <c r="CF65" i="12"/>
  <c r="CF67" i="12"/>
  <c r="CF69" i="12"/>
  <c r="CF42" i="12"/>
  <c r="CF51" i="12"/>
  <c r="CF52" i="12"/>
  <c r="CF25" i="12"/>
  <c r="CF30" i="12"/>
  <c r="CF12" i="12"/>
  <c r="CF15" i="12"/>
  <c r="CF16" i="12"/>
  <c r="CF17" i="12"/>
  <c r="CF18" i="12"/>
  <c r="CF188" i="6"/>
  <c r="CF182" i="6"/>
  <c r="CF100" i="6"/>
  <c r="CF101" i="6"/>
  <c r="CF102" i="6"/>
  <c r="CF104" i="6"/>
  <c r="CF106" i="6"/>
  <c r="CF98" i="6"/>
  <c r="CF88" i="6"/>
  <c r="CF89" i="6"/>
  <c r="CF91" i="6"/>
  <c r="CF92" i="6"/>
  <c r="CF93" i="6"/>
  <c r="CI211" i="6"/>
  <c r="CF195" i="6"/>
  <c r="CF192" i="6"/>
  <c r="CF187" i="6"/>
  <c r="CF183" i="6"/>
  <c r="CF181" i="6"/>
  <c r="CF180" i="6"/>
  <c r="CF176" i="6"/>
  <c r="CF173" i="6"/>
  <c r="CF172" i="6"/>
  <c r="CF170" i="6"/>
  <c r="CF169" i="6"/>
  <c r="CF117" i="6"/>
  <c r="CF116" i="6"/>
  <c r="CF114" i="6"/>
  <c r="CF111" i="6"/>
  <c r="CF110" i="6"/>
  <c r="CF109" i="6"/>
  <c r="CF107" i="6"/>
  <c r="CF105" i="6"/>
  <c r="CF103" i="6"/>
  <c r="CF99" i="6"/>
  <c r="CF95" i="6"/>
  <c r="CF94" i="6"/>
  <c r="CF90" i="6"/>
  <c r="CF87" i="6"/>
  <c r="CF86" i="6"/>
  <c r="CF85" i="6"/>
  <c r="CF69" i="6"/>
  <c r="CF71" i="6"/>
  <c r="CF72" i="6"/>
  <c r="CF73" i="6"/>
  <c r="CF74" i="6"/>
  <c r="CF77" i="6"/>
  <c r="CF55" i="6"/>
  <c r="CF58" i="6"/>
  <c r="CF59" i="6"/>
  <c r="CF60" i="6"/>
  <c r="CF62" i="6"/>
  <c r="CF63" i="6"/>
  <c r="CF34" i="6"/>
  <c r="CF35" i="6"/>
  <c r="CF44" i="6"/>
  <c r="CF45" i="6"/>
  <c r="CF46" i="6"/>
  <c r="CF16" i="6"/>
  <c r="CF17" i="6"/>
  <c r="CF34" i="16"/>
  <c r="CK303" i="12" l="1"/>
  <c r="CK302" i="12" s="1"/>
  <c r="CK165" i="2"/>
  <c r="CK164" i="2" s="1"/>
  <c r="CN153" i="2"/>
  <c r="CN154" i="2"/>
  <c r="CK161" i="2"/>
  <c r="CN170" i="12"/>
  <c r="CK275" i="12"/>
  <c r="CK130" i="2"/>
  <c r="CK127" i="2" s="1"/>
  <c r="CN184" i="6"/>
  <c r="CN177" i="6" s="1"/>
  <c r="CN88" i="2"/>
  <c r="CN264" i="6" s="1"/>
  <c r="CN204" i="2"/>
  <c r="CN215" i="2"/>
  <c r="CN212" i="2" s="1"/>
  <c r="CK163" i="12"/>
  <c r="CN175" i="6"/>
  <c r="CN207" i="6" s="1"/>
  <c r="CK118" i="12"/>
  <c r="CK82" i="2"/>
  <c r="CK77" i="2" s="1"/>
  <c r="CN229" i="2"/>
  <c r="CN184" i="12"/>
  <c r="CN147" i="2"/>
  <c r="CN131" i="12"/>
  <c r="CN303" i="12"/>
  <c r="CK111" i="2"/>
  <c r="CN226" i="12"/>
  <c r="CK350" i="12"/>
  <c r="CK348" i="12" s="1"/>
  <c r="CK380" i="12" s="1"/>
  <c r="CN205" i="12"/>
  <c r="CK424" i="12"/>
  <c r="CN357" i="12"/>
  <c r="CN253" i="12"/>
  <c r="CK89" i="12"/>
  <c r="CK142" i="12" s="1"/>
  <c r="CK257" i="6" s="1"/>
  <c r="CN124" i="12"/>
  <c r="CK151" i="2"/>
  <c r="CK147" i="2" s="1"/>
  <c r="CN7" i="12"/>
  <c r="CN385" i="12" s="1"/>
  <c r="CN101" i="2"/>
  <c r="CN115" i="6"/>
  <c r="CK192" i="6"/>
  <c r="CK189" i="6" s="1"/>
  <c r="CN31" i="6"/>
  <c r="CN227" i="6" s="1"/>
  <c r="CN424" i="12"/>
  <c r="CK172" i="12"/>
  <c r="CK41" i="2"/>
  <c r="CK40" i="2" s="1"/>
  <c r="CN84" i="6"/>
  <c r="CN96" i="6" s="1"/>
  <c r="CK22" i="12"/>
  <c r="CK21" i="12" s="1"/>
  <c r="CK222" i="12"/>
  <c r="CK217" i="12" s="1"/>
  <c r="CK171" i="6"/>
  <c r="CN38" i="12"/>
  <c r="CN386" i="12" s="1"/>
  <c r="CK189" i="12"/>
  <c r="CK152" i="12" s="1"/>
  <c r="CK203" i="12"/>
  <c r="CK248" i="12" s="1"/>
  <c r="CK288" i="12" s="1"/>
  <c r="CK299" i="6" s="1"/>
  <c r="CN71" i="12"/>
  <c r="CN372" i="12" s="1"/>
  <c r="CN371" i="12" s="1"/>
  <c r="CN152" i="12"/>
  <c r="CN92" i="2"/>
  <c r="CN89" i="2" s="1"/>
  <c r="CK204" i="2"/>
  <c r="CN67" i="6"/>
  <c r="CN201" i="6" s="1"/>
  <c r="CN200" i="6" s="1"/>
  <c r="CN55" i="12"/>
  <c r="CK56" i="2"/>
  <c r="CK218" i="2" s="1"/>
  <c r="CN117" i="2"/>
  <c r="CN7" i="6"/>
  <c r="CN6" i="6" s="1"/>
  <c r="CN271" i="12"/>
  <c r="CN151" i="12"/>
  <c r="CK339" i="12"/>
  <c r="CN204" i="12"/>
  <c r="CN23" i="6"/>
  <c r="CK90" i="6"/>
  <c r="CK84" i="6" s="1"/>
  <c r="CK96" i="6" s="1"/>
  <c r="CK26" i="2"/>
  <c r="CK227" i="2" s="1"/>
  <c r="CK122" i="2"/>
  <c r="CN168" i="6"/>
  <c r="CN206" i="6" s="1"/>
  <c r="CK27" i="6"/>
  <c r="CK230" i="6" s="1"/>
  <c r="CN91" i="12"/>
  <c r="CN144" i="12" s="1"/>
  <c r="CN259" i="6" s="1"/>
  <c r="CK202" i="12"/>
  <c r="CN97" i="6"/>
  <c r="CK20" i="2"/>
  <c r="CK109" i="12"/>
  <c r="CK364" i="12" s="1"/>
  <c r="CK97" i="6"/>
  <c r="CK192" i="12"/>
  <c r="CK7" i="6"/>
  <c r="CN265" i="12"/>
  <c r="CK8" i="12"/>
  <c r="CK7" i="12" s="1"/>
  <c r="CK44" i="12"/>
  <c r="CK38" i="12" s="1"/>
  <c r="CN388" i="12"/>
  <c r="CN88" i="12"/>
  <c r="CN141" i="12" s="1"/>
  <c r="CN256" i="6" s="1"/>
  <c r="CK66" i="12"/>
  <c r="CK55" i="12" s="1"/>
  <c r="CK78" i="12"/>
  <c r="CK71" i="12" s="1"/>
  <c r="CK372" i="12" s="1"/>
  <c r="CK371" i="12" s="1"/>
  <c r="CK99" i="12"/>
  <c r="CK135" i="12"/>
  <c r="CK131" i="12" s="1"/>
  <c r="CK235" i="12"/>
  <c r="CN7" i="2"/>
  <c r="CK190" i="2"/>
  <c r="CK189" i="2" s="1"/>
  <c r="CN229" i="6"/>
  <c r="CN108" i="6"/>
  <c r="CK39" i="6"/>
  <c r="CK31" i="6" s="1"/>
  <c r="CK227" i="6" s="1"/>
  <c r="CK170" i="6"/>
  <c r="CK238" i="6" s="1"/>
  <c r="CK228" i="12"/>
  <c r="CK7" i="2"/>
  <c r="CK226" i="2" s="1"/>
  <c r="CK108" i="6"/>
  <c r="CN192" i="12"/>
  <c r="CN146" i="2"/>
  <c r="CN176" i="2" s="1"/>
  <c r="CN285" i="6" s="1"/>
  <c r="CN277" i="12"/>
  <c r="CK180" i="6"/>
  <c r="CN201" i="12"/>
  <c r="CN155" i="12"/>
  <c r="CN109" i="12"/>
  <c r="CN364" i="12" s="1"/>
  <c r="CK277" i="12"/>
  <c r="CN56" i="2"/>
  <c r="CN218" i="2" s="1"/>
  <c r="CN217" i="2" s="1"/>
  <c r="CK86" i="2"/>
  <c r="CK263" i="6" s="1"/>
  <c r="CK183" i="6"/>
  <c r="CK360" i="12" s="1"/>
  <c r="CK271" i="12"/>
  <c r="CK49" i="6"/>
  <c r="CN26" i="2"/>
  <c r="CN227" i="2" s="1"/>
  <c r="CN49" i="6"/>
  <c r="CN358" i="12"/>
  <c r="CK232" i="12"/>
  <c r="CN260" i="6"/>
  <c r="CK67" i="6"/>
  <c r="CK201" i="6" s="1"/>
  <c r="CK200" i="6" s="1"/>
  <c r="CN176" i="12"/>
  <c r="CK71" i="2"/>
  <c r="CK274" i="12"/>
  <c r="CK115" i="6"/>
  <c r="CK88" i="2"/>
  <c r="CK264" i="6" s="1"/>
  <c r="CL253" i="6"/>
  <c r="CL260" i="6"/>
  <c r="CK151" i="12"/>
  <c r="CK208" i="12"/>
  <c r="CK94" i="12"/>
  <c r="CK87" i="12"/>
  <c r="CK140" i="12" s="1"/>
  <c r="CK170" i="12"/>
  <c r="CK206" i="12"/>
  <c r="CK251" i="12" s="1"/>
  <c r="CK291" i="12" s="1"/>
  <c r="CK302" i="6" s="1"/>
  <c r="CK90" i="12"/>
  <c r="CK265" i="12"/>
  <c r="CK425" i="12"/>
  <c r="CK253" i="12"/>
  <c r="CK124" i="12"/>
  <c r="CL24" i="16"/>
  <c r="CL36" i="16"/>
  <c r="CO37" i="16"/>
  <c r="CO46" i="16"/>
  <c r="CM36" i="16"/>
  <c r="CM35" i="16" s="1"/>
  <c r="CM24" i="16"/>
  <c r="CL37" i="16"/>
  <c r="CL46" i="16"/>
  <c r="CM37" i="16"/>
  <c r="CM46" i="16"/>
  <c r="CO13" i="16"/>
  <c r="CO17" i="16" s="1"/>
  <c r="CK184" i="6"/>
  <c r="CO177" i="6"/>
  <c r="CM177" i="6"/>
  <c r="CO200" i="6"/>
  <c r="CM200" i="6"/>
  <c r="CO237" i="6"/>
  <c r="CO206" i="6"/>
  <c r="CO226" i="6"/>
  <c r="CO6" i="6"/>
  <c r="CO30" i="6"/>
  <c r="CO227" i="6"/>
  <c r="CO225" i="6" s="1"/>
  <c r="CO231" i="6" s="1"/>
  <c r="CO228" i="6" s="1"/>
  <c r="CL226" i="6"/>
  <c r="CL6" i="6"/>
  <c r="CO112" i="6"/>
  <c r="CO197" i="6"/>
  <c r="CO196" i="6" s="1"/>
  <c r="CO247" i="6" s="1"/>
  <c r="CM112" i="6"/>
  <c r="CM197" i="6"/>
  <c r="CK226" i="6"/>
  <c r="CL112" i="6"/>
  <c r="CL197" i="6"/>
  <c r="CL196" i="6" s="1"/>
  <c r="CL247" i="6" s="1"/>
  <c r="CL177" i="6"/>
  <c r="CL227" i="6"/>
  <c r="CL30" i="6"/>
  <c r="CM227" i="6"/>
  <c r="CM225" i="6" s="1"/>
  <c r="CM231" i="6" s="1"/>
  <c r="CM228" i="6" s="1"/>
  <c r="CM30" i="6"/>
  <c r="CK216" i="2"/>
  <c r="CK212" i="2" s="1"/>
  <c r="CM355" i="12"/>
  <c r="CM6" i="6"/>
  <c r="CL355" i="12"/>
  <c r="CL237" i="6"/>
  <c r="CO359" i="12"/>
  <c r="CO355" i="12" s="1"/>
  <c r="CM237" i="6"/>
  <c r="CO212" i="2"/>
  <c r="CM198" i="6"/>
  <c r="CK152" i="2"/>
  <c r="CK93" i="2"/>
  <c r="CK92" i="2"/>
  <c r="CK94" i="2"/>
  <c r="CO117" i="2"/>
  <c r="CO89" i="2"/>
  <c r="CO217" i="2"/>
  <c r="CK217" i="2"/>
  <c r="CM146" i="2"/>
  <c r="CM171" i="2" s="1"/>
  <c r="CM89" i="2"/>
  <c r="CM248" i="2"/>
  <c r="CM217" i="2"/>
  <c r="CN171" i="2"/>
  <c r="CN307" i="6" s="1"/>
  <c r="CO174" i="2"/>
  <c r="CO169" i="2"/>
  <c r="CM168" i="2"/>
  <c r="CM173" i="2"/>
  <c r="CL173" i="2"/>
  <c r="CL168" i="2"/>
  <c r="CN237" i="2"/>
  <c r="CN223" i="2"/>
  <c r="CM227" i="2"/>
  <c r="CM25" i="2"/>
  <c r="CL227" i="2"/>
  <c r="CL25" i="2"/>
  <c r="CK174" i="2"/>
  <c r="CK169" i="2"/>
  <c r="CL152" i="2"/>
  <c r="CO6" i="2"/>
  <c r="CO226" i="2"/>
  <c r="CO225" i="2" s="1"/>
  <c r="CO231" i="2" s="1"/>
  <c r="CO228" i="2" s="1"/>
  <c r="CN6" i="2"/>
  <c r="CN226" i="2"/>
  <c r="CN248" i="2"/>
  <c r="CN83" i="2"/>
  <c r="CL174" i="2"/>
  <c r="CL169" i="2"/>
  <c r="CL217" i="2"/>
  <c r="CL226" i="2"/>
  <c r="CL6" i="2"/>
  <c r="CL223" i="2"/>
  <c r="CL237" i="2"/>
  <c r="CO173" i="2"/>
  <c r="CO168" i="2"/>
  <c r="CM176" i="2"/>
  <c r="CK173" i="2"/>
  <c r="CK168" i="2"/>
  <c r="CN174" i="2"/>
  <c r="CN169" i="2"/>
  <c r="CM237" i="2"/>
  <c r="CM223" i="2"/>
  <c r="CM226" i="2"/>
  <c r="CN71" i="2"/>
  <c r="CL77" i="2"/>
  <c r="CM83" i="2"/>
  <c r="CM95" i="2"/>
  <c r="CL121" i="2"/>
  <c r="CO122" i="2"/>
  <c r="CO153" i="2"/>
  <c r="CM161" i="2"/>
  <c r="CM152" i="2" s="1"/>
  <c r="CN173" i="2"/>
  <c r="CL198" i="2"/>
  <c r="CO88" i="2"/>
  <c r="CO146" i="2" s="1"/>
  <c r="CN161" i="2"/>
  <c r="CN152" i="2" s="1"/>
  <c r="CM198" i="2"/>
  <c r="CO25" i="2"/>
  <c r="CO83" i="2"/>
  <c r="CL94" i="2"/>
  <c r="CO95" i="2"/>
  <c r="CK120" i="2"/>
  <c r="CK117" i="2" s="1"/>
  <c r="CO145" i="2"/>
  <c r="CN198" i="2"/>
  <c r="CO223" i="2"/>
  <c r="CM144" i="2"/>
  <c r="CL86" i="2"/>
  <c r="CL117" i="2"/>
  <c r="CM120" i="2"/>
  <c r="CM117" i="2" s="1"/>
  <c r="CK153" i="2"/>
  <c r="CK422" i="12"/>
  <c r="CK205" i="12"/>
  <c r="CN251" i="12"/>
  <c r="CN291" i="12" s="1"/>
  <c r="CK184" i="12"/>
  <c r="CK176" i="12"/>
  <c r="CK150" i="12"/>
  <c r="CK145" i="12"/>
  <c r="CN90" i="12"/>
  <c r="CN143" i="12" s="1"/>
  <c r="CN258" i="6" s="1"/>
  <c r="CK116" i="12"/>
  <c r="CM245" i="12"/>
  <c r="CM285" i="12" s="1"/>
  <c r="CL251" i="12"/>
  <c r="CL291" i="12" s="1"/>
  <c r="CO199" i="12"/>
  <c r="CM199" i="12"/>
  <c r="CO251" i="12"/>
  <c r="CO291" i="12" s="1"/>
  <c r="CL199" i="12"/>
  <c r="CM251" i="12"/>
  <c r="CM291" i="12" s="1"/>
  <c r="CM247" i="12"/>
  <c r="CM287" i="12" s="1"/>
  <c r="CM419" i="12" s="1"/>
  <c r="CN366" i="12"/>
  <c r="CN245" i="12"/>
  <c r="CN285" i="12" s="1"/>
  <c r="CM366" i="12"/>
  <c r="CN368" i="12"/>
  <c r="CN407" i="12" s="1"/>
  <c r="CN247" i="12"/>
  <c r="CM86" i="12"/>
  <c r="CM139" i="12" s="1"/>
  <c r="CM363" i="12" s="1"/>
  <c r="CM362" i="12" s="1"/>
  <c r="CM407" i="12"/>
  <c r="CL384" i="12"/>
  <c r="CL390" i="12" s="1"/>
  <c r="CL387" i="12" s="1"/>
  <c r="CL249" i="12"/>
  <c r="CL369" i="12"/>
  <c r="CL408" i="12" s="1"/>
  <c r="CM321" i="12"/>
  <c r="CM386" i="12"/>
  <c r="CM37" i="12"/>
  <c r="CN336" i="12"/>
  <c r="CN322" i="12"/>
  <c r="CO261" i="12"/>
  <c r="CL86" i="12"/>
  <c r="CL139" i="12" s="1"/>
  <c r="CM371" i="12"/>
  <c r="CM322" i="12"/>
  <c r="CM250" i="12"/>
  <c r="CM370" i="12"/>
  <c r="CM409" i="12" s="1"/>
  <c r="CM367" i="12"/>
  <c r="CO247" i="12"/>
  <c r="CO368" i="12"/>
  <c r="CO407" i="12" s="1"/>
  <c r="CO37" i="12"/>
  <c r="CO367" i="12"/>
  <c r="CM302" i="12"/>
  <c r="CM422" i="12"/>
  <c r="CN250" i="12"/>
  <c r="CL321" i="12"/>
  <c r="CL322" i="12"/>
  <c r="CM261" i="12"/>
  <c r="CL370" i="12"/>
  <c r="CL409" i="12" s="1"/>
  <c r="CL250" i="12"/>
  <c r="CL367" i="12"/>
  <c r="CN302" i="12"/>
  <c r="CN422" i="12"/>
  <c r="CO250" i="12"/>
  <c r="CO370" i="12"/>
  <c r="CO409" i="12" s="1"/>
  <c r="CO321" i="12"/>
  <c r="CO249" i="12"/>
  <c r="CO369" i="12"/>
  <c r="CO408" i="12" s="1"/>
  <c r="CM6" i="12"/>
  <c r="CM385" i="12"/>
  <c r="CN323" i="12"/>
  <c r="CN397" i="12" s="1"/>
  <c r="CL247" i="12"/>
  <c r="CL368" i="12"/>
  <c r="CL407" i="12" s="1"/>
  <c r="CL261" i="12"/>
  <c r="CM323" i="12"/>
  <c r="CM397" i="12" s="1"/>
  <c r="CM249" i="12"/>
  <c r="CM369" i="12"/>
  <c r="CM408" i="12" s="1"/>
  <c r="CO86" i="12"/>
  <c r="CO139" i="12" s="1"/>
  <c r="CO6" i="12"/>
  <c r="CO385" i="12"/>
  <c r="CO384" i="12" s="1"/>
  <c r="CO390" i="12" s="1"/>
  <c r="CO387" i="12" s="1"/>
  <c r="CL6" i="12"/>
  <c r="CN327" i="12"/>
  <c r="CN149" i="12"/>
  <c r="CN147" i="12" s="1"/>
  <c r="CN94" i="12"/>
  <c r="CO149" i="12"/>
  <c r="CO147" i="12" s="1"/>
  <c r="CM327" i="12"/>
  <c r="CM149" i="12"/>
  <c r="CM147" i="12" s="1"/>
  <c r="CM94" i="12"/>
  <c r="CL372" i="12"/>
  <c r="CL371" i="12" s="1"/>
  <c r="CO422" i="12"/>
  <c r="CO428" i="12" s="1"/>
  <c r="CO208" i="12"/>
  <c r="CO140" i="12"/>
  <c r="CN208" i="12"/>
  <c r="CL149" i="12"/>
  <c r="CL147" i="12" s="1"/>
  <c r="CM208" i="12"/>
  <c r="CL422" i="12"/>
  <c r="CL208" i="12"/>
  <c r="CL140" i="12"/>
  <c r="CK368" i="12"/>
  <c r="CK323" i="12"/>
  <c r="CK397" i="12" s="1"/>
  <c r="CK336" i="12"/>
  <c r="CK321" i="12" s="1"/>
  <c r="CK149" i="12"/>
  <c r="CK88" i="12"/>
  <c r="CK322" i="12"/>
  <c r="CK155" i="12"/>
  <c r="CK245" i="12"/>
  <c r="CK285" i="12" s="1"/>
  <c r="CK296" i="6" s="1"/>
  <c r="CF165" i="2"/>
  <c r="CF163" i="2"/>
  <c r="CF162" i="2"/>
  <c r="CF151" i="2"/>
  <c r="CF150" i="2"/>
  <c r="CF130" i="2"/>
  <c r="CF126" i="2"/>
  <c r="CF125" i="2"/>
  <c r="CF116" i="2"/>
  <c r="CF114" i="2"/>
  <c r="CF109" i="2"/>
  <c r="CF104" i="2"/>
  <c r="CF98" i="2"/>
  <c r="CF82" i="2"/>
  <c r="CF80" i="2"/>
  <c r="CF74" i="2"/>
  <c r="CF66" i="2"/>
  <c r="CF65" i="2"/>
  <c r="CF64" i="2"/>
  <c r="CF57" i="2"/>
  <c r="CF41" i="2"/>
  <c r="CF55" i="2"/>
  <c r="CF39" i="2"/>
  <c r="CF36" i="2"/>
  <c r="CF35" i="2"/>
  <c r="CF34" i="2"/>
  <c r="CF33" i="2"/>
  <c r="CF32" i="2"/>
  <c r="CF31" i="2"/>
  <c r="CF27" i="2"/>
  <c r="CF24" i="2"/>
  <c r="CF23" i="2"/>
  <c r="CF22" i="2"/>
  <c r="CF21" i="2"/>
  <c r="CF19" i="2"/>
  <c r="CF16" i="2"/>
  <c r="CF13" i="2"/>
  <c r="CF12" i="2"/>
  <c r="CF10" i="2"/>
  <c r="CF9" i="2"/>
  <c r="CF8" i="2"/>
  <c r="CK37" i="12" l="1"/>
  <c r="CN25" i="2"/>
  <c r="CN86" i="12"/>
  <c r="CN6" i="12"/>
  <c r="CN261" i="12"/>
  <c r="CN139" i="12"/>
  <c r="CN363" i="12" s="1"/>
  <c r="CN145" i="2"/>
  <c r="CN175" i="2" s="1"/>
  <c r="CN226" i="6"/>
  <c r="CN237" i="6"/>
  <c r="CK260" i="6"/>
  <c r="CN355" i="12"/>
  <c r="CK204" i="12"/>
  <c r="CN30" i="6"/>
  <c r="CN112" i="6"/>
  <c r="CN119" i="6" s="1"/>
  <c r="CN121" i="6" s="1"/>
  <c r="CN37" i="12"/>
  <c r="CK25" i="2"/>
  <c r="CK261" i="12"/>
  <c r="CN369" i="12"/>
  <c r="CN408" i="12" s="1"/>
  <c r="CN199" i="12"/>
  <c r="CK247" i="12"/>
  <c r="CK248" i="2"/>
  <c r="CN197" i="6"/>
  <c r="CN196" i="6" s="1"/>
  <c r="CN247" i="6" s="1"/>
  <c r="CN370" i="12"/>
  <c r="CN409" i="12" s="1"/>
  <c r="CK197" i="6"/>
  <c r="CK196" i="6" s="1"/>
  <c r="CK247" i="6" s="1"/>
  <c r="CK112" i="6"/>
  <c r="CK119" i="6" s="1"/>
  <c r="CK121" i="6" s="1"/>
  <c r="CN362" i="12"/>
  <c r="CN404" i="12" s="1"/>
  <c r="CK226" i="12"/>
  <c r="CK147" i="12"/>
  <c r="CN249" i="12"/>
  <c r="CK6" i="2"/>
  <c r="CN254" i="6"/>
  <c r="CN253" i="6" s="1"/>
  <c r="CK23" i="6"/>
  <c r="CK6" i="6" s="1"/>
  <c r="CK201" i="12"/>
  <c r="CK385" i="12"/>
  <c r="CK6" i="12"/>
  <c r="CK386" i="12"/>
  <c r="CK178" i="6"/>
  <c r="CK177" i="6" s="1"/>
  <c r="CK357" i="12"/>
  <c r="CK355" i="12" s="1"/>
  <c r="CN225" i="6"/>
  <c r="CN231" i="6" s="1"/>
  <c r="CN228" i="6" s="1"/>
  <c r="CK30" i="6"/>
  <c r="CK143" i="12"/>
  <c r="CK89" i="2"/>
  <c r="CK168" i="6"/>
  <c r="CK427" i="12"/>
  <c r="CK91" i="12"/>
  <c r="CK144" i="12" s="1"/>
  <c r="CN367" i="12"/>
  <c r="CN406" i="12" s="1"/>
  <c r="CN321" i="12"/>
  <c r="CN377" i="12" s="1"/>
  <c r="CK83" i="2"/>
  <c r="CK146" i="2"/>
  <c r="CK176" i="2" s="1"/>
  <c r="CK285" i="6" s="1"/>
  <c r="CK366" i="12"/>
  <c r="CK255" i="6"/>
  <c r="CM45" i="16"/>
  <c r="CM44" i="16" s="1"/>
  <c r="CM43" i="16" s="1"/>
  <c r="CM41" i="16" s="1"/>
  <c r="CM292" i="6"/>
  <c r="CL35" i="16"/>
  <c r="CO36" i="16"/>
  <c r="CO35" i="16" s="1"/>
  <c r="CO24" i="16"/>
  <c r="CL225" i="6"/>
  <c r="CL231" i="6" s="1"/>
  <c r="CL228" i="6" s="1"/>
  <c r="CM196" i="6"/>
  <c r="CM247" i="6" s="1"/>
  <c r="CM119" i="6"/>
  <c r="CM121" i="6" s="1"/>
  <c r="CM205" i="6"/>
  <c r="CM204" i="6" s="1"/>
  <c r="CO119" i="6"/>
  <c r="CO121" i="6" s="1"/>
  <c r="CO205" i="6"/>
  <c r="CO204" i="6" s="1"/>
  <c r="CK225" i="6"/>
  <c r="CK231" i="6" s="1"/>
  <c r="CK228" i="6" s="1"/>
  <c r="CL119" i="6"/>
  <c r="CL121" i="6" s="1"/>
  <c r="CL205" i="6"/>
  <c r="CL204" i="6" s="1"/>
  <c r="CL146" i="2"/>
  <c r="CL176" i="2" s="1"/>
  <c r="CL285" i="6" s="1"/>
  <c r="CL89" i="2"/>
  <c r="CM245" i="2"/>
  <c r="CM142" i="2"/>
  <c r="CL83" i="2"/>
  <c r="CL248" i="2"/>
  <c r="CL145" i="2"/>
  <c r="CL225" i="2"/>
  <c r="CL231" i="2" s="1"/>
  <c r="CL228" i="2" s="1"/>
  <c r="CO245" i="2"/>
  <c r="CO142" i="2"/>
  <c r="CM174" i="2"/>
  <c r="CM169" i="2"/>
  <c r="CM145" i="2"/>
  <c r="CK145" i="2"/>
  <c r="CK225" i="2"/>
  <c r="CK231" i="2" s="1"/>
  <c r="CK228" i="2" s="1"/>
  <c r="CK223" i="2"/>
  <c r="CK237" i="2"/>
  <c r="CM225" i="2"/>
  <c r="CM231" i="2" s="1"/>
  <c r="CM228" i="2" s="1"/>
  <c r="CO175" i="2"/>
  <c r="CO252" i="2" s="1"/>
  <c r="CO170" i="2"/>
  <c r="CO256" i="2" s="1"/>
  <c r="CO171" i="2"/>
  <c r="CO176" i="2"/>
  <c r="CN225" i="2"/>
  <c r="CN231" i="2" s="1"/>
  <c r="CN228" i="2" s="1"/>
  <c r="CN245" i="2"/>
  <c r="CN142" i="2"/>
  <c r="CK407" i="12"/>
  <c r="CM296" i="12"/>
  <c r="CM413" i="12" s="1"/>
  <c r="CL246" i="12"/>
  <c r="CL406" i="12"/>
  <c r="CM244" i="12"/>
  <c r="CM376" i="12" s="1"/>
  <c r="CN287" i="12"/>
  <c r="CN419" i="12" s="1"/>
  <c r="CN296" i="12"/>
  <c r="CN413" i="12" s="1"/>
  <c r="CM377" i="12"/>
  <c r="CM396" i="12"/>
  <c r="CL287" i="12"/>
  <c r="CL419" i="12" s="1"/>
  <c r="CL296" i="12"/>
  <c r="CL413" i="12" s="1"/>
  <c r="CN289" i="12"/>
  <c r="CN297" i="12"/>
  <c r="CO298" i="12"/>
  <c r="CO415" i="12" s="1"/>
  <c r="CO290" i="12"/>
  <c r="CO421" i="12" s="1"/>
  <c r="CN384" i="12"/>
  <c r="CN390" i="12" s="1"/>
  <c r="CN387" i="12" s="1"/>
  <c r="CO245" i="12"/>
  <c r="CO285" i="12" s="1"/>
  <c r="CO366" i="12"/>
  <c r="CO289" i="12"/>
  <c r="CO420" i="12" s="1"/>
  <c r="CO297" i="12"/>
  <c r="CO414" i="12" s="1"/>
  <c r="CL295" i="12"/>
  <c r="CL286" i="12"/>
  <c r="CL418" i="12" s="1"/>
  <c r="CL245" i="12"/>
  <c r="CL285" i="12" s="1"/>
  <c r="CL366" i="12"/>
  <c r="CL290" i="12"/>
  <c r="CL421" i="12" s="1"/>
  <c r="CL298" i="12"/>
  <c r="CL415" i="12" s="1"/>
  <c r="CO287" i="12"/>
  <c r="CO419" i="12" s="1"/>
  <c r="CO296" i="12"/>
  <c r="CO413" i="12" s="1"/>
  <c r="CO377" i="12"/>
  <c r="CO396" i="12"/>
  <c r="CM246" i="12"/>
  <c r="CL244" i="12"/>
  <c r="CL376" i="12" s="1"/>
  <c r="CL363" i="12"/>
  <c r="CL362" i="12" s="1"/>
  <c r="CL404" i="12" s="1"/>
  <c r="CM384" i="12"/>
  <c r="CM390" i="12" s="1"/>
  <c r="CM387" i="12" s="1"/>
  <c r="CL377" i="12"/>
  <c r="CL396" i="12"/>
  <c r="CO363" i="12"/>
  <c r="CO362" i="12" s="1"/>
  <c r="CO404" i="12" s="1"/>
  <c r="CO244" i="12"/>
  <c r="CO376" i="12" s="1"/>
  <c r="CL37" i="12"/>
  <c r="CO246" i="12"/>
  <c r="CM406" i="12"/>
  <c r="CN246" i="12"/>
  <c r="CM289" i="12"/>
  <c r="CM420" i="12" s="1"/>
  <c r="CM297" i="12"/>
  <c r="CM414" i="12" s="1"/>
  <c r="CM290" i="12"/>
  <c r="CM421" i="12" s="1"/>
  <c r="CM298" i="12"/>
  <c r="CM415" i="12" s="1"/>
  <c r="CN290" i="12"/>
  <c r="CN298" i="12"/>
  <c r="CO406" i="12"/>
  <c r="CM404" i="12"/>
  <c r="CL289" i="12"/>
  <c r="CL420" i="12" s="1"/>
  <c r="CL297" i="12"/>
  <c r="CL414" i="12" s="1"/>
  <c r="CK377" i="12"/>
  <c r="CK396" i="12"/>
  <c r="CK141" i="12"/>
  <c r="CK256" i="6" s="1"/>
  <c r="CK287" i="12"/>
  <c r="CK296" i="12"/>
  <c r="CF80" i="12"/>
  <c r="CF79" i="12"/>
  <c r="CF78" i="12"/>
  <c r="CF75" i="12"/>
  <c r="CF74" i="12"/>
  <c r="CF73" i="12"/>
  <c r="CF72" i="12"/>
  <c r="CF70" i="12"/>
  <c r="CF68" i="12"/>
  <c r="CF66" i="12"/>
  <c r="CF64" i="12"/>
  <c r="CF63" i="12"/>
  <c r="CF62" i="12"/>
  <c r="CF60" i="12"/>
  <c r="CF59" i="12"/>
  <c r="CF58" i="12"/>
  <c r="CF57" i="12"/>
  <c r="CF56" i="12"/>
  <c r="CF54" i="12"/>
  <c r="CF53" i="12"/>
  <c r="CF50" i="12"/>
  <c r="CF49" i="12"/>
  <c r="CF48" i="12"/>
  <c r="CF47" i="12"/>
  <c r="CF46" i="12"/>
  <c r="CF45" i="12"/>
  <c r="CF44" i="12"/>
  <c r="CF43" i="12"/>
  <c r="CF41" i="12"/>
  <c r="CF40" i="12"/>
  <c r="CF39" i="12"/>
  <c r="CF36" i="12"/>
  <c r="CF35" i="12"/>
  <c r="CF34" i="12"/>
  <c r="CF33" i="12"/>
  <c r="CF31" i="12"/>
  <c r="CF29" i="12"/>
  <c r="CF28" i="12"/>
  <c r="CF27" i="12"/>
  <c r="CF26" i="12"/>
  <c r="CF24" i="12"/>
  <c r="CF23" i="12"/>
  <c r="CF22" i="12"/>
  <c r="CF20" i="12"/>
  <c r="CF19" i="12"/>
  <c r="CF14" i="12"/>
  <c r="CF13" i="12"/>
  <c r="CF11" i="12"/>
  <c r="CF10" i="12"/>
  <c r="CF9" i="12"/>
  <c r="CF8" i="12"/>
  <c r="CF76" i="6"/>
  <c r="CF78" i="6"/>
  <c r="CF75" i="6"/>
  <c r="CF70" i="6"/>
  <c r="CF68" i="6"/>
  <c r="CF66" i="6"/>
  <c r="CF65" i="6"/>
  <c r="CF64" i="6"/>
  <c r="CF61" i="6"/>
  <c r="CF57" i="6"/>
  <c r="CF56" i="6"/>
  <c r="CF54" i="6"/>
  <c r="CF53" i="6"/>
  <c r="CF52" i="6"/>
  <c r="CF51" i="6"/>
  <c r="CF50" i="6"/>
  <c r="CF48" i="6"/>
  <c r="CF47" i="6"/>
  <c r="CF43" i="6"/>
  <c r="CF42" i="6"/>
  <c r="CF41" i="6"/>
  <c r="CF40" i="6"/>
  <c r="CF39" i="6"/>
  <c r="CF38" i="6"/>
  <c r="CF37" i="6"/>
  <c r="CF36" i="6"/>
  <c r="CF33" i="6"/>
  <c r="CF32" i="6"/>
  <c r="CF27" i="6"/>
  <c r="CF26" i="6"/>
  <c r="CF25" i="6"/>
  <c r="CF24" i="6"/>
  <c r="CF21" i="6"/>
  <c r="CF15" i="6"/>
  <c r="CF14" i="6"/>
  <c r="CF22" i="6"/>
  <c r="CF20" i="6"/>
  <c r="CF19" i="6"/>
  <c r="CF18" i="6"/>
  <c r="CF13" i="6"/>
  <c r="CF12" i="6"/>
  <c r="CF11" i="6"/>
  <c r="CF9" i="6"/>
  <c r="CF10" i="6"/>
  <c r="CF8" i="6"/>
  <c r="BX272" i="12"/>
  <c r="CE209" i="6"/>
  <c r="CE206" i="2"/>
  <c r="CE205" i="2"/>
  <c r="CE203" i="2"/>
  <c r="CE199" i="2"/>
  <c r="CE187" i="2"/>
  <c r="CE166" i="2"/>
  <c r="CE165" i="2"/>
  <c r="CE163" i="2"/>
  <c r="CE162" i="2"/>
  <c r="CE151" i="2"/>
  <c r="CE150" i="2"/>
  <c r="CE130" i="2"/>
  <c r="CE126" i="2"/>
  <c r="CE125" i="2"/>
  <c r="CE115" i="2"/>
  <c r="CE116" i="2"/>
  <c r="CE114" i="2"/>
  <c r="CE109" i="2"/>
  <c r="CE105" i="2"/>
  <c r="CE104" i="2"/>
  <c r="CE99" i="2"/>
  <c r="CE100" i="2"/>
  <c r="CE98" i="2"/>
  <c r="CE82" i="2"/>
  <c r="CE80" i="2"/>
  <c r="CE74" i="2"/>
  <c r="CE58" i="2"/>
  <c r="CE59" i="2"/>
  <c r="CE60" i="2"/>
  <c r="CE61" i="2"/>
  <c r="CE62" i="2"/>
  <c r="CE63" i="2"/>
  <c r="CE64" i="2"/>
  <c r="CE65" i="2"/>
  <c r="CE66" i="2"/>
  <c r="CE57" i="2"/>
  <c r="CE28" i="2"/>
  <c r="CE29" i="2"/>
  <c r="CE30" i="2"/>
  <c r="CE33" i="2"/>
  <c r="CE37" i="2"/>
  <c r="CE38" i="2"/>
  <c r="CE22" i="2"/>
  <c r="CE11" i="2"/>
  <c r="CE13" i="2"/>
  <c r="CE14" i="2"/>
  <c r="CE15" i="2"/>
  <c r="CE17" i="2"/>
  <c r="CE18" i="2"/>
  <c r="CE351" i="12"/>
  <c r="CE352" i="12"/>
  <c r="CE318" i="12"/>
  <c r="CE306" i="12"/>
  <c r="CE292" i="12"/>
  <c r="CE256" i="12"/>
  <c r="CE259" i="12"/>
  <c r="CE254" i="12"/>
  <c r="CE238" i="12"/>
  <c r="CE239" i="12"/>
  <c r="CE240" i="12"/>
  <c r="CE229" i="12"/>
  <c r="CE230" i="12"/>
  <c r="CE227" i="12"/>
  <c r="CE220" i="12"/>
  <c r="CE221" i="12"/>
  <c r="CE224" i="12"/>
  <c r="CE218" i="12"/>
  <c r="CE211" i="12"/>
  <c r="CE212" i="12"/>
  <c r="CE215" i="12"/>
  <c r="CE216" i="12"/>
  <c r="CE209" i="12"/>
  <c r="CE195" i="12"/>
  <c r="CE187" i="12"/>
  <c r="CE190" i="12"/>
  <c r="CE179" i="12"/>
  <c r="CE182" i="12"/>
  <c r="CE173" i="12"/>
  <c r="CE158" i="12"/>
  <c r="CE156" i="12"/>
  <c r="CE154" i="12"/>
  <c r="CE134" i="12"/>
  <c r="CE126" i="12"/>
  <c r="CE127" i="12"/>
  <c r="CE125" i="12"/>
  <c r="CE119" i="12"/>
  <c r="CE120" i="12"/>
  <c r="CE117" i="12"/>
  <c r="CE112" i="12"/>
  <c r="CE97" i="12"/>
  <c r="CE76" i="12"/>
  <c r="CE77" i="12"/>
  <c r="CE61" i="12"/>
  <c r="CE65" i="12"/>
  <c r="CE67" i="12"/>
  <c r="CE69" i="12"/>
  <c r="CE42" i="12"/>
  <c r="CE51" i="12"/>
  <c r="CE52" i="12"/>
  <c r="CE25" i="12"/>
  <c r="CE30" i="12"/>
  <c r="CE12" i="12"/>
  <c r="CE15" i="12"/>
  <c r="CE16" i="12"/>
  <c r="CE17" i="12"/>
  <c r="CE18" i="12"/>
  <c r="CE101" i="6"/>
  <c r="CE102" i="6"/>
  <c r="CE104" i="6"/>
  <c r="CE88" i="6"/>
  <c r="CE89" i="6"/>
  <c r="CE91" i="6"/>
  <c r="CE92" i="6"/>
  <c r="CE93" i="6"/>
  <c r="CE69" i="6"/>
  <c r="CE71" i="6"/>
  <c r="CE72" i="6"/>
  <c r="CE73" i="6"/>
  <c r="CE74" i="6"/>
  <c r="CE77" i="6"/>
  <c r="CE55" i="6"/>
  <c r="CE58" i="6"/>
  <c r="CE59" i="6"/>
  <c r="CE60" i="6"/>
  <c r="CE62" i="6"/>
  <c r="CE63" i="6"/>
  <c r="CE34" i="6"/>
  <c r="CE35" i="6"/>
  <c r="CE42" i="6"/>
  <c r="CE44" i="6"/>
  <c r="CE45" i="6"/>
  <c r="CE46" i="6"/>
  <c r="CE15" i="6"/>
  <c r="CE16" i="6"/>
  <c r="CE17" i="6"/>
  <c r="CF26" i="16"/>
  <c r="CE55" i="2"/>
  <c r="CE41" i="2"/>
  <c r="CE39" i="2"/>
  <c r="CE36" i="2"/>
  <c r="CE35" i="2"/>
  <c r="CE34" i="2"/>
  <c r="CE32" i="2"/>
  <c r="CE31" i="2"/>
  <c r="CE27" i="2"/>
  <c r="CE24" i="2"/>
  <c r="CE23" i="2"/>
  <c r="CE21" i="2"/>
  <c r="CE19" i="2"/>
  <c r="CE16" i="2"/>
  <c r="CE12" i="2"/>
  <c r="CE10" i="2"/>
  <c r="CE9" i="2"/>
  <c r="CE8" i="2"/>
  <c r="CF191" i="12"/>
  <c r="CE81" i="12"/>
  <c r="CE80" i="12"/>
  <c r="CE79" i="12"/>
  <c r="CE78" i="12"/>
  <c r="CE75" i="12"/>
  <c r="CE74" i="12"/>
  <c r="CE73" i="12"/>
  <c r="CE72" i="12"/>
  <c r="CE70" i="12"/>
  <c r="CE68" i="12"/>
  <c r="CE66" i="12"/>
  <c r="CE64" i="12"/>
  <c r="CE63" i="12"/>
  <c r="CE62" i="12"/>
  <c r="CE60" i="12"/>
  <c r="CE59" i="12"/>
  <c r="CE58" i="12"/>
  <c r="CE57" i="12"/>
  <c r="CE56" i="12"/>
  <c r="CE54" i="12"/>
  <c r="CE53" i="12"/>
  <c r="CE50" i="12"/>
  <c r="CE49" i="12"/>
  <c r="CE48" i="12"/>
  <c r="CE47" i="12"/>
  <c r="CE46" i="12"/>
  <c r="CE45" i="12"/>
  <c r="CE44" i="12"/>
  <c r="CE43" i="12"/>
  <c r="CE41" i="12"/>
  <c r="CE40" i="12"/>
  <c r="CE39" i="12"/>
  <c r="CE36" i="12"/>
  <c r="CE35" i="12"/>
  <c r="CE34" i="12"/>
  <c r="CE33" i="12"/>
  <c r="CE31" i="12"/>
  <c r="CE29" i="12"/>
  <c r="CE28" i="12"/>
  <c r="CE27" i="12"/>
  <c r="CE26" i="12"/>
  <c r="CE24" i="12"/>
  <c r="CE23" i="12"/>
  <c r="CE22" i="12"/>
  <c r="CE20" i="12"/>
  <c r="CE19" i="12"/>
  <c r="CE14" i="12"/>
  <c r="CE13" i="12"/>
  <c r="CE11" i="12"/>
  <c r="CE10" i="12"/>
  <c r="CE9" i="12"/>
  <c r="CE8" i="12"/>
  <c r="CE195" i="6"/>
  <c r="CE192" i="6"/>
  <c r="CE188" i="6"/>
  <c r="CE187" i="6"/>
  <c r="CE183" i="6"/>
  <c r="CE182" i="6"/>
  <c r="CE181" i="6"/>
  <c r="CE180" i="6"/>
  <c r="CE78" i="6"/>
  <c r="CE76" i="6"/>
  <c r="CE75" i="6"/>
  <c r="CE70" i="6"/>
  <c r="CE68" i="6"/>
  <c r="CE66" i="6"/>
  <c r="CE65" i="6"/>
  <c r="CE64" i="6"/>
  <c r="CE61" i="6"/>
  <c r="CE57" i="6"/>
  <c r="CE56" i="6"/>
  <c r="CE54" i="6"/>
  <c r="CE53" i="6"/>
  <c r="CE52" i="6"/>
  <c r="CE51" i="6"/>
  <c r="CE50" i="6"/>
  <c r="CE48" i="6"/>
  <c r="CE47" i="6"/>
  <c r="CE43" i="6"/>
  <c r="CE41" i="6"/>
  <c r="CE40" i="6"/>
  <c r="CE39" i="6"/>
  <c r="CE38" i="6"/>
  <c r="CE37" i="6"/>
  <c r="CE36" i="6"/>
  <c r="CE33" i="6"/>
  <c r="CE32" i="6"/>
  <c r="CE18" i="6"/>
  <c r="CE25" i="6"/>
  <c r="CE27" i="6"/>
  <c r="CE26" i="6"/>
  <c r="CE24" i="6"/>
  <c r="CE22" i="6"/>
  <c r="CE20" i="6"/>
  <c r="CE19" i="6"/>
  <c r="CE14" i="6"/>
  <c r="CE13" i="6"/>
  <c r="CE12" i="6"/>
  <c r="CE11" i="6"/>
  <c r="CE10" i="6"/>
  <c r="CE9" i="6"/>
  <c r="CE8" i="6"/>
  <c r="CC199" i="6"/>
  <c r="CD365" i="12"/>
  <c r="CG199" i="6"/>
  <c r="CD34" i="16"/>
  <c r="CN170" i="2" l="1"/>
  <c r="CN256" i="2" s="1"/>
  <c r="CN244" i="12"/>
  <c r="CN376" i="12" s="1"/>
  <c r="CN205" i="6"/>
  <c r="CN204" i="6" s="1"/>
  <c r="CK205" i="6"/>
  <c r="CK245" i="2"/>
  <c r="CK199" i="12"/>
  <c r="CN396" i="12"/>
  <c r="CK384" i="12"/>
  <c r="CK390" i="12" s="1"/>
  <c r="CK387" i="12" s="1"/>
  <c r="CK142" i="2"/>
  <c r="CK167" i="2" s="1"/>
  <c r="CK253" i="2" s="1"/>
  <c r="CN420" i="12"/>
  <c r="CN300" i="6"/>
  <c r="CN252" i="2"/>
  <c r="CN284" i="6"/>
  <c r="CN281" i="6" s="1"/>
  <c r="CK259" i="6"/>
  <c r="CK370" i="12"/>
  <c r="CK409" i="12" s="1"/>
  <c r="CK250" i="12"/>
  <c r="CK86" i="12"/>
  <c r="CK139" i="12" s="1"/>
  <c r="CK363" i="12" s="1"/>
  <c r="CK362" i="12" s="1"/>
  <c r="CK404" i="12" s="1"/>
  <c r="CN415" i="12"/>
  <c r="CN279" i="6"/>
  <c r="CN421" i="12"/>
  <c r="CN301" i="6"/>
  <c r="CN172" i="2"/>
  <c r="CN249" i="2" s="1"/>
  <c r="CK206" i="6"/>
  <c r="CK204" i="6" s="1"/>
  <c r="CK272" i="6" s="1"/>
  <c r="CK237" i="6"/>
  <c r="CN414" i="12"/>
  <c r="CN278" i="6"/>
  <c r="CK258" i="6"/>
  <c r="CK369" i="12"/>
  <c r="CK408" i="12" s="1"/>
  <c r="CK249" i="12"/>
  <c r="CK171" i="2"/>
  <c r="CK307" i="6" s="1"/>
  <c r="CK413" i="12"/>
  <c r="CK276" i="6"/>
  <c r="CK419" i="12"/>
  <c r="CK298" i="6"/>
  <c r="CL292" i="6"/>
  <c r="CL45" i="16"/>
  <c r="CL44" i="16" s="1"/>
  <c r="CL43" i="16" s="1"/>
  <c r="CL41" i="16" s="1"/>
  <c r="CO45" i="16"/>
  <c r="CO44" i="16" s="1"/>
  <c r="CO43" i="16" s="1"/>
  <c r="CO41" i="16" s="1"/>
  <c r="CO292" i="6"/>
  <c r="CO122" i="6"/>
  <c r="CO248" i="6" s="1"/>
  <c r="CO272" i="6"/>
  <c r="CO236" i="6"/>
  <c r="CO235" i="6" s="1"/>
  <c r="CO234" i="6" s="1"/>
  <c r="CO232" i="6" s="1"/>
  <c r="CO218" i="6"/>
  <c r="CO294" i="6"/>
  <c r="CO315" i="6" s="1"/>
  <c r="CO249" i="6"/>
  <c r="CK294" i="6"/>
  <c r="CK249" i="6"/>
  <c r="CK218" i="6"/>
  <c r="CL272" i="6"/>
  <c r="CL236" i="6"/>
  <c r="CL235" i="6" s="1"/>
  <c r="CL234" i="6" s="1"/>
  <c r="CL232" i="6" s="1"/>
  <c r="CL122" i="6"/>
  <c r="CL248" i="6" s="1"/>
  <c r="CN236" i="6"/>
  <c r="CN235" i="6" s="1"/>
  <c r="CN234" i="6" s="1"/>
  <c r="CN232" i="6" s="1"/>
  <c r="CN122" i="6"/>
  <c r="CN248" i="6" s="1"/>
  <c r="CN272" i="6"/>
  <c r="CL294" i="6"/>
  <c r="CL249" i="6"/>
  <c r="CL218" i="6"/>
  <c r="CN218" i="6"/>
  <c r="CN294" i="6"/>
  <c r="CN249" i="6"/>
  <c r="CM236" i="6"/>
  <c r="CM235" i="6" s="1"/>
  <c r="CM234" i="6" s="1"/>
  <c r="CM232" i="6" s="1"/>
  <c r="CM122" i="6"/>
  <c r="CM248" i="6" s="1"/>
  <c r="CM272" i="6"/>
  <c r="CM294" i="6"/>
  <c r="CM315" i="6" s="1"/>
  <c r="CM249" i="6"/>
  <c r="CM218" i="6"/>
  <c r="CL171" i="2"/>
  <c r="CL307" i="6" s="1"/>
  <c r="CM222" i="2"/>
  <c r="CM221" i="2" s="1"/>
  <c r="CM236" i="2" s="1"/>
  <c r="CM235" i="2" s="1"/>
  <c r="CM234" i="2" s="1"/>
  <c r="CM232" i="2" s="1"/>
  <c r="CM167" i="2"/>
  <c r="CM253" i="2" s="1"/>
  <c r="CK170" i="2"/>
  <c r="CK175" i="2"/>
  <c r="CK284" i="6" s="1"/>
  <c r="CK281" i="6" s="1"/>
  <c r="CN222" i="2"/>
  <c r="CN221" i="2" s="1"/>
  <c r="CN236" i="2" s="1"/>
  <c r="CN235" i="2" s="1"/>
  <c r="CN234" i="2" s="1"/>
  <c r="CN232" i="2" s="1"/>
  <c r="CN167" i="2"/>
  <c r="CN253" i="2" s="1"/>
  <c r="CM175" i="2"/>
  <c r="CM170" i="2"/>
  <c r="CM256" i="2" s="1"/>
  <c r="CL175" i="2"/>
  <c r="CL284" i="6" s="1"/>
  <c r="CL281" i="6" s="1"/>
  <c r="CL170" i="2"/>
  <c r="CK222" i="2"/>
  <c r="CK221" i="2" s="1"/>
  <c r="CK236" i="2" s="1"/>
  <c r="CK235" i="2" s="1"/>
  <c r="CK234" i="2" s="1"/>
  <c r="CK232" i="2" s="1"/>
  <c r="CL245" i="2"/>
  <c r="CL142" i="2"/>
  <c r="CO172" i="2"/>
  <c r="CO249" i="2" s="1"/>
  <c r="CO222" i="2"/>
  <c r="CO221" i="2" s="1"/>
  <c r="CO236" i="2" s="1"/>
  <c r="CO235" i="2" s="1"/>
  <c r="CO234" i="2" s="1"/>
  <c r="CO232" i="2" s="1"/>
  <c r="CO167" i="2"/>
  <c r="CO253" i="2" s="1"/>
  <c r="CN375" i="12"/>
  <c r="CN395" i="12" s="1"/>
  <c r="CN394" i="12" s="1"/>
  <c r="CN393" i="12" s="1"/>
  <c r="CN391" i="12" s="1"/>
  <c r="CM375" i="12"/>
  <c r="CM395" i="12" s="1"/>
  <c r="CM394" i="12" s="1"/>
  <c r="CM393" i="12" s="1"/>
  <c r="CM391" i="12" s="1"/>
  <c r="CN295" i="12"/>
  <c r="CN275" i="6" s="1"/>
  <c r="CN286" i="12"/>
  <c r="CN297" i="6" s="1"/>
  <c r="CO295" i="12"/>
  <c r="CO286" i="12"/>
  <c r="CO418" i="12" s="1"/>
  <c r="CL375" i="12"/>
  <c r="CL395" i="12" s="1"/>
  <c r="CL394" i="12" s="1"/>
  <c r="CL393" i="12" s="1"/>
  <c r="CL391" i="12" s="1"/>
  <c r="CM295" i="12"/>
  <c r="CM286" i="12"/>
  <c r="CL284" i="12"/>
  <c r="CL416" i="12" s="1"/>
  <c r="CO375" i="12"/>
  <c r="CO395" i="12" s="1"/>
  <c r="CO394" i="12" s="1"/>
  <c r="CO393" i="12" s="1"/>
  <c r="CO391" i="12" s="1"/>
  <c r="CL412" i="12"/>
  <c r="CL293" i="12"/>
  <c r="CL410" i="12" s="1"/>
  <c r="CK246" i="12"/>
  <c r="CK367" i="12"/>
  <c r="CK406" i="12" s="1"/>
  <c r="CE34" i="16"/>
  <c r="CE26" i="16"/>
  <c r="CH265" i="12"/>
  <c r="CF121" i="12"/>
  <c r="CF168" i="12"/>
  <c r="CF188" i="12"/>
  <c r="CF219" i="12"/>
  <c r="CF255" i="12"/>
  <c r="CF276" i="12"/>
  <c r="CF96" i="12"/>
  <c r="CF128" i="12"/>
  <c r="CF172" i="12"/>
  <c r="CF189" i="12"/>
  <c r="CF222" i="12"/>
  <c r="CF257" i="12"/>
  <c r="CF98" i="12"/>
  <c r="CF133" i="12"/>
  <c r="CF174" i="12"/>
  <c r="CF194" i="12"/>
  <c r="CF223" i="12"/>
  <c r="CF258" i="12"/>
  <c r="CF99" i="12"/>
  <c r="CF135" i="12"/>
  <c r="CF175" i="12"/>
  <c r="CF196" i="12"/>
  <c r="CF228" i="12"/>
  <c r="CF266" i="12"/>
  <c r="CF111" i="12"/>
  <c r="CF136" i="12"/>
  <c r="CF178" i="12"/>
  <c r="CF197" i="12"/>
  <c r="CF231" i="12"/>
  <c r="CF267" i="12"/>
  <c r="CF113" i="12"/>
  <c r="CF157" i="12"/>
  <c r="CF180" i="12"/>
  <c r="CF210" i="12"/>
  <c r="CF232" i="12"/>
  <c r="CF272" i="12"/>
  <c r="CF114" i="12"/>
  <c r="CF159" i="12"/>
  <c r="CF181" i="12"/>
  <c r="CF213" i="12"/>
  <c r="CF237" i="12"/>
  <c r="CF273" i="12"/>
  <c r="CE21" i="12"/>
  <c r="CF118" i="12"/>
  <c r="CF160" i="12"/>
  <c r="CF186" i="12"/>
  <c r="CF214" i="12"/>
  <c r="CF241" i="12"/>
  <c r="CF275" i="12"/>
  <c r="CI265" i="12"/>
  <c r="CH208" i="12"/>
  <c r="CD199" i="6"/>
  <c r="CD203" i="2"/>
  <c r="CD166" i="2"/>
  <c r="CD105" i="2"/>
  <c r="CD99" i="2"/>
  <c r="CD58" i="2"/>
  <c r="CD59" i="2"/>
  <c r="CD60" i="2"/>
  <c r="CD61" i="2"/>
  <c r="CD62" i="2"/>
  <c r="CD63" i="2"/>
  <c r="CD41" i="2"/>
  <c r="CD28" i="2"/>
  <c r="CD29" i="2"/>
  <c r="CD30" i="2"/>
  <c r="CD36" i="2"/>
  <c r="CD37" i="2"/>
  <c r="CD38" i="2"/>
  <c r="CD11" i="2"/>
  <c r="CD14" i="2"/>
  <c r="CD15" i="2"/>
  <c r="CD17" i="2"/>
  <c r="CD18" i="2"/>
  <c r="CD66" i="2"/>
  <c r="CD65" i="2"/>
  <c r="CD64" i="2"/>
  <c r="CD57" i="2"/>
  <c r="CD55" i="2"/>
  <c r="CD39" i="2"/>
  <c r="CD35" i="2"/>
  <c r="CD34" i="2"/>
  <c r="CD33" i="2"/>
  <c r="CD32" i="2"/>
  <c r="CD31" i="2"/>
  <c r="CD27" i="2"/>
  <c r="CD24" i="2"/>
  <c r="CD23" i="2"/>
  <c r="CD22" i="2"/>
  <c r="CD21" i="2"/>
  <c r="CD19" i="2"/>
  <c r="CD16" i="2"/>
  <c r="CD13" i="2"/>
  <c r="CD12" i="2"/>
  <c r="CD10" i="2"/>
  <c r="CD9" i="2"/>
  <c r="CD8" i="2"/>
  <c r="CD329" i="12"/>
  <c r="CD318" i="12"/>
  <c r="CD306" i="12"/>
  <c r="CD292" i="12"/>
  <c r="CD269" i="12"/>
  <c r="CD256" i="12"/>
  <c r="CD259" i="12"/>
  <c r="CD254" i="12"/>
  <c r="CD238" i="12"/>
  <c r="CD239" i="12"/>
  <c r="CD240" i="12"/>
  <c r="CD236" i="12"/>
  <c r="CD229" i="12"/>
  <c r="CD230" i="12"/>
  <c r="CD227" i="12"/>
  <c r="CD220" i="12"/>
  <c r="CD221" i="12"/>
  <c r="CD224" i="12"/>
  <c r="CD218" i="12"/>
  <c r="CD211" i="12"/>
  <c r="CD212" i="12"/>
  <c r="CD209" i="12"/>
  <c r="CD195" i="12"/>
  <c r="CD187" i="12"/>
  <c r="CD190" i="12"/>
  <c r="CD179" i="12"/>
  <c r="CD182" i="12"/>
  <c r="CD173" i="12"/>
  <c r="CD158" i="12"/>
  <c r="CD156" i="12"/>
  <c r="CD154" i="12"/>
  <c r="CD134" i="12"/>
  <c r="CD126" i="12"/>
  <c r="CD127" i="12"/>
  <c r="CD125" i="12"/>
  <c r="CD119" i="12"/>
  <c r="CD120" i="12"/>
  <c r="CD117" i="12"/>
  <c r="CD112" i="12"/>
  <c r="CD97" i="12"/>
  <c r="CD76" i="12"/>
  <c r="CD77" i="12"/>
  <c r="CD61" i="12"/>
  <c r="CD65" i="12"/>
  <c r="CD67" i="12"/>
  <c r="CD69" i="12"/>
  <c r="CD42" i="12"/>
  <c r="CD51" i="12"/>
  <c r="CD52" i="12"/>
  <c r="CD25" i="12"/>
  <c r="CD30" i="12"/>
  <c r="CD12" i="12"/>
  <c r="CD15" i="12"/>
  <c r="CD16" i="12"/>
  <c r="CD17" i="12"/>
  <c r="CD18" i="12"/>
  <c r="CE353" i="12"/>
  <c r="CE350" i="12"/>
  <c r="CE347" i="12"/>
  <c r="CE341" i="12"/>
  <c r="CE340" i="12"/>
  <c r="CE338" i="12"/>
  <c r="CE337" i="12"/>
  <c r="CE334" i="12"/>
  <c r="CE328" i="12"/>
  <c r="CE308" i="12"/>
  <c r="CE307" i="12"/>
  <c r="CE305" i="12"/>
  <c r="CE276" i="12"/>
  <c r="CE275" i="12"/>
  <c r="CE273" i="12"/>
  <c r="CE272" i="12"/>
  <c r="CE267" i="12"/>
  <c r="CE266" i="12"/>
  <c r="CE258" i="12"/>
  <c r="CE257" i="12"/>
  <c r="CE255" i="12"/>
  <c r="CE241" i="12"/>
  <c r="CE237" i="12"/>
  <c r="CE232" i="12"/>
  <c r="CE231" i="12"/>
  <c r="CE228" i="12"/>
  <c r="CE223" i="12"/>
  <c r="CE222" i="12"/>
  <c r="CE219" i="12"/>
  <c r="CE214" i="12"/>
  <c r="CE213" i="12"/>
  <c r="CE210" i="12"/>
  <c r="CE197" i="12"/>
  <c r="CE196" i="12"/>
  <c r="CE194" i="12"/>
  <c r="CE191" i="12"/>
  <c r="CE189" i="12"/>
  <c r="CE188" i="12"/>
  <c r="CE186" i="12"/>
  <c r="CE181" i="12"/>
  <c r="CE180" i="12"/>
  <c r="CE178" i="12"/>
  <c r="CE175" i="12"/>
  <c r="CN306" i="6" l="1"/>
  <c r="CN303" i="6" s="1"/>
  <c r="CN295" i="6"/>
  <c r="CN315" i="6" s="1"/>
  <c r="CK244" i="12"/>
  <c r="CK376" i="12" s="1"/>
  <c r="CK375" i="12" s="1"/>
  <c r="CK395" i="12" s="1"/>
  <c r="CK394" i="12" s="1"/>
  <c r="CK393" i="12" s="1"/>
  <c r="CK391" i="12" s="1"/>
  <c r="CK254" i="6"/>
  <c r="CK253" i="6" s="1"/>
  <c r="CK236" i="6"/>
  <c r="CK235" i="6" s="1"/>
  <c r="CK234" i="6" s="1"/>
  <c r="CK232" i="6" s="1"/>
  <c r="CK290" i="12"/>
  <c r="CK298" i="12"/>
  <c r="CK297" i="12"/>
  <c r="CK289" i="12"/>
  <c r="CN273" i="6"/>
  <c r="CK122" i="6"/>
  <c r="CK248" i="6" s="1"/>
  <c r="CL315" i="6"/>
  <c r="CK256" i="2"/>
  <c r="CK306" i="6"/>
  <c r="CK303" i="6" s="1"/>
  <c r="CL256" i="2"/>
  <c r="CL306" i="6"/>
  <c r="CL303" i="6" s="1"/>
  <c r="CM224" i="6"/>
  <c r="CM217" i="6" s="1"/>
  <c r="CN224" i="6"/>
  <c r="CN217" i="6" s="1"/>
  <c r="CL224" i="6"/>
  <c r="CL217" i="6"/>
  <c r="CK224" i="6"/>
  <c r="CK217" i="6" s="1"/>
  <c r="CO224" i="6"/>
  <c r="CO217" i="6" s="1"/>
  <c r="CM252" i="2"/>
  <c r="CM172" i="2"/>
  <c r="CM249" i="2" s="1"/>
  <c r="CL222" i="2"/>
  <c r="CL221" i="2" s="1"/>
  <c r="CL236" i="2" s="1"/>
  <c r="CL235" i="2" s="1"/>
  <c r="CL234" i="2" s="1"/>
  <c r="CL232" i="2" s="1"/>
  <c r="CL167" i="2"/>
  <c r="CL253" i="2" s="1"/>
  <c r="CK252" i="2"/>
  <c r="CK172" i="2"/>
  <c r="CK249" i="2" s="1"/>
  <c r="CL252" i="2"/>
  <c r="CL172" i="2"/>
  <c r="CL249" i="2" s="1"/>
  <c r="CO293" i="12"/>
  <c r="CO410" i="12" s="1"/>
  <c r="CO412" i="12"/>
  <c r="CN418" i="12"/>
  <c r="CN284" i="12"/>
  <c r="CN416" i="12" s="1"/>
  <c r="CM293" i="12"/>
  <c r="CM410" i="12" s="1"/>
  <c r="CM412" i="12"/>
  <c r="CN293" i="12"/>
  <c r="CN410" i="12" s="1"/>
  <c r="CN412" i="12"/>
  <c r="CM418" i="12"/>
  <c r="CM284" i="12"/>
  <c r="CM416" i="12" s="1"/>
  <c r="CO284" i="12"/>
  <c r="CO416" i="12" s="1"/>
  <c r="CK295" i="12"/>
  <c r="CK275" i="6" s="1"/>
  <c r="CK286" i="12"/>
  <c r="CK297" i="6" s="1"/>
  <c r="CE208" i="12"/>
  <c r="CF265" i="12"/>
  <c r="CE265" i="12"/>
  <c r="CF208" i="12"/>
  <c r="CD150" i="2"/>
  <c r="CG265" i="12"/>
  <c r="CE174" i="12"/>
  <c r="CE172" i="12"/>
  <c r="CE168" i="12"/>
  <c r="CE163" i="12" s="1"/>
  <c r="CE160" i="12"/>
  <c r="CE159" i="12"/>
  <c r="CE157" i="12"/>
  <c r="CE136" i="12"/>
  <c r="CE135" i="12"/>
  <c r="CE131" i="12" s="1"/>
  <c r="CE133" i="12"/>
  <c r="CE128" i="12"/>
  <c r="CE121" i="12"/>
  <c r="CE118" i="12"/>
  <c r="CE114" i="12"/>
  <c r="CE113" i="12"/>
  <c r="CE111" i="12"/>
  <c r="CE88" i="12" s="1"/>
  <c r="CE141" i="12" s="1"/>
  <c r="CE99" i="12"/>
  <c r="CE427" i="12" s="1"/>
  <c r="CL433" i="12" s="1"/>
  <c r="CE98" i="12"/>
  <c r="CE96" i="12"/>
  <c r="CD81" i="12"/>
  <c r="CD80" i="12"/>
  <c r="CD79" i="12"/>
  <c r="CD78" i="12"/>
  <c r="CD74" i="12"/>
  <c r="CD73" i="12"/>
  <c r="CD72" i="12"/>
  <c r="CD70" i="12"/>
  <c r="CD68" i="12"/>
  <c r="CD66" i="12"/>
  <c r="CD64" i="12"/>
  <c r="CD63" i="12"/>
  <c r="CD62" i="12"/>
  <c r="CD60" i="12"/>
  <c r="CD59" i="12"/>
  <c r="CD58" i="12"/>
  <c r="CD57" i="12"/>
  <c r="CD56" i="12"/>
  <c r="CD54" i="12"/>
  <c r="CD53" i="12"/>
  <c r="CD50" i="12"/>
  <c r="CD49" i="12"/>
  <c r="CD48" i="12"/>
  <c r="CD47" i="12"/>
  <c r="CD46" i="12"/>
  <c r="CD45" i="12"/>
  <c r="CD44" i="12"/>
  <c r="CD43" i="12"/>
  <c r="CD41" i="12"/>
  <c r="CD40" i="12"/>
  <c r="CD39" i="12"/>
  <c r="CD36" i="12"/>
  <c r="CD35" i="12"/>
  <c r="CD34" i="12"/>
  <c r="CD33" i="12"/>
  <c r="CD31" i="12"/>
  <c r="CD29" i="12"/>
  <c r="CD28" i="12"/>
  <c r="CD27" i="12"/>
  <c r="CD26" i="12"/>
  <c r="CD24" i="12"/>
  <c r="CD388" i="12" s="1"/>
  <c r="CD23" i="12"/>
  <c r="CD22" i="12"/>
  <c r="CD20" i="12"/>
  <c r="CD19" i="12"/>
  <c r="CD14" i="12"/>
  <c r="CD13" i="12"/>
  <c r="CD11" i="12"/>
  <c r="CD10" i="12"/>
  <c r="CD9" i="12"/>
  <c r="CD209" i="6"/>
  <c r="CD101" i="6"/>
  <c r="CD102" i="6"/>
  <c r="CD104" i="6"/>
  <c r="CD88" i="6"/>
  <c r="CD89" i="6"/>
  <c r="CD91" i="6"/>
  <c r="CD92" i="6"/>
  <c r="CD93" i="6"/>
  <c r="CG211" i="6"/>
  <c r="CD211" i="6" s="1"/>
  <c r="CE211" i="6" s="1"/>
  <c r="CD195" i="6"/>
  <c r="CD192" i="6"/>
  <c r="CD189" i="6" s="1"/>
  <c r="CD188" i="6"/>
  <c r="CD216" i="2" s="1"/>
  <c r="CD187" i="6"/>
  <c r="CD215" i="2" s="1"/>
  <c r="CD183" i="6"/>
  <c r="CD360" i="12" s="1"/>
  <c r="CD182" i="6"/>
  <c r="CD359" i="12" s="1"/>
  <c r="CD181" i="6"/>
  <c r="CD358" i="12" s="1"/>
  <c r="CG357" i="12"/>
  <c r="CE110" i="6"/>
  <c r="CE100" i="6"/>
  <c r="CE85" i="6"/>
  <c r="CD69" i="6"/>
  <c r="CD72" i="6"/>
  <c r="CD73" i="6"/>
  <c r="CD203" i="6" s="1"/>
  <c r="CD74" i="6"/>
  <c r="CD77" i="6"/>
  <c r="CD55" i="6"/>
  <c r="CD62" i="6"/>
  <c r="CD63" i="6"/>
  <c r="CD34" i="6"/>
  <c r="CD35" i="6"/>
  <c r="CD44" i="6"/>
  <c r="CD45" i="6"/>
  <c r="CD46" i="6"/>
  <c r="CD78" i="6"/>
  <c r="CD76" i="6"/>
  <c r="CD75" i="6"/>
  <c r="CD71" i="6"/>
  <c r="CD202" i="6" s="1"/>
  <c r="CD70" i="6"/>
  <c r="CD68" i="6"/>
  <c r="CD66" i="6"/>
  <c r="CD65" i="6"/>
  <c r="CD64" i="6"/>
  <c r="CD61" i="6"/>
  <c r="CD60" i="6"/>
  <c r="CD59" i="6"/>
  <c r="CD58" i="6"/>
  <c r="CD54" i="6"/>
  <c r="CD53" i="6"/>
  <c r="CD51" i="6"/>
  <c r="CD50" i="6"/>
  <c r="CD48" i="6"/>
  <c r="CD47" i="6"/>
  <c r="CD43" i="6"/>
  <c r="CD42" i="6"/>
  <c r="CD41" i="6"/>
  <c r="CD40" i="6"/>
  <c r="CD39" i="6"/>
  <c r="CD38" i="6"/>
  <c r="CD37" i="6"/>
  <c r="CD32" i="6"/>
  <c r="CE230" i="6"/>
  <c r="CD26" i="6"/>
  <c r="CD229" i="6" s="1"/>
  <c r="CD24" i="6"/>
  <c r="CD15" i="6"/>
  <c r="CD16" i="6"/>
  <c r="CD17" i="6"/>
  <c r="CD22" i="6"/>
  <c r="CD20" i="6"/>
  <c r="CD18" i="6"/>
  <c r="CD14" i="6"/>
  <c r="CD13" i="6"/>
  <c r="CD10" i="6"/>
  <c r="CD9" i="6"/>
  <c r="CD8" i="6"/>
  <c r="CI13" i="16"/>
  <c r="CI17" i="16" s="1"/>
  <c r="CI36" i="16" s="1"/>
  <c r="CI20" i="16"/>
  <c r="CI28" i="16"/>
  <c r="CI27" i="16" s="1"/>
  <c r="CI30" i="16"/>
  <c r="CI38" i="16"/>
  <c r="CI47" i="16"/>
  <c r="CH47" i="16"/>
  <c r="CG13" i="16"/>
  <c r="CG17" i="16" s="1"/>
  <c r="CG20" i="16"/>
  <c r="CG28" i="16"/>
  <c r="CG27" i="16" s="1"/>
  <c r="CG30" i="16"/>
  <c r="CG38" i="16"/>
  <c r="CG47" i="16"/>
  <c r="CF47" i="16"/>
  <c r="CE47" i="16"/>
  <c r="CD47" i="16"/>
  <c r="CH7" i="2"/>
  <c r="CH226" i="2" s="1"/>
  <c r="CI7" i="2"/>
  <c r="CI226" i="2" s="1"/>
  <c r="CH20" i="2"/>
  <c r="CI20" i="2"/>
  <c r="CH26" i="2"/>
  <c r="CH227" i="2" s="1"/>
  <c r="CI26" i="2"/>
  <c r="CH40" i="2"/>
  <c r="CI40" i="2"/>
  <c r="CH56" i="2"/>
  <c r="CH218" i="2" s="1"/>
  <c r="CI56" i="2"/>
  <c r="CI218" i="2" s="1"/>
  <c r="CH70" i="2"/>
  <c r="CI70" i="2"/>
  <c r="CH71" i="2"/>
  <c r="CI71" i="2"/>
  <c r="CH77" i="2"/>
  <c r="CI77" i="2"/>
  <c r="CH86" i="2"/>
  <c r="CH263" i="6" s="1"/>
  <c r="CI86" i="2"/>
  <c r="CH87" i="2"/>
  <c r="CI87" i="2"/>
  <c r="CH88" i="2"/>
  <c r="CI88" i="2"/>
  <c r="CI264" i="6" s="1"/>
  <c r="CH92" i="2"/>
  <c r="CI92" i="2"/>
  <c r="CH93" i="2"/>
  <c r="CI93" i="2"/>
  <c r="CH94" i="2"/>
  <c r="CI94" i="2"/>
  <c r="CH95" i="2"/>
  <c r="CI95" i="2"/>
  <c r="CH101" i="2"/>
  <c r="CI101" i="2"/>
  <c r="CH106" i="2"/>
  <c r="CI106" i="2"/>
  <c r="CH111" i="2"/>
  <c r="CI111" i="2"/>
  <c r="CH118" i="2"/>
  <c r="CH143" i="2" s="1"/>
  <c r="CI118" i="2"/>
  <c r="CI143" i="2" s="1"/>
  <c r="CH119" i="2"/>
  <c r="CH144" i="2" s="1"/>
  <c r="CI119" i="2"/>
  <c r="CI144" i="2" s="1"/>
  <c r="CH120" i="2"/>
  <c r="CI120" i="2"/>
  <c r="CH121" i="2"/>
  <c r="CI121" i="2"/>
  <c r="CH122" i="2"/>
  <c r="CI122" i="2"/>
  <c r="CH127" i="2"/>
  <c r="CI127" i="2"/>
  <c r="CH132" i="2"/>
  <c r="CI132" i="2"/>
  <c r="CH137" i="2"/>
  <c r="CI137" i="2"/>
  <c r="CH147" i="2"/>
  <c r="CI147" i="2"/>
  <c r="CH153" i="2"/>
  <c r="CI153" i="2"/>
  <c r="CH154" i="2"/>
  <c r="CI154" i="2"/>
  <c r="CH161" i="2"/>
  <c r="CI161" i="2"/>
  <c r="CH164" i="2"/>
  <c r="CI164" i="2"/>
  <c r="CH184" i="2"/>
  <c r="CI184" i="2"/>
  <c r="CH190" i="2"/>
  <c r="CI190" i="2"/>
  <c r="CH191" i="2"/>
  <c r="CH238" i="2" s="1"/>
  <c r="CI191" i="2"/>
  <c r="CH192" i="2"/>
  <c r="CI192" i="2"/>
  <c r="CH198" i="2"/>
  <c r="CI198" i="2"/>
  <c r="CH204" i="2"/>
  <c r="CI204" i="2"/>
  <c r="CH208" i="2"/>
  <c r="CI208" i="2"/>
  <c r="CH209" i="2"/>
  <c r="CI209" i="2"/>
  <c r="CI207" i="2" s="1"/>
  <c r="CI224" i="2" s="1"/>
  <c r="CH210" i="2"/>
  <c r="CI210" i="2"/>
  <c r="CH211" i="2"/>
  <c r="CI211" i="2"/>
  <c r="CH215" i="2"/>
  <c r="CI215" i="2"/>
  <c r="CH216" i="2"/>
  <c r="CI216" i="2"/>
  <c r="CH219" i="2"/>
  <c r="CI219" i="2"/>
  <c r="CH220" i="2"/>
  <c r="CI220" i="2"/>
  <c r="CH229" i="2"/>
  <c r="CI229" i="2"/>
  <c r="CH230" i="2"/>
  <c r="CI230" i="2"/>
  <c r="CG7" i="2"/>
  <c r="CG20" i="2"/>
  <c r="CG26" i="2"/>
  <c r="CG40" i="2"/>
  <c r="CG56" i="2"/>
  <c r="CG70" i="2"/>
  <c r="CG71" i="2"/>
  <c r="CG77" i="2"/>
  <c r="CG86" i="2"/>
  <c r="CG263" i="6" s="1"/>
  <c r="CG87" i="2"/>
  <c r="CG88" i="2"/>
  <c r="CG92" i="2"/>
  <c r="CG93" i="2"/>
  <c r="CG94" i="2"/>
  <c r="CG95" i="2"/>
  <c r="CG101" i="2"/>
  <c r="CG106" i="2"/>
  <c r="CG111" i="2"/>
  <c r="CG118" i="2"/>
  <c r="CG143" i="2" s="1"/>
  <c r="CG119" i="2"/>
  <c r="CG144" i="2" s="1"/>
  <c r="CG120" i="2"/>
  <c r="CG121" i="2"/>
  <c r="CG122" i="2"/>
  <c r="CG127" i="2"/>
  <c r="CG132" i="2"/>
  <c r="CG137" i="2"/>
  <c r="CG147" i="2"/>
  <c r="CG153" i="2"/>
  <c r="CG154" i="2"/>
  <c r="CG161" i="2"/>
  <c r="CG164" i="2"/>
  <c r="CG184" i="2"/>
  <c r="CG190" i="2"/>
  <c r="CG191" i="2"/>
  <c r="CG238" i="2" s="1"/>
  <c r="CG192" i="2"/>
  <c r="CG198" i="2"/>
  <c r="CG204" i="2"/>
  <c r="CG208" i="2"/>
  <c r="CG209" i="2"/>
  <c r="CG210" i="2"/>
  <c r="CG211" i="2"/>
  <c r="CG218" i="2"/>
  <c r="CG219" i="2"/>
  <c r="CG220" i="2"/>
  <c r="CG229" i="2"/>
  <c r="CG230" i="2"/>
  <c r="CE7" i="2"/>
  <c r="CF7" i="2"/>
  <c r="CF226" i="2" s="1"/>
  <c r="CE20" i="2"/>
  <c r="CF20" i="2"/>
  <c r="CE26" i="2"/>
  <c r="CE227" i="2" s="1"/>
  <c r="CF26" i="2"/>
  <c r="CF227" i="2" s="1"/>
  <c r="CE40" i="2"/>
  <c r="CF40" i="2"/>
  <c r="CF56" i="2"/>
  <c r="CF218" i="2" s="1"/>
  <c r="CE70" i="2"/>
  <c r="CF70" i="2"/>
  <c r="CE71" i="2"/>
  <c r="CF71" i="2"/>
  <c r="CE77" i="2"/>
  <c r="CF77" i="2"/>
  <c r="CE86" i="2"/>
  <c r="CF86" i="2"/>
  <c r="CE87" i="2"/>
  <c r="CF87" i="2"/>
  <c r="CE88" i="2"/>
  <c r="CF88" i="2"/>
  <c r="CE92" i="2"/>
  <c r="CF92" i="2"/>
  <c r="CE93" i="2"/>
  <c r="CF93" i="2"/>
  <c r="CE94" i="2"/>
  <c r="CF94" i="2"/>
  <c r="CE95" i="2"/>
  <c r="CF95" i="2"/>
  <c r="CE101" i="2"/>
  <c r="CF101" i="2"/>
  <c r="CE106" i="2"/>
  <c r="CF106" i="2"/>
  <c r="CE111" i="2"/>
  <c r="CF111" i="2"/>
  <c r="CE118" i="2"/>
  <c r="CF118" i="2"/>
  <c r="CE119" i="2"/>
  <c r="CE144" i="2" s="1"/>
  <c r="CF119" i="2"/>
  <c r="CF144" i="2" s="1"/>
  <c r="CE120" i="2"/>
  <c r="CF120" i="2"/>
  <c r="CE121" i="2"/>
  <c r="CF121" i="2"/>
  <c r="CE122" i="2"/>
  <c r="CF122" i="2"/>
  <c r="CE127" i="2"/>
  <c r="CF127" i="2"/>
  <c r="CE132" i="2"/>
  <c r="CF132" i="2"/>
  <c r="CE137" i="2"/>
  <c r="CF137" i="2"/>
  <c r="CE143" i="2"/>
  <c r="CE168" i="2" s="1"/>
  <c r="CF143" i="2"/>
  <c r="CF168" i="2" s="1"/>
  <c r="CE147" i="2"/>
  <c r="CF147" i="2"/>
  <c r="CE153" i="2"/>
  <c r="CF153" i="2"/>
  <c r="CE154" i="2"/>
  <c r="CF154" i="2"/>
  <c r="CE161" i="2"/>
  <c r="CF161" i="2"/>
  <c r="CE164" i="2"/>
  <c r="CF164" i="2"/>
  <c r="CE184" i="2"/>
  <c r="CF184" i="2"/>
  <c r="CE190" i="2"/>
  <c r="CF190" i="2"/>
  <c r="CE191" i="2"/>
  <c r="CE238" i="2" s="1"/>
  <c r="CF191" i="2"/>
  <c r="CF238" i="2" s="1"/>
  <c r="CE192" i="2"/>
  <c r="CE173" i="2" s="1"/>
  <c r="CF192" i="2"/>
  <c r="CE198" i="2"/>
  <c r="CF198" i="2"/>
  <c r="CE204" i="2"/>
  <c r="CF204" i="2"/>
  <c r="CE208" i="2"/>
  <c r="CF208" i="2"/>
  <c r="CE209" i="2"/>
  <c r="CF209" i="2"/>
  <c r="CE210" i="2"/>
  <c r="CF210" i="2"/>
  <c r="CE211" i="2"/>
  <c r="CF211" i="2"/>
  <c r="CE215" i="2"/>
  <c r="CF215" i="2"/>
  <c r="CE216" i="2"/>
  <c r="CE212" i="2" s="1"/>
  <c r="CF216" i="2"/>
  <c r="CE219" i="2"/>
  <c r="CF219" i="2"/>
  <c r="CE220" i="2"/>
  <c r="CF220" i="2"/>
  <c r="CE229" i="2"/>
  <c r="CF229" i="2"/>
  <c r="CE230" i="2"/>
  <c r="CF230" i="2"/>
  <c r="CD7" i="2"/>
  <c r="CD20" i="2"/>
  <c r="CD26" i="2"/>
  <c r="CD40" i="2"/>
  <c r="CD56" i="2"/>
  <c r="CD218" i="2" s="1"/>
  <c r="CD70" i="2"/>
  <c r="CD87" i="2"/>
  <c r="CD93" i="2"/>
  <c r="CD118" i="2"/>
  <c r="CD143" i="2" s="1"/>
  <c r="CD119" i="2"/>
  <c r="CD144" i="2" s="1"/>
  <c r="CD132" i="2"/>
  <c r="CD137" i="2"/>
  <c r="CD192" i="2"/>
  <c r="CD191" i="2"/>
  <c r="CD208" i="2"/>
  <c r="CD209" i="2"/>
  <c r="CD210" i="2"/>
  <c r="CD211" i="2"/>
  <c r="CD219" i="2"/>
  <c r="CD220" i="2"/>
  <c r="CD229" i="2"/>
  <c r="CD230" i="2"/>
  <c r="CI7" i="12"/>
  <c r="CI385" i="12" s="1"/>
  <c r="CI21" i="12"/>
  <c r="CI38" i="12"/>
  <c r="CI386" i="12" s="1"/>
  <c r="CI55" i="12"/>
  <c r="CI71" i="12"/>
  <c r="CI372" i="12" s="1"/>
  <c r="CI85" i="12"/>
  <c r="CI87" i="12"/>
  <c r="CI140" i="12" s="1"/>
  <c r="CI88" i="12"/>
  <c r="CI141" i="12" s="1"/>
  <c r="CI89" i="12"/>
  <c r="CI142" i="12" s="1"/>
  <c r="CI90" i="12"/>
  <c r="CI143" i="12" s="1"/>
  <c r="CI91" i="12"/>
  <c r="CI144" i="12" s="1"/>
  <c r="CI92" i="12"/>
  <c r="CI145" i="12" s="1"/>
  <c r="CI94" i="12"/>
  <c r="CI101" i="12"/>
  <c r="CI109" i="12"/>
  <c r="CI364" i="12" s="1"/>
  <c r="CI116" i="12"/>
  <c r="CI124" i="12"/>
  <c r="CI131" i="12"/>
  <c r="CI146" i="12"/>
  <c r="CI148" i="12"/>
  <c r="CI149" i="12"/>
  <c r="CI150" i="12"/>
  <c r="CI151" i="12"/>
  <c r="CI152" i="12"/>
  <c r="CI153" i="12"/>
  <c r="CI155" i="12"/>
  <c r="CI163" i="12"/>
  <c r="CI170" i="12"/>
  <c r="CI176" i="12"/>
  <c r="CI184" i="12"/>
  <c r="CI192" i="12"/>
  <c r="CI200" i="12"/>
  <c r="CI201" i="12"/>
  <c r="CI202" i="12"/>
  <c r="CI203" i="12"/>
  <c r="CI248" i="12" s="1"/>
  <c r="CI288" i="12" s="1"/>
  <c r="CI299" i="6" s="1"/>
  <c r="CI204" i="12"/>
  <c r="CI205" i="12"/>
  <c r="CI206" i="12"/>
  <c r="CI208" i="12"/>
  <c r="CI217" i="12"/>
  <c r="CI226" i="12"/>
  <c r="CI235" i="12"/>
  <c r="CI253" i="12"/>
  <c r="CI262" i="12"/>
  <c r="CI268" i="12"/>
  <c r="CI271" i="12"/>
  <c r="CI274" i="12"/>
  <c r="CI303" i="12"/>
  <c r="CI302" i="12" s="1"/>
  <c r="CI315" i="12"/>
  <c r="CI322" i="12"/>
  <c r="CI324" i="12"/>
  <c r="CI327" i="12"/>
  <c r="CI330" i="12"/>
  <c r="CI333" i="12"/>
  <c r="CI336" i="12"/>
  <c r="CI339" i="12"/>
  <c r="CI342" i="12"/>
  <c r="CI378" i="12" s="1"/>
  <c r="CI348" i="12"/>
  <c r="CI380" i="12" s="1"/>
  <c r="CI356" i="12"/>
  <c r="CI357" i="12"/>
  <c r="CI358" i="12"/>
  <c r="CI359" i="12"/>
  <c r="CI360" i="12"/>
  <c r="CI373" i="12"/>
  <c r="CI374" i="12"/>
  <c r="CI381" i="12"/>
  <c r="CI383" i="12"/>
  <c r="CI388" i="12"/>
  <c r="CI389" i="12"/>
  <c r="CI424" i="12"/>
  <c r="CI425" i="12"/>
  <c r="CI426" i="12"/>
  <c r="CI427" i="12"/>
  <c r="CH7" i="12"/>
  <c r="CH385" i="12" s="1"/>
  <c r="CH21" i="12"/>
  <c r="CH38" i="12"/>
  <c r="CH386" i="12" s="1"/>
  <c r="CH55" i="12"/>
  <c r="CH71" i="12"/>
  <c r="CH372" i="12" s="1"/>
  <c r="CH85" i="12"/>
  <c r="CH87" i="12"/>
  <c r="CH88" i="12"/>
  <c r="CH141" i="12" s="1"/>
  <c r="CH89" i="12"/>
  <c r="CH142" i="12" s="1"/>
  <c r="CH90" i="12"/>
  <c r="CH143" i="12" s="1"/>
  <c r="CH91" i="12"/>
  <c r="CH144" i="12" s="1"/>
  <c r="CH92" i="12"/>
  <c r="CH145" i="12" s="1"/>
  <c r="CH94" i="12"/>
  <c r="CH101" i="12"/>
  <c r="CH109" i="12"/>
  <c r="CH364" i="12" s="1"/>
  <c r="CH116" i="12"/>
  <c r="CH124" i="12"/>
  <c r="CH131" i="12"/>
  <c r="CH146" i="12"/>
  <c r="CH148" i="12"/>
  <c r="CH149" i="12"/>
  <c r="CH150" i="12"/>
  <c r="CH151" i="12"/>
  <c r="CH152" i="12"/>
  <c r="CH153" i="12"/>
  <c r="CH155" i="12"/>
  <c r="CH163" i="12"/>
  <c r="CH170" i="12"/>
  <c r="CH176" i="12"/>
  <c r="CH184" i="12"/>
  <c r="CH192" i="12"/>
  <c r="CH200" i="12"/>
  <c r="CH201" i="12"/>
  <c r="CH202" i="12"/>
  <c r="CH203" i="12"/>
  <c r="CH248" i="12" s="1"/>
  <c r="CH288" i="12" s="1"/>
  <c r="CH299" i="6" s="1"/>
  <c r="CH204" i="12"/>
  <c r="CH205" i="12"/>
  <c r="CH206" i="12"/>
  <c r="CH217" i="12"/>
  <c r="CH226" i="12"/>
  <c r="CH235" i="12"/>
  <c r="CH253" i="12"/>
  <c r="CH262" i="12"/>
  <c r="CH268" i="12"/>
  <c r="CH271" i="12"/>
  <c r="CH274" i="12"/>
  <c r="CH303" i="12"/>
  <c r="CH302" i="12" s="1"/>
  <c r="CH322" i="12"/>
  <c r="CH324" i="12"/>
  <c r="CH327" i="12"/>
  <c r="CH330" i="12"/>
  <c r="CH323" i="12"/>
  <c r="CH397" i="12" s="1"/>
  <c r="CH336" i="12"/>
  <c r="CH339" i="12"/>
  <c r="CH342" i="12"/>
  <c r="CH378" i="12" s="1"/>
  <c r="CH348" i="12"/>
  <c r="CH380" i="12" s="1"/>
  <c r="CH356" i="12"/>
  <c r="CH357" i="12"/>
  <c r="CH358" i="12"/>
  <c r="CH359" i="12"/>
  <c r="CH360" i="12"/>
  <c r="CH373" i="12"/>
  <c r="CH374" i="12"/>
  <c r="CH381" i="12"/>
  <c r="CH383" i="12"/>
  <c r="CH388" i="12"/>
  <c r="CH389" i="12"/>
  <c r="CH424" i="12"/>
  <c r="CH425" i="12"/>
  <c r="CH426" i="12"/>
  <c r="CH427" i="12"/>
  <c r="CG85" i="12"/>
  <c r="CG87" i="12"/>
  <c r="CG140" i="12" s="1"/>
  <c r="CG89" i="12"/>
  <c r="CG142" i="12" s="1"/>
  <c r="CG92" i="12"/>
  <c r="CG145" i="12" s="1"/>
  <c r="CG101" i="12"/>
  <c r="CG146" i="12"/>
  <c r="CG148" i="12"/>
  <c r="CG150" i="12"/>
  <c r="CG153" i="12"/>
  <c r="CG170" i="12"/>
  <c r="CG176" i="12"/>
  <c r="CG184" i="12"/>
  <c r="CG192" i="12"/>
  <c r="CG200" i="12"/>
  <c r="CG201" i="12"/>
  <c r="CG202" i="12"/>
  <c r="CG203" i="12"/>
  <c r="CG248" i="12" s="1"/>
  <c r="CG288" i="12" s="1"/>
  <c r="CG299" i="6" s="1"/>
  <c r="CG204" i="12"/>
  <c r="CG205" i="12"/>
  <c r="CG206" i="12"/>
  <c r="CG208" i="12"/>
  <c r="CG217" i="12"/>
  <c r="CG226" i="12"/>
  <c r="CG235" i="12"/>
  <c r="CG253" i="12"/>
  <c r="CG262" i="12"/>
  <c r="CG268" i="12"/>
  <c r="CG271" i="12"/>
  <c r="CG274" i="12"/>
  <c r="CG303" i="12"/>
  <c r="CG302" i="12" s="1"/>
  <c r="CG322" i="12"/>
  <c r="CG324" i="12"/>
  <c r="CG327" i="12"/>
  <c r="CG330" i="12"/>
  <c r="CG333" i="12"/>
  <c r="CG336" i="12"/>
  <c r="CG339" i="12"/>
  <c r="CG342" i="12"/>
  <c r="CG378" i="12" s="1"/>
  <c r="CG348" i="12"/>
  <c r="CG380" i="12" s="1"/>
  <c r="CG356" i="12"/>
  <c r="CG358" i="12"/>
  <c r="CG359" i="12"/>
  <c r="CG374" i="12"/>
  <c r="CG383" i="12"/>
  <c r="CG424" i="12"/>
  <c r="CN430" i="12" s="1"/>
  <c r="CG425" i="12"/>
  <c r="CG426" i="12"/>
  <c r="CN432" i="12" s="1"/>
  <c r="CG427" i="12"/>
  <c r="CN433" i="12" s="1"/>
  <c r="CF7" i="12"/>
  <c r="CF21" i="12"/>
  <c r="CF38" i="12"/>
  <c r="CF55" i="12"/>
  <c r="CF71" i="12"/>
  <c r="CF372" i="12" s="1"/>
  <c r="CF85" i="12"/>
  <c r="CF87" i="12"/>
  <c r="CF140" i="12" s="1"/>
  <c r="CF88" i="12"/>
  <c r="CF141" i="12" s="1"/>
  <c r="CF89" i="12"/>
  <c r="CF142" i="12" s="1"/>
  <c r="CF90" i="12"/>
  <c r="CF143" i="12" s="1"/>
  <c r="CF91" i="12"/>
  <c r="CF144" i="12" s="1"/>
  <c r="CF92" i="12"/>
  <c r="CF145" i="12" s="1"/>
  <c r="CF94" i="12"/>
  <c r="CF101" i="12"/>
  <c r="CF109" i="12"/>
  <c r="CF116" i="12"/>
  <c r="CF124" i="12"/>
  <c r="CF131" i="12"/>
  <c r="CF146" i="12"/>
  <c r="CF148" i="12"/>
  <c r="CF149" i="12"/>
  <c r="CF150" i="12"/>
  <c r="CF151" i="12"/>
  <c r="CF152" i="12"/>
  <c r="CF153" i="12"/>
  <c r="CF155" i="12"/>
  <c r="CF163" i="12"/>
  <c r="CF170" i="12"/>
  <c r="CF176" i="12"/>
  <c r="CF184" i="12"/>
  <c r="CF192" i="12"/>
  <c r="CF200" i="12"/>
  <c r="CF201" i="12"/>
  <c r="CF202" i="12"/>
  <c r="CF203" i="12"/>
  <c r="CF248" i="12" s="1"/>
  <c r="CF288" i="12" s="1"/>
  <c r="CF299" i="6" s="1"/>
  <c r="CF204" i="12"/>
  <c r="CF205" i="12"/>
  <c r="CF206" i="12"/>
  <c r="CF217" i="12"/>
  <c r="CF226" i="12"/>
  <c r="CF235" i="12"/>
  <c r="CF253" i="12"/>
  <c r="CF262" i="12"/>
  <c r="CF268" i="12"/>
  <c r="CF271" i="12"/>
  <c r="CF274" i="12"/>
  <c r="CF303" i="12"/>
  <c r="CF302" i="12" s="1"/>
  <c r="CF315" i="12"/>
  <c r="CF322" i="12"/>
  <c r="CF324" i="12"/>
  <c r="CF327" i="12"/>
  <c r="CF330" i="12"/>
  <c r="CF333" i="12"/>
  <c r="CF336" i="12"/>
  <c r="CF339" i="12"/>
  <c r="CF342" i="12"/>
  <c r="CF378" i="12" s="1"/>
  <c r="CF348" i="12"/>
  <c r="CF380" i="12" s="1"/>
  <c r="CF356" i="12"/>
  <c r="CF357" i="12"/>
  <c r="CF358" i="12"/>
  <c r="CF359" i="12"/>
  <c r="CF360" i="12"/>
  <c r="CF364" i="12"/>
  <c r="CF373" i="12"/>
  <c r="CF374" i="12"/>
  <c r="CF381" i="12"/>
  <c r="CF383" i="12"/>
  <c r="CF388" i="12"/>
  <c r="CF389" i="12"/>
  <c r="CF424" i="12"/>
  <c r="CF425" i="12"/>
  <c r="CF426" i="12"/>
  <c r="CF427" i="12"/>
  <c r="CE7" i="12"/>
  <c r="CE38" i="12"/>
  <c r="CE386" i="12" s="1"/>
  <c r="CE55" i="12"/>
  <c r="CE71" i="12"/>
  <c r="CE372" i="12" s="1"/>
  <c r="CE85" i="12"/>
  <c r="CE87" i="12"/>
  <c r="CE140" i="12" s="1"/>
  <c r="CE255" i="6" s="1"/>
  <c r="CE89" i="12"/>
  <c r="CE142" i="12" s="1"/>
  <c r="CE92" i="12"/>
  <c r="CE145" i="12" s="1"/>
  <c r="CE101" i="12"/>
  <c r="CE124" i="12"/>
  <c r="CE146" i="12"/>
  <c r="CE148" i="12"/>
  <c r="CE150" i="12"/>
  <c r="CE153" i="12"/>
  <c r="CE170" i="12"/>
  <c r="CE176" i="12"/>
  <c r="CE184" i="12"/>
  <c r="CE192" i="12"/>
  <c r="CE200" i="12"/>
  <c r="CE201" i="12"/>
  <c r="CE202" i="12"/>
  <c r="CE203" i="12"/>
  <c r="CE248" i="12" s="1"/>
  <c r="CE288" i="12" s="1"/>
  <c r="CE299" i="6" s="1"/>
  <c r="CE204" i="12"/>
  <c r="CE205" i="12"/>
  <c r="CE206" i="12"/>
  <c r="CE217" i="12"/>
  <c r="CE226" i="12"/>
  <c r="CE235" i="12"/>
  <c r="CE253" i="12"/>
  <c r="CE262" i="12"/>
  <c r="CE268" i="12"/>
  <c r="CE271" i="12"/>
  <c r="CE274" i="12"/>
  <c r="CE303" i="12"/>
  <c r="CE302" i="12" s="1"/>
  <c r="CE322" i="12"/>
  <c r="CE324" i="12"/>
  <c r="CE327" i="12"/>
  <c r="CE330" i="12"/>
  <c r="CE333" i="12"/>
  <c r="CE336" i="12"/>
  <c r="CE339" i="12"/>
  <c r="CE342" i="12"/>
  <c r="CE378" i="12" s="1"/>
  <c r="CE348" i="12"/>
  <c r="CE380" i="12" s="1"/>
  <c r="CE356" i="12"/>
  <c r="CE357" i="12"/>
  <c r="CE358" i="12"/>
  <c r="CE359" i="12"/>
  <c r="CE360" i="12"/>
  <c r="CE373" i="12"/>
  <c r="CE374" i="12"/>
  <c r="CE381" i="12"/>
  <c r="CE383" i="12"/>
  <c r="CE385" i="12"/>
  <c r="CE388" i="12"/>
  <c r="CE389" i="12"/>
  <c r="CE424" i="12"/>
  <c r="CL430" i="12" s="1"/>
  <c r="CE425" i="12"/>
  <c r="CL431" i="12" s="1"/>
  <c r="CE426" i="12"/>
  <c r="CL432" i="12" s="1"/>
  <c r="CI7" i="6"/>
  <c r="CI226" i="6" s="1"/>
  <c r="CI23" i="6"/>
  <c r="CI31" i="6"/>
  <c r="CI227" i="6" s="1"/>
  <c r="CI49" i="6"/>
  <c r="CI67" i="6"/>
  <c r="CI201" i="6" s="1"/>
  <c r="CI83" i="6"/>
  <c r="CI84" i="6"/>
  <c r="CI96" i="6" s="1"/>
  <c r="CI97" i="6"/>
  <c r="CI108" i="6"/>
  <c r="CI115" i="6"/>
  <c r="CI168" i="6"/>
  <c r="CI206" i="6" s="1"/>
  <c r="CI171" i="6"/>
  <c r="CI175" i="6"/>
  <c r="CI207" i="6" s="1"/>
  <c r="CI178" i="6"/>
  <c r="CI184" i="6"/>
  <c r="CI189" i="6"/>
  <c r="CI198" i="6"/>
  <c r="CI199" i="6"/>
  <c r="CI202" i="6"/>
  <c r="CI203" i="6"/>
  <c r="CI208" i="6"/>
  <c r="CI229" i="6"/>
  <c r="CI230" i="6"/>
  <c r="CI238" i="6"/>
  <c r="CI261" i="6"/>
  <c r="CI262" i="6"/>
  <c r="CI274" i="6"/>
  <c r="CH7" i="6"/>
  <c r="CH23" i="6"/>
  <c r="CH31" i="6"/>
  <c r="CH227" i="6" s="1"/>
  <c r="CH49" i="6"/>
  <c r="CH67" i="6"/>
  <c r="CH201" i="6" s="1"/>
  <c r="CH83" i="6"/>
  <c r="CH84" i="6"/>
  <c r="CH96" i="6" s="1"/>
  <c r="CH97" i="6"/>
  <c r="CH108" i="6"/>
  <c r="CH115" i="6"/>
  <c r="CH168" i="6"/>
  <c r="CH206" i="6" s="1"/>
  <c r="CH171" i="6"/>
  <c r="CH175" i="6"/>
  <c r="CH178" i="6"/>
  <c r="CH184" i="6"/>
  <c r="CH189" i="6"/>
  <c r="CH198" i="6"/>
  <c r="CH199" i="6"/>
  <c r="CH202" i="6"/>
  <c r="CH203" i="6"/>
  <c r="CH207" i="6"/>
  <c r="CH208" i="6"/>
  <c r="CH229" i="6"/>
  <c r="CH230" i="6"/>
  <c r="CH238" i="6"/>
  <c r="CH261" i="6"/>
  <c r="CH262" i="6"/>
  <c r="CH264" i="6"/>
  <c r="CH274" i="6"/>
  <c r="CG83" i="6"/>
  <c r="CG115" i="6"/>
  <c r="CG175" i="6"/>
  <c r="CG207" i="6" s="1"/>
  <c r="CG189" i="6"/>
  <c r="CG198" i="6"/>
  <c r="CG203" i="6"/>
  <c r="CG208" i="6"/>
  <c r="CG261" i="6"/>
  <c r="CG262" i="6"/>
  <c r="CG274" i="6"/>
  <c r="CF7" i="6"/>
  <c r="CF226" i="6" s="1"/>
  <c r="CF23" i="6"/>
  <c r="CF31" i="6"/>
  <c r="CF227" i="6" s="1"/>
  <c r="CF49" i="6"/>
  <c r="CF67" i="6"/>
  <c r="CF201" i="6" s="1"/>
  <c r="CF83" i="6"/>
  <c r="CF84" i="6"/>
  <c r="CF96" i="6" s="1"/>
  <c r="CF97" i="6"/>
  <c r="CF108" i="6"/>
  <c r="CF115" i="6"/>
  <c r="CF168" i="6"/>
  <c r="CF206" i="6" s="1"/>
  <c r="CF171" i="6"/>
  <c r="CF175" i="6"/>
  <c r="CF207" i="6" s="1"/>
  <c r="CF178" i="6"/>
  <c r="CF184" i="6"/>
  <c r="CF189" i="6"/>
  <c r="CF198" i="6"/>
  <c r="CF199" i="6"/>
  <c r="CF202" i="6"/>
  <c r="CF203" i="6"/>
  <c r="CF208" i="6"/>
  <c r="CF229" i="6"/>
  <c r="CF230" i="6"/>
  <c r="CF238" i="6"/>
  <c r="CF261" i="6"/>
  <c r="CF262" i="6"/>
  <c r="CF274" i="6"/>
  <c r="CE83" i="6"/>
  <c r="CE178" i="6"/>
  <c r="CE184" i="6"/>
  <c r="CE189" i="6"/>
  <c r="CE199" i="6"/>
  <c r="CE203" i="6"/>
  <c r="CE261" i="6"/>
  <c r="CE262" i="6"/>
  <c r="CE264" i="6"/>
  <c r="CE274" i="6"/>
  <c r="CD85" i="12"/>
  <c r="CD87" i="12"/>
  <c r="CD140" i="12" s="1"/>
  <c r="CD89" i="12"/>
  <c r="CD142" i="12" s="1"/>
  <c r="CD92" i="12"/>
  <c r="CD145" i="12" s="1"/>
  <c r="CD101" i="12"/>
  <c r="CD146" i="12"/>
  <c r="CD148" i="12"/>
  <c r="CD150" i="12"/>
  <c r="CD153" i="12"/>
  <c r="CD200" i="12"/>
  <c r="CD202" i="12"/>
  <c r="CD203" i="12"/>
  <c r="CD206" i="12"/>
  <c r="CD262" i="12"/>
  <c r="CD268" i="12"/>
  <c r="CD324" i="12"/>
  <c r="CD330" i="12"/>
  <c r="CD356" i="12"/>
  <c r="CD374" i="12"/>
  <c r="CD381" i="12"/>
  <c r="CD383" i="12"/>
  <c r="CD425" i="12"/>
  <c r="CK431" i="12" s="1"/>
  <c r="CD83" i="6"/>
  <c r="CD261" i="6"/>
  <c r="CD262" i="6"/>
  <c r="CD274" i="6"/>
  <c r="CD26" i="16"/>
  <c r="CD206" i="2"/>
  <c r="CD205" i="2"/>
  <c r="CD199" i="2"/>
  <c r="CD190" i="2" s="1"/>
  <c r="CD187" i="2"/>
  <c r="CD184" i="2" s="1"/>
  <c r="CD165" i="2"/>
  <c r="CD164" i="2" s="1"/>
  <c r="CD163" i="2"/>
  <c r="CD154" i="2" s="1"/>
  <c r="CD162" i="2"/>
  <c r="CD151" i="2"/>
  <c r="CD126" i="2"/>
  <c r="CD121" i="2" s="1"/>
  <c r="CD125" i="2"/>
  <c r="CD109" i="2"/>
  <c r="CD106" i="2" s="1"/>
  <c r="CD130" i="2"/>
  <c r="CD127" i="2" s="1"/>
  <c r="CE94" i="12" l="1"/>
  <c r="CK420" i="12"/>
  <c r="CK300" i="6"/>
  <c r="CK414" i="12"/>
  <c r="CK278" i="6"/>
  <c r="CK415" i="12"/>
  <c r="CK279" i="6"/>
  <c r="CK301" i="6"/>
  <c r="CK295" i="6" s="1"/>
  <c r="CK315" i="6" s="1"/>
  <c r="CK421" i="12"/>
  <c r="CK418" i="12"/>
  <c r="CK284" i="12"/>
  <c r="CK416" i="12" s="1"/>
  <c r="CK293" i="12"/>
  <c r="CK410" i="12" s="1"/>
  <c r="CK412" i="12"/>
  <c r="CD20" i="16"/>
  <c r="CE151" i="12"/>
  <c r="CD204" i="2"/>
  <c r="CF422" i="12"/>
  <c r="CM428" i="12" s="1"/>
  <c r="CG124" i="12"/>
  <c r="CG94" i="12"/>
  <c r="CD21" i="12"/>
  <c r="CE116" i="12"/>
  <c r="CE152" i="12"/>
  <c r="CE90" i="12"/>
  <c r="CE143" i="12" s="1"/>
  <c r="CE249" i="12" s="1"/>
  <c r="CE155" i="12"/>
  <c r="CI189" i="2"/>
  <c r="CI237" i="2" s="1"/>
  <c r="CF89" i="2"/>
  <c r="CE109" i="12"/>
  <c r="CE364" i="12" s="1"/>
  <c r="CE91" i="12"/>
  <c r="CE144" i="12" s="1"/>
  <c r="CE370" i="12" s="1"/>
  <c r="CI217" i="2"/>
  <c r="CI25" i="2"/>
  <c r="CE149" i="12"/>
  <c r="CE246" i="12" s="1"/>
  <c r="CI366" i="12"/>
  <c r="CI245" i="12"/>
  <c r="CI285" i="12" s="1"/>
  <c r="CI296" i="6" s="1"/>
  <c r="CG151" i="12"/>
  <c r="CI251" i="12"/>
  <c r="CI291" i="12" s="1"/>
  <c r="CI302" i="6" s="1"/>
  <c r="CI257" i="6"/>
  <c r="CI247" i="12"/>
  <c r="CI296" i="12" s="1"/>
  <c r="CI276" i="6" s="1"/>
  <c r="CI250" i="12"/>
  <c r="CI298" i="12" s="1"/>
  <c r="CI279" i="6" s="1"/>
  <c r="CI249" i="12"/>
  <c r="CI297" i="12" s="1"/>
  <c r="CI278" i="6" s="1"/>
  <c r="CI367" i="12"/>
  <c r="CI406" i="12" s="1"/>
  <c r="CI246" i="12"/>
  <c r="CI255" i="6"/>
  <c r="CI368" i="12"/>
  <c r="CI407" i="12" s="1"/>
  <c r="CE172" i="6"/>
  <c r="CE98" i="6"/>
  <c r="CE173" i="6"/>
  <c r="CE95" i="6"/>
  <c r="CF177" i="6"/>
  <c r="CE99" i="6"/>
  <c r="CE175" i="6" s="1"/>
  <c r="CE207" i="6" s="1"/>
  <c r="CE111" i="6"/>
  <c r="CE176" i="6"/>
  <c r="CE208" i="6" s="1"/>
  <c r="CE114" i="6"/>
  <c r="CE109" i="6"/>
  <c r="CE86" i="6"/>
  <c r="CE103" i="6"/>
  <c r="CE116" i="6"/>
  <c r="CE87" i="6"/>
  <c r="CE105" i="6"/>
  <c r="CE117" i="6"/>
  <c r="CE90" i="6"/>
  <c r="CE106" i="6"/>
  <c r="CE169" i="6"/>
  <c r="CE168" i="6" s="1"/>
  <c r="CE206" i="6" s="1"/>
  <c r="CI200" i="6"/>
  <c r="CE94" i="6"/>
  <c r="CE107" i="6"/>
  <c r="CE170" i="6"/>
  <c r="CE238" i="6" s="1"/>
  <c r="CG24" i="16"/>
  <c r="CE152" i="2"/>
  <c r="CD120" i="2"/>
  <c r="CD153" i="2"/>
  <c r="CI169" i="2"/>
  <c r="CI305" i="6" s="1"/>
  <c r="CI174" i="2"/>
  <c r="CD147" i="2"/>
  <c r="CI238" i="2"/>
  <c r="CH207" i="2"/>
  <c r="CH224" i="2" s="1"/>
  <c r="CE248" i="2"/>
  <c r="CF173" i="2"/>
  <c r="CE207" i="2"/>
  <c r="CE224" i="2" s="1"/>
  <c r="CI227" i="2"/>
  <c r="CI225" i="2" s="1"/>
  <c r="CI231" i="2" s="1"/>
  <c r="CI228" i="2" s="1"/>
  <c r="CE6" i="2"/>
  <c r="CE422" i="12"/>
  <c r="CL428" i="12" s="1"/>
  <c r="CH251" i="12"/>
  <c r="CH291" i="12" s="1"/>
  <c r="CH302" i="6" s="1"/>
  <c r="CH247" i="12"/>
  <c r="CE247" i="12"/>
  <c r="CE296" i="12" s="1"/>
  <c r="CE177" i="6"/>
  <c r="CH250" i="12"/>
  <c r="CH298" i="12" s="1"/>
  <c r="CH279" i="6" s="1"/>
  <c r="CI422" i="12"/>
  <c r="CH189" i="2"/>
  <c r="CH223" i="2" s="1"/>
  <c r="CH249" i="12"/>
  <c r="CH297" i="12" s="1"/>
  <c r="CH278" i="6" s="1"/>
  <c r="CI177" i="6"/>
  <c r="CI152" i="2"/>
  <c r="CH152" i="2"/>
  <c r="CH217" i="2"/>
  <c r="CH199" i="12"/>
  <c r="CI225" i="6"/>
  <c r="CI231" i="6" s="1"/>
  <c r="CI228" i="6" s="1"/>
  <c r="CH367" i="12"/>
  <c r="CH406" i="12" s="1"/>
  <c r="CH246" i="12"/>
  <c r="CI37" i="12"/>
  <c r="CE251" i="12"/>
  <c r="CE291" i="12" s="1"/>
  <c r="CE302" i="6" s="1"/>
  <c r="CH261" i="12"/>
  <c r="CI355" i="12"/>
  <c r="CE384" i="12"/>
  <c r="CE390" i="12" s="1"/>
  <c r="CE387" i="12" s="1"/>
  <c r="CF37" i="12"/>
  <c r="CH6" i="12"/>
  <c r="CI323" i="12"/>
  <c r="CI397" i="12" s="1"/>
  <c r="CF251" i="12"/>
  <c r="CF291" i="12" s="1"/>
  <c r="CF302" i="6" s="1"/>
  <c r="CE355" i="12"/>
  <c r="CE199" i="12"/>
  <c r="CG245" i="12"/>
  <c r="CG285" i="12" s="1"/>
  <c r="CG296" i="6" s="1"/>
  <c r="CH333" i="12"/>
  <c r="CH321" i="12" s="1"/>
  <c r="CH396" i="12" s="1"/>
  <c r="CG163" i="12"/>
  <c r="CI199" i="12"/>
  <c r="CD38" i="12"/>
  <c r="CD386" i="12" s="1"/>
  <c r="CE323" i="12"/>
  <c r="CE397" i="12" s="1"/>
  <c r="CG251" i="12"/>
  <c r="CG291" i="12" s="1"/>
  <c r="CG302" i="6" s="1"/>
  <c r="CG116" i="12"/>
  <c r="CI261" i="12"/>
  <c r="CG152" i="12"/>
  <c r="CI371" i="12"/>
  <c r="CI259" i="6"/>
  <c r="CI370" i="12"/>
  <c r="CI258" i="6"/>
  <c r="CI369" i="12"/>
  <c r="CI408" i="12" s="1"/>
  <c r="CH371" i="12"/>
  <c r="CI6" i="12"/>
  <c r="CH384" i="12"/>
  <c r="CH390" i="12" s="1"/>
  <c r="CH387" i="12" s="1"/>
  <c r="CH212" i="2"/>
  <c r="CH237" i="6"/>
  <c r="CF212" i="2"/>
  <c r="CH6" i="6"/>
  <c r="CH226" i="6"/>
  <c r="CH225" i="6" s="1"/>
  <c r="CH231" i="6" s="1"/>
  <c r="CH228" i="6" s="1"/>
  <c r="CD55" i="12"/>
  <c r="CG388" i="12"/>
  <c r="CG155" i="12"/>
  <c r="CG91" i="12"/>
  <c r="CG144" i="12" s="1"/>
  <c r="CG83" i="2"/>
  <c r="CG373" i="12"/>
  <c r="CD75" i="12"/>
  <c r="CD169" i="2"/>
  <c r="CD305" i="6" s="1"/>
  <c r="CD174" i="2"/>
  <c r="CD207" i="2"/>
  <c r="CD224" i="2" s="1"/>
  <c r="CF189" i="2"/>
  <c r="CF223" i="2" s="1"/>
  <c r="CG25" i="2"/>
  <c r="CE189" i="2"/>
  <c r="CE223" i="2" s="1"/>
  <c r="CF117" i="2"/>
  <c r="CF83" i="2"/>
  <c r="CG145" i="2"/>
  <c r="CG175" i="2" s="1"/>
  <c r="CG252" i="2" s="1"/>
  <c r="CD117" i="2"/>
  <c r="CE83" i="2"/>
  <c r="CG189" i="2"/>
  <c r="CG223" i="2" s="1"/>
  <c r="CI146" i="2"/>
  <c r="CI171" i="2" s="1"/>
  <c r="CI307" i="6" s="1"/>
  <c r="CH25" i="2"/>
  <c r="CF217" i="2"/>
  <c r="CG207" i="2"/>
  <c r="CG224" i="2" s="1"/>
  <c r="CG152" i="2"/>
  <c r="CF207" i="2"/>
  <c r="CF224" i="2" s="1"/>
  <c r="CF152" i="2"/>
  <c r="CF145" i="2"/>
  <c r="CF170" i="2" s="1"/>
  <c r="CF256" i="2" s="1"/>
  <c r="CI6" i="2"/>
  <c r="CF248" i="2"/>
  <c r="CI248" i="2"/>
  <c r="CH146" i="2"/>
  <c r="CH171" i="2" s="1"/>
  <c r="CH307" i="6" s="1"/>
  <c r="CH89" i="2"/>
  <c r="CH248" i="2"/>
  <c r="CG248" i="2"/>
  <c r="CG217" i="2"/>
  <c r="CG6" i="2"/>
  <c r="CD251" i="12"/>
  <c r="CD291" i="12" s="1"/>
  <c r="CD302" i="6" s="1"/>
  <c r="CF368" i="12"/>
  <c r="CF407" i="12" s="1"/>
  <c r="CF247" i="12"/>
  <c r="CF367" i="12"/>
  <c r="CF406" i="12" s="1"/>
  <c r="CF246" i="12"/>
  <c r="CE367" i="12"/>
  <c r="CH369" i="12"/>
  <c r="CH258" i="6"/>
  <c r="CD247" i="12"/>
  <c r="CH256" i="6"/>
  <c r="CF199" i="12"/>
  <c r="CI86" i="12"/>
  <c r="CI139" i="12" s="1"/>
  <c r="CI363" i="12" s="1"/>
  <c r="CI362" i="12" s="1"/>
  <c r="CG7" i="12"/>
  <c r="CG385" i="12" s="1"/>
  <c r="CD8" i="12"/>
  <c r="CD7" i="12" s="1"/>
  <c r="CD6" i="12" s="1"/>
  <c r="CG38" i="12"/>
  <c r="CG386" i="12" s="1"/>
  <c r="CG55" i="12"/>
  <c r="CG109" i="12"/>
  <c r="CG364" i="12" s="1"/>
  <c r="CF386" i="12"/>
  <c r="CF370" i="12"/>
  <c r="CF250" i="12"/>
  <c r="CF298" i="12" s="1"/>
  <c r="CI384" i="12"/>
  <c r="CI390" i="12" s="1"/>
  <c r="CI387" i="12" s="1"/>
  <c r="CG90" i="12"/>
  <c r="CG143" i="12" s="1"/>
  <c r="CG249" i="12" s="1"/>
  <c r="CD248" i="12"/>
  <c r="CD288" i="12" s="1"/>
  <c r="CD299" i="6" s="1"/>
  <c r="CF147" i="12"/>
  <c r="CG247" i="12"/>
  <c r="CG296" i="12" s="1"/>
  <c r="CG276" i="6" s="1"/>
  <c r="CE371" i="12"/>
  <c r="CD245" i="12"/>
  <c r="CD285" i="12" s="1"/>
  <c r="CD296" i="6" s="1"/>
  <c r="CF355" i="12"/>
  <c r="CF6" i="12"/>
  <c r="CH37" i="12"/>
  <c r="CE366" i="12"/>
  <c r="CE245" i="12"/>
  <c r="CE285" i="12" s="1"/>
  <c r="CE37" i="12"/>
  <c r="CF371" i="12"/>
  <c r="CF323" i="12"/>
  <c r="CF397" i="12" s="1"/>
  <c r="CF366" i="12"/>
  <c r="CF245" i="12"/>
  <c r="CF285" i="12" s="1"/>
  <c r="CF86" i="12"/>
  <c r="CF139" i="12" s="1"/>
  <c r="CH147" i="12"/>
  <c r="CI147" i="12"/>
  <c r="CE368" i="12"/>
  <c r="CE261" i="12"/>
  <c r="CE6" i="12"/>
  <c r="CF369" i="12"/>
  <c r="CF408" i="12" s="1"/>
  <c r="CF249" i="12"/>
  <c r="CF297" i="12" s="1"/>
  <c r="CH86" i="12"/>
  <c r="CH139" i="12" s="1"/>
  <c r="CH363" i="12" s="1"/>
  <c r="CH362" i="12" s="1"/>
  <c r="CG389" i="12"/>
  <c r="CD389" i="12"/>
  <c r="CG149" i="12"/>
  <c r="CG131" i="12"/>
  <c r="CD36" i="6"/>
  <c r="CG422" i="12"/>
  <c r="CN428" i="12" s="1"/>
  <c r="CG71" i="12"/>
  <c r="CG372" i="12" s="1"/>
  <c r="CG238" i="6"/>
  <c r="CG216" i="2"/>
  <c r="CD19" i="6"/>
  <c r="CD27" i="6"/>
  <c r="CD230" i="6" s="1"/>
  <c r="CD33" i="6"/>
  <c r="CG108" i="6"/>
  <c r="CD212" i="2"/>
  <c r="CG230" i="6"/>
  <c r="CG171" i="6"/>
  <c r="CG215" i="2"/>
  <c r="CD25" i="6"/>
  <c r="CG168" i="6"/>
  <c r="CG206" i="6" s="1"/>
  <c r="CG360" i="12"/>
  <c r="CG355" i="12" s="1"/>
  <c r="CG88" i="12"/>
  <c r="CG141" i="12" s="1"/>
  <c r="CG367" i="12" s="1"/>
  <c r="CG84" i="6"/>
  <c r="CG96" i="6" s="1"/>
  <c r="CG197" i="6" s="1"/>
  <c r="CG196" i="6" s="1"/>
  <c r="CG184" i="6"/>
  <c r="CD57" i="6"/>
  <c r="CG261" i="12"/>
  <c r="CD184" i="6"/>
  <c r="CF6" i="6"/>
  <c r="CD56" i="6"/>
  <c r="CG202" i="6"/>
  <c r="CG97" i="6"/>
  <c r="CE202" i="6"/>
  <c r="CD52" i="6"/>
  <c r="CD180" i="6"/>
  <c r="CD12" i="6"/>
  <c r="CE229" i="6"/>
  <c r="CD11" i="6"/>
  <c r="CG67" i="6"/>
  <c r="CG201" i="6" s="1"/>
  <c r="CG23" i="6"/>
  <c r="CF225" i="6"/>
  <c r="CF231" i="6" s="1"/>
  <c r="CF228" i="6" s="1"/>
  <c r="CG229" i="6"/>
  <c r="CG199" i="12"/>
  <c r="CG255" i="6"/>
  <c r="CG366" i="12"/>
  <c r="CG257" i="6"/>
  <c r="CG368" i="12"/>
  <c r="CG407" i="12" s="1"/>
  <c r="CG21" i="12"/>
  <c r="CD67" i="6"/>
  <c r="CD201" i="6" s="1"/>
  <c r="CD200" i="6" s="1"/>
  <c r="CG49" i="6"/>
  <c r="CH200" i="6"/>
  <c r="CH355" i="12"/>
  <c r="CI30" i="6"/>
  <c r="CI212" i="2"/>
  <c r="CI6" i="6"/>
  <c r="CH177" i="6"/>
  <c r="CG7" i="6"/>
  <c r="CG226" i="6" s="1"/>
  <c r="CG178" i="6"/>
  <c r="CG31" i="6"/>
  <c r="CI46" i="16"/>
  <c r="CI37" i="16"/>
  <c r="CI35" i="16" s="1"/>
  <c r="CI24" i="16"/>
  <c r="CG46" i="16"/>
  <c r="CG37" i="16"/>
  <c r="CG36" i="16"/>
  <c r="CE89" i="2"/>
  <c r="CI89" i="2"/>
  <c r="CH225" i="2"/>
  <c r="CH231" i="2" s="1"/>
  <c r="CH228" i="2" s="1"/>
  <c r="CH6" i="2"/>
  <c r="CH237" i="2"/>
  <c r="CH169" i="2"/>
  <c r="CH305" i="6" s="1"/>
  <c r="CH174" i="2"/>
  <c r="CI173" i="2"/>
  <c r="CI168" i="2"/>
  <c r="CI304" i="6" s="1"/>
  <c r="CH173" i="2"/>
  <c r="CH168" i="2"/>
  <c r="CH304" i="6" s="1"/>
  <c r="CI223" i="2"/>
  <c r="CH260" i="6"/>
  <c r="CI145" i="2"/>
  <c r="CI117" i="2"/>
  <c r="CI83" i="2"/>
  <c r="CH145" i="2"/>
  <c r="CH117" i="2"/>
  <c r="CH83" i="2"/>
  <c r="CI263" i="6"/>
  <c r="CI260" i="6" s="1"/>
  <c r="CG226" i="2"/>
  <c r="CF6" i="2"/>
  <c r="CF225" i="2"/>
  <c r="CF231" i="2" s="1"/>
  <c r="CF228" i="2" s="1"/>
  <c r="CE226" i="2"/>
  <c r="CE225" i="2" s="1"/>
  <c r="CE231" i="2" s="1"/>
  <c r="CE228" i="2" s="1"/>
  <c r="CG174" i="2"/>
  <c r="CG169" i="2"/>
  <c r="CG305" i="6" s="1"/>
  <c r="CG173" i="2"/>
  <c r="CG168" i="2"/>
  <c r="CG304" i="6" s="1"/>
  <c r="CG117" i="2"/>
  <c r="CG89" i="2"/>
  <c r="CG227" i="2"/>
  <c r="CG146" i="2"/>
  <c r="CG264" i="6"/>
  <c r="CG260" i="6" s="1"/>
  <c r="CF169" i="2"/>
  <c r="CF305" i="6" s="1"/>
  <c r="CF174" i="2"/>
  <c r="CE169" i="2"/>
  <c r="CE174" i="2"/>
  <c r="CF146" i="2"/>
  <c r="CF25" i="2"/>
  <c r="CF264" i="6"/>
  <c r="CE146" i="2"/>
  <c r="CE145" i="2"/>
  <c r="CE117" i="2"/>
  <c r="CD217" i="2"/>
  <c r="CF263" i="6"/>
  <c r="CF304" i="6"/>
  <c r="CE263" i="6"/>
  <c r="CE260" i="6" s="1"/>
  <c r="CE305" i="6"/>
  <c r="CE304" i="6"/>
  <c r="CD173" i="2"/>
  <c r="CD168" i="2"/>
  <c r="CD304" i="6" s="1"/>
  <c r="CD227" i="2"/>
  <c r="CD25" i="2"/>
  <c r="CD189" i="2"/>
  <c r="CD238" i="2"/>
  <c r="CD6" i="2"/>
  <c r="CD226" i="2"/>
  <c r="CD161" i="2"/>
  <c r="CD152" i="2" s="1"/>
  <c r="CD122" i="2"/>
  <c r="CD198" i="2"/>
  <c r="CI321" i="12"/>
  <c r="CI256" i="6"/>
  <c r="CH259" i="6"/>
  <c r="CH370" i="12"/>
  <c r="CH409" i="12" s="1"/>
  <c r="CH257" i="6"/>
  <c r="CH368" i="12"/>
  <c r="CH422" i="12"/>
  <c r="CH140" i="12"/>
  <c r="CH245" i="12" s="1"/>
  <c r="CH285" i="12" s="1"/>
  <c r="CG321" i="12"/>
  <c r="CG323" i="12"/>
  <c r="CG397" i="12" s="1"/>
  <c r="CF321" i="12"/>
  <c r="CF261" i="12"/>
  <c r="CF257" i="6"/>
  <c r="CF385" i="12"/>
  <c r="CE321" i="12"/>
  <c r="CD366" i="12"/>
  <c r="CD255" i="6"/>
  <c r="CF259" i="6"/>
  <c r="CF258" i="6"/>
  <c r="CE259" i="6"/>
  <c r="CE257" i="6"/>
  <c r="CI197" i="6"/>
  <c r="CI196" i="6" s="1"/>
  <c r="CI247" i="6" s="1"/>
  <c r="CI112" i="6"/>
  <c r="CI237" i="6"/>
  <c r="CH197" i="6"/>
  <c r="CH196" i="6" s="1"/>
  <c r="CH247" i="6" s="1"/>
  <c r="CH112" i="6"/>
  <c r="CH119" i="6" s="1"/>
  <c r="CH30" i="6"/>
  <c r="CF197" i="6"/>
  <c r="CF196" i="6" s="1"/>
  <c r="CF247" i="6" s="1"/>
  <c r="CF112" i="6"/>
  <c r="CF119" i="6" s="1"/>
  <c r="CF200" i="6"/>
  <c r="CF30" i="6"/>
  <c r="CF237" i="6"/>
  <c r="CD368" i="12"/>
  <c r="CD407" i="12" s="1"/>
  <c r="CD257" i="6"/>
  <c r="CD114" i="2"/>
  <c r="CD104" i="2"/>
  <c r="CD101" i="2" s="1"/>
  <c r="CD98" i="2"/>
  <c r="CD95" i="2" s="1"/>
  <c r="CD80" i="2"/>
  <c r="CC229" i="2"/>
  <c r="CC20" i="2"/>
  <c r="CD353" i="12"/>
  <c r="CD350" i="12"/>
  <c r="CD347" i="12"/>
  <c r="CD342" i="12" s="1"/>
  <c r="CD378" i="12" s="1"/>
  <c r="CD341" i="12"/>
  <c r="CD340" i="12"/>
  <c r="CD337" i="12"/>
  <c r="CD338" i="12"/>
  <c r="CD323" i="12" s="1"/>
  <c r="CD397" i="12" s="1"/>
  <c r="CD328" i="12"/>
  <c r="CD327" i="12" s="1"/>
  <c r="CD308" i="12"/>
  <c r="CD307" i="12"/>
  <c r="CD305" i="12"/>
  <c r="CD276" i="12"/>
  <c r="CD275" i="12"/>
  <c r="CD273" i="12"/>
  <c r="CD272" i="12"/>
  <c r="CD267" i="12"/>
  <c r="CD258" i="12"/>
  <c r="CD257" i="12"/>
  <c r="CD255" i="12"/>
  <c r="CD241" i="12"/>
  <c r="CD237" i="12"/>
  <c r="CD232" i="12"/>
  <c r="CD231" i="12"/>
  <c r="CD228" i="12"/>
  <c r="CD223" i="12"/>
  <c r="CD222" i="12"/>
  <c r="CD219" i="12"/>
  <c r="CD214" i="12"/>
  <c r="CD213" i="12"/>
  <c r="CD210" i="12"/>
  <c r="CD197" i="12"/>
  <c r="CD196" i="12"/>
  <c r="CD194" i="12"/>
  <c r="CD191" i="12"/>
  <c r="CD189" i="12"/>
  <c r="CD188" i="12"/>
  <c r="CD186" i="12"/>
  <c r="CD181" i="12"/>
  <c r="CD180" i="12"/>
  <c r="CD178" i="12"/>
  <c r="CD175" i="12"/>
  <c r="CD174" i="12"/>
  <c r="CD172" i="12"/>
  <c r="CD168" i="12"/>
  <c r="CD163" i="12" s="1"/>
  <c r="CD160" i="12"/>
  <c r="CD159" i="12"/>
  <c r="CD157" i="12"/>
  <c r="CD136" i="12"/>
  <c r="CD135" i="12"/>
  <c r="CD133" i="12"/>
  <c r="CC124" i="12"/>
  <c r="CD121" i="12"/>
  <c r="CD114" i="12"/>
  <c r="CD113" i="12"/>
  <c r="CD111" i="12"/>
  <c r="CD99" i="12"/>
  <c r="CD98" i="12"/>
  <c r="CD96" i="12"/>
  <c r="CC373" i="12"/>
  <c r="CC389" i="12"/>
  <c r="CC388" i="12"/>
  <c r="CC189" i="6"/>
  <c r="CC360" i="12"/>
  <c r="CC359" i="12"/>
  <c r="CC358" i="12"/>
  <c r="CD176" i="6"/>
  <c r="CD208" i="6" s="1"/>
  <c r="CD173" i="6"/>
  <c r="CD172" i="6"/>
  <c r="CC238" i="6"/>
  <c r="CD169" i="6"/>
  <c r="CD117" i="6"/>
  <c r="CD116" i="6"/>
  <c r="CD114" i="6"/>
  <c r="CD111" i="6"/>
  <c r="CD110" i="6"/>
  <c r="CD109" i="6"/>
  <c r="CD107" i="6"/>
  <c r="CD106" i="6"/>
  <c r="CD105" i="6"/>
  <c r="CD103" i="6"/>
  <c r="CD100" i="6"/>
  <c r="CD99" i="6"/>
  <c r="CD175" i="6" s="1"/>
  <c r="CD207" i="6" s="1"/>
  <c r="CD98" i="6"/>
  <c r="CD95" i="6"/>
  <c r="CD94" i="6"/>
  <c r="CD90" i="6"/>
  <c r="CC198" i="6"/>
  <c r="CD86" i="6"/>
  <c r="CD85" i="6"/>
  <c r="CC202" i="6"/>
  <c r="CC230" i="6"/>
  <c r="CC229" i="6"/>
  <c r="CC47" i="16"/>
  <c r="CC230" i="2"/>
  <c r="CC70" i="2"/>
  <c r="CC87" i="2"/>
  <c r="CC93" i="2"/>
  <c r="CC101" i="2"/>
  <c r="CC106" i="2"/>
  <c r="CC111" i="2"/>
  <c r="CC118" i="2"/>
  <c r="CC143" i="2" s="1"/>
  <c r="CC119" i="2"/>
  <c r="CC144" i="2" s="1"/>
  <c r="CC121" i="2"/>
  <c r="CC120" i="2"/>
  <c r="CC127" i="2"/>
  <c r="CC132" i="2"/>
  <c r="CC137" i="2"/>
  <c r="CC147" i="2"/>
  <c r="CC153" i="2"/>
  <c r="CC154" i="2"/>
  <c r="CC161" i="2"/>
  <c r="CC164" i="2"/>
  <c r="CC184" i="2"/>
  <c r="CC190" i="2"/>
  <c r="CC192" i="2"/>
  <c r="CC191" i="2"/>
  <c r="CC238" i="2" s="1"/>
  <c r="CC201" i="2"/>
  <c r="CC204" i="2"/>
  <c r="CC208" i="2"/>
  <c r="CC209" i="2"/>
  <c r="CC210" i="2"/>
  <c r="CC211" i="2"/>
  <c r="CC216" i="2"/>
  <c r="CC219" i="2"/>
  <c r="CC220" i="2"/>
  <c r="CC85" i="12"/>
  <c r="CC87" i="12"/>
  <c r="CC140" i="12" s="1"/>
  <c r="CC89" i="12"/>
  <c r="CC142" i="12" s="1"/>
  <c r="CC92" i="12"/>
  <c r="CC145" i="12" s="1"/>
  <c r="CC101" i="12"/>
  <c r="CC146" i="12"/>
  <c r="CC148" i="12"/>
  <c r="CC150" i="12"/>
  <c r="CC153" i="12"/>
  <c r="CC200" i="12"/>
  <c r="CC202" i="12"/>
  <c r="CC203" i="12"/>
  <c r="CC248" i="12" s="1"/>
  <c r="CC288" i="12" s="1"/>
  <c r="CC299" i="6" s="1"/>
  <c r="CC206" i="12"/>
  <c r="CC262" i="12"/>
  <c r="CC268" i="12"/>
  <c r="CC324" i="12"/>
  <c r="CC330" i="12"/>
  <c r="CC356" i="12"/>
  <c r="CC374" i="12"/>
  <c r="CC383" i="12"/>
  <c r="CC425" i="12"/>
  <c r="CC83" i="6"/>
  <c r="CC171" i="6"/>
  <c r="CC203" i="6"/>
  <c r="CC261" i="6"/>
  <c r="CC262" i="6"/>
  <c r="CC274" i="6"/>
  <c r="BY210" i="6"/>
  <c r="BY209" i="6"/>
  <c r="BX209" i="6"/>
  <c r="BX210" i="6"/>
  <c r="BY101" i="6"/>
  <c r="BY102" i="6"/>
  <c r="BY104" i="6"/>
  <c r="BY88" i="6"/>
  <c r="BY89" i="6"/>
  <c r="BY91" i="6"/>
  <c r="BY92" i="6"/>
  <c r="BY93" i="6"/>
  <c r="BY69" i="6"/>
  <c r="BY72" i="6"/>
  <c r="BY73" i="6"/>
  <c r="BY74" i="6"/>
  <c r="BY77" i="6"/>
  <c r="BY55" i="6"/>
  <c r="BY62" i="6"/>
  <c r="BY63" i="6"/>
  <c r="BY34" i="6"/>
  <c r="BY35" i="6"/>
  <c r="BY44" i="6"/>
  <c r="BY45" i="6"/>
  <c r="BY46" i="6"/>
  <c r="BY15" i="6"/>
  <c r="BY16" i="6"/>
  <c r="BY17" i="6"/>
  <c r="BY20" i="6"/>
  <c r="BU211" i="2"/>
  <c r="BY34" i="16"/>
  <c r="BY115" i="2"/>
  <c r="CE406" i="12" l="1"/>
  <c r="CE86" i="12"/>
  <c r="CE139" i="12" s="1"/>
  <c r="CE369" i="12"/>
  <c r="CE408" i="12" s="1"/>
  <c r="CE258" i="6"/>
  <c r="CK273" i="6"/>
  <c r="CE250" i="12"/>
  <c r="CE298" i="12" s="1"/>
  <c r="CE415" i="12" s="1"/>
  <c r="CE409" i="12"/>
  <c r="CC339" i="12"/>
  <c r="CE147" i="12"/>
  <c r="CI287" i="12"/>
  <c r="CF245" i="2"/>
  <c r="CF142" i="2"/>
  <c r="CF222" i="2" s="1"/>
  <c r="CF221" i="2" s="1"/>
  <c r="CF236" i="2" s="1"/>
  <c r="CC348" i="12"/>
  <c r="CC327" i="12"/>
  <c r="CF363" i="12"/>
  <c r="CF362" i="12" s="1"/>
  <c r="CF404" i="12" s="1"/>
  <c r="CF244" i="12"/>
  <c r="CF376" i="12" s="1"/>
  <c r="CD131" i="12"/>
  <c r="CF415" i="12"/>
  <c r="CF409" i="12"/>
  <c r="CF290" i="12"/>
  <c r="CF421" i="12" s="1"/>
  <c r="CF414" i="12"/>
  <c r="CC208" i="6"/>
  <c r="CE237" i="6"/>
  <c r="CC175" i="6"/>
  <c r="CC207" i="6" s="1"/>
  <c r="CD171" i="6"/>
  <c r="CG200" i="6"/>
  <c r="CH404" i="12"/>
  <c r="CI289" i="12"/>
  <c r="CI300" i="6" s="1"/>
  <c r="CI176" i="2"/>
  <c r="CI285" i="6" s="1"/>
  <c r="CI413" i="12"/>
  <c r="CC427" i="12"/>
  <c r="CD339" i="12"/>
  <c r="CI290" i="12"/>
  <c r="CI421" i="12" s="1"/>
  <c r="CI286" i="12"/>
  <c r="CI295" i="12"/>
  <c r="CD108" i="6"/>
  <c r="CD115" i="6"/>
  <c r="CD170" i="6"/>
  <c r="CD238" i="6" s="1"/>
  <c r="CE84" i="6"/>
  <c r="CE96" i="6" s="1"/>
  <c r="CE198" i="6"/>
  <c r="CE97" i="6"/>
  <c r="CD87" i="6"/>
  <c r="CD198" i="6" s="1"/>
  <c r="CE108" i="6"/>
  <c r="CD97" i="6"/>
  <c r="CE171" i="6"/>
  <c r="CE115" i="6"/>
  <c r="CE237" i="2"/>
  <c r="CC71" i="2"/>
  <c r="CD74" i="2"/>
  <c r="CC88" i="2"/>
  <c r="CD82" i="2"/>
  <c r="CD92" i="2"/>
  <c r="CE245" i="2"/>
  <c r="CG170" i="2"/>
  <c r="CG256" i="2" s="1"/>
  <c r="CC94" i="2"/>
  <c r="CC146" i="2" s="1"/>
  <c r="CC171" i="2" s="1"/>
  <c r="CC307" i="6" s="1"/>
  <c r="CD116" i="2"/>
  <c r="CG37" i="12"/>
  <c r="CC116" i="12"/>
  <c r="CD235" i="12"/>
  <c r="CD170" i="12"/>
  <c r="CD217" i="12"/>
  <c r="CH289" i="12"/>
  <c r="CH300" i="6" s="1"/>
  <c r="CF289" i="12"/>
  <c r="CF420" i="12" s="1"/>
  <c r="CH290" i="12"/>
  <c r="CH301" i="6" s="1"/>
  <c r="CH287" i="12"/>
  <c r="CH298" i="6" s="1"/>
  <c r="CH296" i="12"/>
  <c r="CH276" i="6" s="1"/>
  <c r="CD176" i="12"/>
  <c r="CE287" i="12"/>
  <c r="CE419" i="12" s="1"/>
  <c r="CE363" i="12"/>
  <c r="CE362" i="12" s="1"/>
  <c r="CH176" i="2"/>
  <c r="CH285" i="6" s="1"/>
  <c r="CH295" i="12"/>
  <c r="CH286" i="12"/>
  <c r="CD151" i="12"/>
  <c r="CD152" i="12"/>
  <c r="CD184" i="12"/>
  <c r="CD204" i="12"/>
  <c r="CH377" i="12"/>
  <c r="CI254" i="6"/>
  <c r="CI253" i="6" s="1"/>
  <c r="CC253" i="12"/>
  <c r="CD192" i="12"/>
  <c r="CD149" i="12"/>
  <c r="CD155" i="12"/>
  <c r="CD426" i="12"/>
  <c r="CK432" i="12" s="1"/>
  <c r="CD109" i="12"/>
  <c r="CD364" i="12" s="1"/>
  <c r="CD226" i="12"/>
  <c r="CC265" i="12"/>
  <c r="CD266" i="12"/>
  <c r="CD265" i="12" s="1"/>
  <c r="CD336" i="12"/>
  <c r="CG6" i="12"/>
  <c r="CG250" i="12"/>
  <c r="CG298" i="12" s="1"/>
  <c r="CG279" i="6" s="1"/>
  <c r="CD201" i="12"/>
  <c r="CD271" i="12"/>
  <c r="CI414" i="12"/>
  <c r="CD128" i="12"/>
  <c r="CD124" i="12" s="1"/>
  <c r="CD424" i="12"/>
  <c r="CK430" i="12" s="1"/>
  <c r="CC342" i="12"/>
  <c r="CC378" i="12" s="1"/>
  <c r="CD205" i="12"/>
  <c r="CD274" i="12"/>
  <c r="CD348" i="12"/>
  <c r="CD380" i="12" s="1"/>
  <c r="CH244" i="12"/>
  <c r="CH376" i="12" s="1"/>
  <c r="CH375" i="12" s="1"/>
  <c r="CI404" i="12"/>
  <c r="CD118" i="12"/>
  <c r="CD116" i="12" s="1"/>
  <c r="CD253" i="12"/>
  <c r="CC322" i="12"/>
  <c r="CD334" i="12"/>
  <c r="CD333" i="12" s="1"/>
  <c r="CG371" i="12"/>
  <c r="CD303" i="12"/>
  <c r="CD302" i="12" s="1"/>
  <c r="CD208" i="12"/>
  <c r="CI244" i="12"/>
  <c r="CI376" i="12" s="1"/>
  <c r="CI409" i="12"/>
  <c r="CI415" i="12"/>
  <c r="CG45" i="16"/>
  <c r="CG44" i="16" s="1"/>
  <c r="CG43" i="16" s="1"/>
  <c r="CG41" i="16" s="1"/>
  <c r="CD71" i="12"/>
  <c r="CD373" i="12"/>
  <c r="CD91" i="12"/>
  <c r="CD94" i="12"/>
  <c r="CD427" i="12"/>
  <c r="CK433" i="12" s="1"/>
  <c r="CG86" i="12"/>
  <c r="CG139" i="12" s="1"/>
  <c r="CG363" i="12" s="1"/>
  <c r="CG362" i="12" s="1"/>
  <c r="CG212" i="2"/>
  <c r="CD31" i="6"/>
  <c r="CD227" i="6" s="1"/>
  <c r="CG142" i="2"/>
  <c r="CF237" i="2"/>
  <c r="CF175" i="2"/>
  <c r="CF252" i="2" s="1"/>
  <c r="CC40" i="2"/>
  <c r="CC264" i="6"/>
  <c r="CC198" i="2"/>
  <c r="CG237" i="2"/>
  <c r="CG225" i="2"/>
  <c r="CG231" i="2" s="1"/>
  <c r="CG228" i="2" s="1"/>
  <c r="CC274" i="12"/>
  <c r="CF384" i="12"/>
  <c r="CF390" i="12" s="1"/>
  <c r="CF387" i="12" s="1"/>
  <c r="CG370" i="12"/>
  <c r="CG409" i="12" s="1"/>
  <c r="CE407" i="12"/>
  <c r="CE295" i="12"/>
  <c r="CE286" i="12"/>
  <c r="CE289" i="12"/>
  <c r="CE420" i="12" s="1"/>
  <c r="CE297" i="12"/>
  <c r="CE414" i="12" s="1"/>
  <c r="CC303" i="12"/>
  <c r="CC302" i="12" s="1"/>
  <c r="CC333" i="12"/>
  <c r="CG246" i="12"/>
  <c r="CG295" i="12" s="1"/>
  <c r="CG412" i="12" s="1"/>
  <c r="CF295" i="12"/>
  <c r="CF286" i="12"/>
  <c r="CF418" i="12" s="1"/>
  <c r="CC131" i="12"/>
  <c r="CC205" i="12"/>
  <c r="CC426" i="12"/>
  <c r="CC336" i="12"/>
  <c r="CD385" i="12"/>
  <c r="CD384" i="12" s="1"/>
  <c r="CD390" i="12" s="1"/>
  <c r="CD387" i="12" s="1"/>
  <c r="CG256" i="6"/>
  <c r="CG287" i="12"/>
  <c r="CG298" i="6" s="1"/>
  <c r="CE413" i="12"/>
  <c r="CG406" i="12"/>
  <c r="CF287" i="12"/>
  <c r="CF296" i="12"/>
  <c r="CC109" i="12"/>
  <c r="CC364" i="12" s="1"/>
  <c r="CE290" i="12"/>
  <c r="CE421" i="12" s="1"/>
  <c r="CG259" i="6"/>
  <c r="CH408" i="12"/>
  <c r="CH414" i="12"/>
  <c r="CD49" i="6"/>
  <c r="CG237" i="6"/>
  <c r="CG6" i="6"/>
  <c r="CD7" i="6"/>
  <c r="CD226" i="6" s="1"/>
  <c r="CD23" i="6"/>
  <c r="CE67" i="6"/>
  <c r="CE201" i="6" s="1"/>
  <c r="CE200" i="6" s="1"/>
  <c r="CE49" i="6"/>
  <c r="CG297" i="12"/>
  <c r="CG278" i="6" s="1"/>
  <c r="CG289" i="12"/>
  <c r="CG300" i="6" s="1"/>
  <c r="CG177" i="6"/>
  <c r="CE7" i="6"/>
  <c r="CE226" i="6" s="1"/>
  <c r="CE23" i="6"/>
  <c r="CG30" i="6"/>
  <c r="CG112" i="6"/>
  <c r="CE31" i="6"/>
  <c r="CD357" i="12"/>
  <c r="CD355" i="12" s="1"/>
  <c r="CD178" i="6"/>
  <c r="CD177" i="6" s="1"/>
  <c r="CG247" i="6"/>
  <c r="CG413" i="12"/>
  <c r="CG384" i="12"/>
  <c r="CG390" i="12" s="1"/>
  <c r="CG387" i="12" s="1"/>
  <c r="CF260" i="6"/>
  <c r="CG227" i="6"/>
  <c r="CG225" i="6" s="1"/>
  <c r="CG231" i="6" s="1"/>
  <c r="CG228" i="6" s="1"/>
  <c r="CI45" i="16"/>
  <c r="CI44" i="16" s="1"/>
  <c r="CI43" i="16" s="1"/>
  <c r="CI41" i="16" s="1"/>
  <c r="CI292" i="6"/>
  <c r="CE142" i="2"/>
  <c r="CE222" i="2" s="1"/>
  <c r="CE221" i="2" s="1"/>
  <c r="CE236" i="2" s="1"/>
  <c r="CE235" i="2" s="1"/>
  <c r="CE234" i="2" s="1"/>
  <c r="CE232" i="2" s="1"/>
  <c r="CH245" i="2"/>
  <c r="CH142" i="2"/>
  <c r="CH170" i="2"/>
  <c r="CH175" i="2"/>
  <c r="CH172" i="2" s="1"/>
  <c r="CH249" i="2" s="1"/>
  <c r="CI170" i="2"/>
  <c r="CI175" i="2"/>
  <c r="CI172" i="2" s="1"/>
  <c r="CI249" i="2" s="1"/>
  <c r="CI142" i="2"/>
  <c r="CI245" i="2"/>
  <c r="CG222" i="2"/>
  <c r="CG221" i="2" s="1"/>
  <c r="CG236" i="2" s="1"/>
  <c r="CG167" i="2"/>
  <c r="CG253" i="2" s="1"/>
  <c r="CG245" i="2"/>
  <c r="CG176" i="2"/>
  <c r="CG285" i="6" s="1"/>
  <c r="CG171" i="2"/>
  <c r="CG307" i="6" s="1"/>
  <c r="CF171" i="2"/>
  <c r="CF307" i="6" s="1"/>
  <c r="CF176" i="2"/>
  <c r="CE170" i="2"/>
  <c r="CE256" i="2" s="1"/>
  <c r="CE175" i="2"/>
  <c r="CE252" i="2" s="1"/>
  <c r="CE171" i="2"/>
  <c r="CE307" i="6" s="1"/>
  <c r="CE176" i="2"/>
  <c r="CD223" i="2"/>
  <c r="CD237" i="2"/>
  <c r="CD225" i="2"/>
  <c r="CD231" i="2" s="1"/>
  <c r="CD228" i="2" s="1"/>
  <c r="CI377" i="12"/>
  <c r="CI396" i="12"/>
  <c r="CH407" i="12"/>
  <c r="CH415" i="12"/>
  <c r="CH366" i="12"/>
  <c r="CH255" i="6"/>
  <c r="CH254" i="6" s="1"/>
  <c r="CH253" i="6" s="1"/>
  <c r="CH296" i="6"/>
  <c r="CG369" i="12"/>
  <c r="CG258" i="6"/>
  <c r="CG377" i="12"/>
  <c r="CG396" i="12"/>
  <c r="CF377" i="12"/>
  <c r="CF396" i="12"/>
  <c r="CE377" i="12"/>
  <c r="CE396" i="12"/>
  <c r="CF255" i="6"/>
  <c r="CF256" i="6"/>
  <c r="CE296" i="6"/>
  <c r="CI205" i="6"/>
  <c r="CI204" i="6" s="1"/>
  <c r="CI119" i="6"/>
  <c r="CI121" i="6" s="1"/>
  <c r="CH205" i="6"/>
  <c r="CH204" i="6" s="1"/>
  <c r="CH121" i="6"/>
  <c r="CF205" i="6"/>
  <c r="CF204" i="6" s="1"/>
  <c r="CF121" i="6"/>
  <c r="CD296" i="12"/>
  <c r="CD287" i="12"/>
  <c r="CC77" i="2"/>
  <c r="CC115" i="6"/>
  <c r="CC424" i="12"/>
  <c r="CC184" i="6"/>
  <c r="CC217" i="12"/>
  <c r="CC26" i="2"/>
  <c r="CC323" i="12"/>
  <c r="CC397" i="12" s="1"/>
  <c r="CC94" i="12"/>
  <c r="CC201" i="12"/>
  <c r="CC178" i="6"/>
  <c r="CC152" i="2"/>
  <c r="CC92" i="2"/>
  <c r="CC89" i="2" s="1"/>
  <c r="CC86" i="2"/>
  <c r="CC263" i="6" s="1"/>
  <c r="CC260" i="6" s="1"/>
  <c r="CC56" i="2"/>
  <c r="CC218" i="2" s="1"/>
  <c r="CC7" i="2"/>
  <c r="CC226" i="2" s="1"/>
  <c r="CC108" i="6"/>
  <c r="CC21" i="12"/>
  <c r="CC357" i="12"/>
  <c r="CC355" i="12" s="1"/>
  <c r="CC192" i="12"/>
  <c r="CC215" i="2"/>
  <c r="CC212" i="2" s="1"/>
  <c r="CC84" i="6"/>
  <c r="CC96" i="6" s="1"/>
  <c r="CC197" i="6" s="1"/>
  <c r="CC196" i="6" s="1"/>
  <c r="CC91" i="12"/>
  <c r="CC144" i="12" s="1"/>
  <c r="CC370" i="12" s="1"/>
  <c r="CC271" i="12"/>
  <c r="CC235" i="12"/>
  <c r="CC7" i="12"/>
  <c r="CC6" i="12" s="1"/>
  <c r="CC226" i="12"/>
  <c r="CC251" i="12"/>
  <c r="CC291" i="12" s="1"/>
  <c r="CC302" i="6" s="1"/>
  <c r="CC204" i="12"/>
  <c r="CC184" i="12"/>
  <c r="CC151" i="12"/>
  <c r="CC176" i="12"/>
  <c r="CC152" i="12"/>
  <c r="CC170" i="12"/>
  <c r="CC163" i="12"/>
  <c r="CC90" i="12"/>
  <c r="CC143" i="12" s="1"/>
  <c r="CC369" i="12" s="1"/>
  <c r="CC71" i="12"/>
  <c r="CC372" i="12" s="1"/>
  <c r="CC371" i="12" s="1"/>
  <c r="CC55" i="12"/>
  <c r="CC38" i="12"/>
  <c r="CC386" i="12" s="1"/>
  <c r="CC168" i="6"/>
  <c r="CC206" i="6" s="1"/>
  <c r="CC97" i="6"/>
  <c r="CC67" i="6"/>
  <c r="CC201" i="6" s="1"/>
  <c r="CC200" i="6" s="1"/>
  <c r="CC49" i="6"/>
  <c r="CC31" i="6"/>
  <c r="CC227" i="6" s="1"/>
  <c r="CC23" i="6"/>
  <c r="CC7" i="6"/>
  <c r="CC207" i="2"/>
  <c r="CC224" i="2" s="1"/>
  <c r="CC227" i="2"/>
  <c r="CC189" i="2"/>
  <c r="CC174" i="2"/>
  <c r="CC169" i="2"/>
  <c r="CC305" i="6" s="1"/>
  <c r="CC173" i="2"/>
  <c r="CC168" i="2"/>
  <c r="CC304" i="6" s="1"/>
  <c r="CC217" i="2"/>
  <c r="CC117" i="2"/>
  <c r="CC95" i="2"/>
  <c r="CC122" i="2"/>
  <c r="CC368" i="12"/>
  <c r="CC407" i="12" s="1"/>
  <c r="CC257" i="6"/>
  <c r="CC247" i="12"/>
  <c r="CC255" i="6"/>
  <c r="CC245" i="12"/>
  <c r="CC285" i="12" s="1"/>
  <c r="CC366" i="12"/>
  <c r="CC149" i="12"/>
  <c r="CC88" i="12"/>
  <c r="CC208" i="12"/>
  <c r="CC155" i="12"/>
  <c r="BY105" i="2"/>
  <c r="BY99" i="2"/>
  <c r="BY100" i="2"/>
  <c r="BY81" i="2"/>
  <c r="BY76" i="2"/>
  <c r="BY75" i="2"/>
  <c r="BY58" i="2"/>
  <c r="BY59" i="2"/>
  <c r="BY60" i="2"/>
  <c r="BY61" i="2"/>
  <c r="BY62" i="2"/>
  <c r="BY63" i="2"/>
  <c r="BY28" i="2"/>
  <c r="BY29" i="2"/>
  <c r="BY30" i="2"/>
  <c r="BY37" i="2"/>
  <c r="BY38" i="2"/>
  <c r="BY11" i="2"/>
  <c r="BY14" i="2"/>
  <c r="BY15" i="2"/>
  <c r="BY17" i="2"/>
  <c r="BY18" i="2"/>
  <c r="BY351" i="12"/>
  <c r="BY318" i="12"/>
  <c r="BY306" i="12"/>
  <c r="BY292" i="12"/>
  <c r="BY256" i="12"/>
  <c r="BY254" i="12"/>
  <c r="BY238" i="12"/>
  <c r="BY239" i="12"/>
  <c r="BY240" i="12"/>
  <c r="BY236" i="12"/>
  <c r="BY229" i="12"/>
  <c r="BY230" i="12"/>
  <c r="BY227" i="12"/>
  <c r="BY220" i="12"/>
  <c r="BY221" i="12"/>
  <c r="BY224" i="12"/>
  <c r="BY218" i="12"/>
  <c r="BY211" i="12"/>
  <c r="BY212" i="12"/>
  <c r="BY215" i="12"/>
  <c r="BY216" i="12"/>
  <c r="BY195" i="12"/>
  <c r="BY190" i="12"/>
  <c r="BY179" i="12"/>
  <c r="BY182" i="12"/>
  <c r="BY173" i="12"/>
  <c r="BY158" i="12"/>
  <c r="BY156" i="12"/>
  <c r="BY154" i="12"/>
  <c r="BY134" i="12"/>
  <c r="BY137" i="12"/>
  <c r="BY138" i="12"/>
  <c r="BY129" i="12"/>
  <c r="BY130" i="12"/>
  <c r="BY120" i="12"/>
  <c r="BY119" i="12"/>
  <c r="BX111" i="12"/>
  <c r="BY115" i="12"/>
  <c r="BY97" i="12"/>
  <c r="BY76" i="12"/>
  <c r="BY77" i="12"/>
  <c r="BY61" i="12"/>
  <c r="BY65" i="12"/>
  <c r="BY67" i="12"/>
  <c r="BY69" i="12"/>
  <c r="BY42" i="12"/>
  <c r="BY51" i="12"/>
  <c r="BY52" i="12"/>
  <c r="BY25" i="12"/>
  <c r="BY30" i="12"/>
  <c r="BY12" i="12"/>
  <c r="BY15" i="12"/>
  <c r="BY16" i="12"/>
  <c r="BY17" i="12"/>
  <c r="BY18" i="12"/>
  <c r="CB153" i="2"/>
  <c r="CB147" i="2"/>
  <c r="CB95" i="2"/>
  <c r="CB88" i="2"/>
  <c r="CB264" i="6" s="1"/>
  <c r="BY65" i="2"/>
  <c r="BY66" i="2"/>
  <c r="BY64" i="2"/>
  <c r="BY57" i="2"/>
  <c r="BY55" i="2"/>
  <c r="BY39" i="2"/>
  <c r="BY36" i="2"/>
  <c r="BY35" i="2"/>
  <c r="BY34" i="2"/>
  <c r="BY33" i="2"/>
  <c r="BY32" i="2"/>
  <c r="BY31" i="2"/>
  <c r="BY27" i="2"/>
  <c r="CB230" i="2"/>
  <c r="BY23" i="2"/>
  <c r="BY22" i="2"/>
  <c r="BY21" i="2"/>
  <c r="BY16" i="2"/>
  <c r="BY19" i="2"/>
  <c r="BY13" i="2"/>
  <c r="BY12" i="2"/>
  <c r="BY10" i="2"/>
  <c r="BY9" i="2"/>
  <c r="BY8" i="2"/>
  <c r="CB383" i="12"/>
  <c r="BY383" i="12" s="1"/>
  <c r="CB381" i="12"/>
  <c r="BY381" i="12" s="1"/>
  <c r="CB342" i="12"/>
  <c r="CB378" i="12" s="1"/>
  <c r="CB327" i="12"/>
  <c r="CB426" i="12"/>
  <c r="CI432" i="12" s="1"/>
  <c r="CB150" i="12"/>
  <c r="CB163" i="12"/>
  <c r="CB124" i="12"/>
  <c r="BY112" i="12"/>
  <c r="BY80" i="12"/>
  <c r="BY79" i="12"/>
  <c r="BY78" i="12"/>
  <c r="BY75" i="12"/>
  <c r="BY74" i="12"/>
  <c r="BY73" i="12"/>
  <c r="BY72" i="12"/>
  <c r="BY70" i="12"/>
  <c r="BY68" i="12"/>
  <c r="BY66" i="12"/>
  <c r="BY64" i="12"/>
  <c r="BY63" i="12"/>
  <c r="BY62" i="12"/>
  <c r="BY60" i="12"/>
  <c r="BY59" i="12"/>
  <c r="BY58" i="12"/>
  <c r="BY57" i="12"/>
  <c r="BY56" i="12"/>
  <c r="BY54" i="12"/>
  <c r="BY53" i="12"/>
  <c r="BY50" i="12"/>
  <c r="BY49" i="12"/>
  <c r="BY48" i="12"/>
  <c r="BY47" i="12"/>
  <c r="BY46" i="12"/>
  <c r="BY45" i="12"/>
  <c r="BY44" i="12"/>
  <c r="BY43" i="12"/>
  <c r="BY41" i="12"/>
  <c r="BY40" i="12"/>
  <c r="BY39" i="12"/>
  <c r="BY36" i="12"/>
  <c r="BY35" i="12"/>
  <c r="BY34" i="12"/>
  <c r="BY33" i="12"/>
  <c r="CB389" i="12"/>
  <c r="BY29" i="12"/>
  <c r="BY28" i="12"/>
  <c r="BY27" i="12"/>
  <c r="BY26" i="12"/>
  <c r="BY24" i="12"/>
  <c r="BY23" i="12"/>
  <c r="BY22" i="12"/>
  <c r="BY20" i="12"/>
  <c r="BY19" i="12"/>
  <c r="BY14" i="12"/>
  <c r="BY13" i="12"/>
  <c r="BY11" i="12"/>
  <c r="BY10" i="12"/>
  <c r="BY9" i="12"/>
  <c r="BY8" i="12"/>
  <c r="BY195" i="6"/>
  <c r="BY78" i="6"/>
  <c r="BY76" i="6"/>
  <c r="BY75" i="6"/>
  <c r="BY70" i="6"/>
  <c r="BY68" i="6"/>
  <c r="BY66" i="6"/>
  <c r="BY65" i="6"/>
  <c r="BY64" i="6"/>
  <c r="BY61" i="6"/>
  <c r="BY60" i="6"/>
  <c r="BY59" i="6"/>
  <c r="BY58" i="6"/>
  <c r="BY57" i="6"/>
  <c r="BY56" i="6"/>
  <c r="BY54" i="6"/>
  <c r="BY53" i="6"/>
  <c r="BY52" i="6"/>
  <c r="BY51" i="6"/>
  <c r="BY50" i="6"/>
  <c r="BY48" i="6"/>
  <c r="BY47" i="6"/>
  <c r="BY43" i="6"/>
  <c r="BY42" i="6"/>
  <c r="BY41" i="6"/>
  <c r="BY40" i="6"/>
  <c r="BY39" i="6"/>
  <c r="BY38" i="6"/>
  <c r="BY37" i="6"/>
  <c r="BY36" i="6"/>
  <c r="BY33" i="6"/>
  <c r="BY32" i="6"/>
  <c r="BY25" i="6"/>
  <c r="BY24" i="6"/>
  <c r="BY18" i="6"/>
  <c r="BY22" i="6"/>
  <c r="BY19" i="6"/>
  <c r="BY14" i="6"/>
  <c r="BY13" i="6"/>
  <c r="BY12" i="6"/>
  <c r="BY11" i="6"/>
  <c r="BY10" i="6"/>
  <c r="BY9" i="6"/>
  <c r="BY8" i="6"/>
  <c r="CB47" i="16"/>
  <c r="CB70" i="2"/>
  <c r="CB87" i="2"/>
  <c r="CB93" i="2"/>
  <c r="CB111" i="2"/>
  <c r="CB118" i="2"/>
  <c r="CB143" i="2" s="1"/>
  <c r="CB119" i="2"/>
  <c r="CB144" i="2" s="1"/>
  <c r="CB132" i="2"/>
  <c r="CB137" i="2"/>
  <c r="CB164" i="2"/>
  <c r="CB192" i="2"/>
  <c r="CB191" i="2"/>
  <c r="CB238" i="2" s="1"/>
  <c r="CB201" i="2"/>
  <c r="CB208" i="2"/>
  <c r="CB209" i="2"/>
  <c r="CB210" i="2"/>
  <c r="CB211" i="2"/>
  <c r="CB219" i="2"/>
  <c r="CB220" i="2"/>
  <c r="CB229" i="2"/>
  <c r="BY81" i="12"/>
  <c r="CB85" i="12"/>
  <c r="CB87" i="12"/>
  <c r="CB140" i="12" s="1"/>
  <c r="CB366" i="12" s="1"/>
  <c r="CB92" i="12"/>
  <c r="CB145" i="12" s="1"/>
  <c r="CB101" i="12"/>
  <c r="CB146" i="12"/>
  <c r="CB148" i="12"/>
  <c r="CB153" i="12"/>
  <c r="CB200" i="12"/>
  <c r="CB202" i="12"/>
  <c r="CB203" i="12"/>
  <c r="CB248" i="12" s="1"/>
  <c r="CB288" i="12" s="1"/>
  <c r="CB299" i="6" s="1"/>
  <c r="CB206" i="12"/>
  <c r="CB262" i="12"/>
  <c r="CB268" i="12"/>
  <c r="CB324" i="12"/>
  <c r="CB330" i="12"/>
  <c r="CB356" i="12"/>
  <c r="CB374" i="12"/>
  <c r="CB425" i="12"/>
  <c r="CI431" i="12" s="1"/>
  <c r="CB83" i="6"/>
  <c r="CB199" i="6"/>
  <c r="CB203" i="6"/>
  <c r="CB261" i="6"/>
  <c r="CB262" i="6"/>
  <c r="CB274" i="6"/>
  <c r="BX203" i="2"/>
  <c r="BX141" i="2"/>
  <c r="BX136" i="2"/>
  <c r="BX115" i="2"/>
  <c r="BX105" i="2"/>
  <c r="BX99" i="2"/>
  <c r="BX100" i="2"/>
  <c r="BX81" i="2"/>
  <c r="BX76" i="2"/>
  <c r="BX75" i="2"/>
  <c r="BX58" i="2"/>
  <c r="BX59" i="2"/>
  <c r="BX60" i="2"/>
  <c r="BX61" i="2"/>
  <c r="BX62" i="2"/>
  <c r="BX63" i="2"/>
  <c r="BX65" i="2"/>
  <c r="BX28" i="2"/>
  <c r="BX29" i="2"/>
  <c r="BX30" i="2"/>
  <c r="BX37" i="2"/>
  <c r="BX38" i="2"/>
  <c r="BX11" i="2"/>
  <c r="BX14" i="2"/>
  <c r="BX15" i="2"/>
  <c r="BX16" i="2"/>
  <c r="BX17" i="2"/>
  <c r="BX18" i="2"/>
  <c r="BX383" i="12"/>
  <c r="BX381" i="12"/>
  <c r="BX318" i="12"/>
  <c r="BX306" i="12"/>
  <c r="BX292" i="12"/>
  <c r="BX256" i="12"/>
  <c r="BX259" i="12"/>
  <c r="BX254" i="12"/>
  <c r="BX238" i="12"/>
  <c r="BX239" i="12"/>
  <c r="BX240" i="12"/>
  <c r="BX236" i="12"/>
  <c r="BX229" i="12"/>
  <c r="BX230" i="12"/>
  <c r="BX227" i="12"/>
  <c r="BX220" i="12"/>
  <c r="BX221" i="12"/>
  <c r="BX224" i="12"/>
  <c r="BX218" i="12"/>
  <c r="BX211" i="12"/>
  <c r="BX212" i="12"/>
  <c r="BX215" i="12"/>
  <c r="BX216" i="12"/>
  <c r="BX209" i="12"/>
  <c r="BX195" i="12"/>
  <c r="BX190" i="12"/>
  <c r="BX179" i="12"/>
  <c r="BX182" i="12"/>
  <c r="BX177" i="12"/>
  <c r="BX173" i="12"/>
  <c r="BX158" i="12"/>
  <c r="BX156" i="12"/>
  <c r="BX154" i="12"/>
  <c r="BX134" i="12"/>
  <c r="BX137" i="12"/>
  <c r="BX138" i="12"/>
  <c r="BX119" i="12"/>
  <c r="BX120" i="12"/>
  <c r="BX117" i="12"/>
  <c r="BX97" i="12"/>
  <c r="BX76" i="12"/>
  <c r="BX77" i="12"/>
  <c r="BX61" i="12"/>
  <c r="BX65" i="12"/>
  <c r="BX67" i="12"/>
  <c r="BX69" i="12"/>
  <c r="BX42" i="12"/>
  <c r="BX51" i="12"/>
  <c r="BX52" i="12"/>
  <c r="BX25" i="12"/>
  <c r="BX30" i="12"/>
  <c r="BX12" i="12"/>
  <c r="BX15" i="12"/>
  <c r="BX16" i="12"/>
  <c r="BX17" i="12"/>
  <c r="BX18" i="12"/>
  <c r="CF172" i="2" l="1"/>
  <c r="CF249" i="2" s="1"/>
  <c r="CG205" i="6"/>
  <c r="CG204" i="6" s="1"/>
  <c r="CG119" i="6"/>
  <c r="CD30" i="6"/>
  <c r="CE244" i="12"/>
  <c r="CE376" i="12" s="1"/>
  <c r="CE375" i="12" s="1"/>
  <c r="CE395" i="12" s="1"/>
  <c r="CE394" i="12" s="1"/>
  <c r="CE393" i="12" s="1"/>
  <c r="CE391" i="12" s="1"/>
  <c r="CE404" i="12"/>
  <c r="CG292" i="6"/>
  <c r="CC25" i="2"/>
  <c r="CH419" i="12"/>
  <c r="CD147" i="12"/>
  <c r="CG415" i="12"/>
  <c r="CC261" i="12"/>
  <c r="CC422" i="12"/>
  <c r="CC321" i="12"/>
  <c r="CC396" i="12" s="1"/>
  <c r="CG419" i="12"/>
  <c r="CI298" i="6"/>
  <c r="CI419" i="12"/>
  <c r="CF235" i="2"/>
  <c r="CF234" i="2" s="1"/>
  <c r="CF232" i="2" s="1"/>
  <c r="CI375" i="12"/>
  <c r="CI420" i="12"/>
  <c r="CF167" i="2"/>
  <c r="CF253" i="2" s="1"/>
  <c r="CF285" i="6"/>
  <c r="CF284" i="12"/>
  <c r="CF416" i="12" s="1"/>
  <c r="CF375" i="12"/>
  <c r="CF395" i="12" s="1"/>
  <c r="CF394" i="12" s="1"/>
  <c r="CF393" i="12" s="1"/>
  <c r="CF391" i="12" s="1"/>
  <c r="CE284" i="12"/>
  <c r="CE416" i="12" s="1"/>
  <c r="CD225" i="6"/>
  <c r="CD231" i="6" s="1"/>
  <c r="CD228" i="6" s="1"/>
  <c r="CD84" i="6"/>
  <c r="CD96" i="6" s="1"/>
  <c r="CD197" i="6" s="1"/>
  <c r="CD196" i="6" s="1"/>
  <c r="CD247" i="6" s="1"/>
  <c r="CI301" i="6"/>
  <c r="CG290" i="12"/>
  <c r="CG301" i="6" s="1"/>
  <c r="CH413" i="12"/>
  <c r="CH421" i="12"/>
  <c r="CI293" i="12"/>
  <c r="CI410" i="12" s="1"/>
  <c r="CI275" i="6"/>
  <c r="CI273" i="6" s="1"/>
  <c r="CI412" i="12"/>
  <c r="CI297" i="6"/>
  <c r="CI418" i="12"/>
  <c r="CI284" i="12"/>
  <c r="CI416" i="12" s="1"/>
  <c r="CE197" i="6"/>
  <c r="CE196" i="6" s="1"/>
  <c r="CE247" i="6" s="1"/>
  <c r="CE112" i="6"/>
  <c r="CC177" i="6"/>
  <c r="CD168" i="6"/>
  <c r="CE172" i="2"/>
  <c r="CE249" i="2" s="1"/>
  <c r="CE167" i="2"/>
  <c r="CE253" i="2" s="1"/>
  <c r="CB207" i="2"/>
  <c r="CB224" i="2" s="1"/>
  <c r="CD88" i="2"/>
  <c r="CD264" i="6" s="1"/>
  <c r="CD77" i="2"/>
  <c r="CD71" i="2"/>
  <c r="CD86" i="2"/>
  <c r="CD111" i="2"/>
  <c r="CD94" i="2"/>
  <c r="CH420" i="12"/>
  <c r="CG254" i="6"/>
  <c r="CG253" i="6" s="1"/>
  <c r="CH297" i="6"/>
  <c r="CH295" i="6" s="1"/>
  <c r="CH284" i="12"/>
  <c r="CH416" i="12" s="1"/>
  <c r="CH418" i="12"/>
  <c r="CH275" i="6"/>
  <c r="CH273" i="6" s="1"/>
  <c r="CH412" i="12"/>
  <c r="CH293" i="12"/>
  <c r="CH410" i="12" s="1"/>
  <c r="CH395" i="12"/>
  <c r="CH394" i="12" s="1"/>
  <c r="CH393" i="12" s="1"/>
  <c r="CH391" i="12" s="1"/>
  <c r="CD422" i="12"/>
  <c r="CK428" i="12" s="1"/>
  <c r="CD321" i="12"/>
  <c r="CD396" i="12" s="1"/>
  <c r="CD88" i="12"/>
  <c r="CD141" i="12" s="1"/>
  <c r="CC385" i="12"/>
  <c r="CC384" i="12" s="1"/>
  <c r="CC390" i="12" s="1"/>
  <c r="CC387" i="12" s="1"/>
  <c r="CD322" i="12"/>
  <c r="CD199" i="12"/>
  <c r="BY111" i="12"/>
  <c r="CB333" i="12"/>
  <c r="CD261" i="12"/>
  <c r="CD90" i="12"/>
  <c r="CD143" i="12" s="1"/>
  <c r="CD6" i="6"/>
  <c r="CG286" i="12"/>
  <c r="CG235" i="2"/>
  <c r="CG234" i="2" s="1"/>
  <c r="CG232" i="2" s="1"/>
  <c r="CD144" i="12"/>
  <c r="CE6" i="6"/>
  <c r="CD372" i="12"/>
  <c r="CD371" i="12" s="1"/>
  <c r="CD37" i="12"/>
  <c r="CB204" i="2"/>
  <c r="CB184" i="2"/>
  <c r="CF419" i="12"/>
  <c r="CF298" i="6"/>
  <c r="CC199" i="12"/>
  <c r="CB271" i="12"/>
  <c r="CF412" i="12"/>
  <c r="CF293" i="12"/>
  <c r="CF410" i="12" s="1"/>
  <c r="CE418" i="12"/>
  <c r="CF413" i="12"/>
  <c r="CF276" i="6"/>
  <c r="CE293" i="12"/>
  <c r="CE410" i="12" s="1"/>
  <c r="CE412" i="12"/>
  <c r="CG236" i="6"/>
  <c r="CG235" i="6" s="1"/>
  <c r="CG234" i="6" s="1"/>
  <c r="CG232" i="6" s="1"/>
  <c r="CG122" i="6"/>
  <c r="CG248" i="6" s="1"/>
  <c r="CG272" i="6"/>
  <c r="CG293" i="12"/>
  <c r="CG410" i="12" s="1"/>
  <c r="CG275" i="6"/>
  <c r="CG273" i="6" s="1"/>
  <c r="CG121" i="6"/>
  <c r="CE227" i="6"/>
  <c r="CE225" i="6" s="1"/>
  <c r="CE231" i="6" s="1"/>
  <c r="CE228" i="6" s="1"/>
  <c r="CE30" i="6"/>
  <c r="CB359" i="12"/>
  <c r="BY182" i="6"/>
  <c r="CB198" i="6"/>
  <c r="CB360" i="12"/>
  <c r="BY183" i="6"/>
  <c r="CB215" i="2"/>
  <c r="BY187" i="6"/>
  <c r="CB202" i="6"/>
  <c r="BY71" i="6"/>
  <c r="CB238" i="6"/>
  <c r="CB216" i="2"/>
  <c r="BY188" i="6"/>
  <c r="CB358" i="12"/>
  <c r="BY181" i="6"/>
  <c r="CB189" i="6"/>
  <c r="BY192" i="6"/>
  <c r="CB229" i="6"/>
  <c r="BY26" i="6"/>
  <c r="CB230" i="6"/>
  <c r="BY27" i="6"/>
  <c r="CB175" i="6"/>
  <c r="CB207" i="6" s="1"/>
  <c r="CB208" i="6"/>
  <c r="CB357" i="12"/>
  <c r="BY180" i="6"/>
  <c r="CE285" i="6"/>
  <c r="CH306" i="6"/>
  <c r="CH303" i="6" s="1"/>
  <c r="CH256" i="2"/>
  <c r="CH222" i="2"/>
  <c r="CH221" i="2" s="1"/>
  <c r="CH236" i="2" s="1"/>
  <c r="CH235" i="2" s="1"/>
  <c r="CH234" i="2" s="1"/>
  <c r="CH232" i="2" s="1"/>
  <c r="CH167" i="2"/>
  <c r="CH253" i="2" s="1"/>
  <c r="CI222" i="2"/>
  <c r="CI221" i="2" s="1"/>
  <c r="CI236" i="2" s="1"/>
  <c r="CI235" i="2" s="1"/>
  <c r="CI234" i="2" s="1"/>
  <c r="CI232" i="2" s="1"/>
  <c r="CI167" i="2"/>
  <c r="CI253" i="2" s="1"/>
  <c r="CI252" i="2"/>
  <c r="CI284" i="6"/>
  <c r="CI281" i="6" s="1"/>
  <c r="CI256" i="2"/>
  <c r="CI306" i="6"/>
  <c r="CI303" i="6" s="1"/>
  <c r="CH252" i="2"/>
  <c r="CH284" i="6"/>
  <c r="CH281" i="6" s="1"/>
  <c r="CG172" i="2"/>
  <c r="CG249" i="2" s="1"/>
  <c r="CG306" i="6"/>
  <c r="CG303" i="6" s="1"/>
  <c r="CG284" i="6"/>
  <c r="CG281" i="6" s="1"/>
  <c r="CF306" i="6"/>
  <c r="CF303" i="6" s="1"/>
  <c r="CF284" i="6"/>
  <c r="CE284" i="6"/>
  <c r="CE306" i="6"/>
  <c r="CE303" i="6" s="1"/>
  <c r="CG420" i="12"/>
  <c r="CG408" i="12"/>
  <c r="CG414" i="12"/>
  <c r="CF278" i="6"/>
  <c r="CF300" i="6"/>
  <c r="CF254" i="6"/>
  <c r="CF253" i="6" s="1"/>
  <c r="CF296" i="6"/>
  <c r="CF279" i="6"/>
  <c r="CF301" i="6"/>
  <c r="CE300" i="6"/>
  <c r="CE278" i="6"/>
  <c r="CE279" i="6"/>
  <c r="CE256" i="6"/>
  <c r="CE254" i="6" s="1"/>
  <c r="CE253" i="6" s="1"/>
  <c r="CE301" i="6"/>
  <c r="CE298" i="6"/>
  <c r="CE276" i="6"/>
  <c r="CI218" i="6"/>
  <c r="CI249" i="6"/>
  <c r="CI294" i="6"/>
  <c r="CI122" i="6"/>
  <c r="CI248" i="6" s="1"/>
  <c r="CI236" i="6"/>
  <c r="CI235" i="6" s="1"/>
  <c r="CI234" i="6" s="1"/>
  <c r="CI232" i="6" s="1"/>
  <c r="CI272" i="6"/>
  <c r="CH218" i="6"/>
  <c r="CH217" i="6" s="1"/>
  <c r="CH249" i="6"/>
  <c r="CH294" i="6"/>
  <c r="CH122" i="6"/>
  <c r="CH248" i="6" s="1"/>
  <c r="CH236" i="6"/>
  <c r="CH235" i="6" s="1"/>
  <c r="CH234" i="6" s="1"/>
  <c r="CH232" i="6" s="1"/>
  <c r="CH272" i="6"/>
  <c r="CF218" i="6"/>
  <c r="CF217" i="6" s="1"/>
  <c r="CF249" i="6"/>
  <c r="CF294" i="6"/>
  <c r="CF236" i="6"/>
  <c r="CF235" i="6" s="1"/>
  <c r="CF234" i="6" s="1"/>
  <c r="CF232" i="6" s="1"/>
  <c r="CF272" i="6"/>
  <c r="CF122" i="6"/>
  <c r="CF248" i="6" s="1"/>
  <c r="CD419" i="12"/>
  <c r="CD298" i="6"/>
  <c r="CD276" i="6"/>
  <c r="CD413" i="12"/>
  <c r="CC258" i="6"/>
  <c r="CC6" i="2"/>
  <c r="CC225" i="2"/>
  <c r="CC231" i="2" s="1"/>
  <c r="CC228" i="2" s="1"/>
  <c r="CC247" i="6"/>
  <c r="CC248" i="2"/>
  <c r="CC145" i="2"/>
  <c r="CC83" i="2"/>
  <c r="CC142" i="2" s="1"/>
  <c r="CC112" i="6"/>
  <c r="CC205" i="6" s="1"/>
  <c r="CC204" i="6" s="1"/>
  <c r="CC249" i="12"/>
  <c r="CC289" i="12" s="1"/>
  <c r="CC176" i="2"/>
  <c r="CC285" i="6" s="1"/>
  <c r="CC408" i="12"/>
  <c r="CC6" i="6"/>
  <c r="CC37" i="12"/>
  <c r="CC259" i="6"/>
  <c r="CC237" i="6"/>
  <c r="CC250" i="12"/>
  <c r="CC290" i="12" s="1"/>
  <c r="CC30" i="6"/>
  <c r="CC226" i="6"/>
  <c r="CC225" i="6" s="1"/>
  <c r="CC231" i="6" s="1"/>
  <c r="CC228" i="6" s="1"/>
  <c r="CC147" i="12"/>
  <c r="CC409" i="12"/>
  <c r="CC237" i="2"/>
  <c r="CC223" i="2"/>
  <c r="CC175" i="2"/>
  <c r="CC170" i="2"/>
  <c r="CC296" i="12"/>
  <c r="CC287" i="12"/>
  <c r="CC86" i="12"/>
  <c r="CC139" i="12" s="1"/>
  <c r="CC141" i="12"/>
  <c r="CC296" i="6"/>
  <c r="BY24" i="2"/>
  <c r="CB77" i="2"/>
  <c r="CB265" i="12"/>
  <c r="CB388" i="12"/>
  <c r="CB127" i="2"/>
  <c r="CB106" i="2"/>
  <c r="BY109" i="2"/>
  <c r="CB161" i="2"/>
  <c r="CB152" i="2" s="1"/>
  <c r="BY272" i="12"/>
  <c r="CB190" i="2"/>
  <c r="CB189" i="2" s="1"/>
  <c r="CB154" i="2"/>
  <c r="CB198" i="2"/>
  <c r="CB86" i="2"/>
  <c r="CB263" i="6" s="1"/>
  <c r="CB260" i="6" s="1"/>
  <c r="CB120" i="2"/>
  <c r="CB373" i="12"/>
  <c r="BY31" i="12"/>
  <c r="CB40" i="2"/>
  <c r="CB122" i="2"/>
  <c r="CB71" i="2"/>
  <c r="CB348" i="12"/>
  <c r="CB380" i="12" s="1"/>
  <c r="CB56" i="2"/>
  <c r="CB218" i="2" s="1"/>
  <c r="CB217" i="2" s="1"/>
  <c r="CB121" i="2"/>
  <c r="CB339" i="12"/>
  <c r="CB336" i="12"/>
  <c r="CB92" i="2"/>
  <c r="CB26" i="2"/>
  <c r="CB227" i="2" s="1"/>
  <c r="CB20" i="2"/>
  <c r="CB7" i="2"/>
  <c r="CB21" i="12"/>
  <c r="CB323" i="12"/>
  <c r="CB397" i="12" s="1"/>
  <c r="CB322" i="12"/>
  <c r="CB204" i="12"/>
  <c r="CB115" i="6"/>
  <c r="CB94" i="12"/>
  <c r="CB170" i="12"/>
  <c r="CB151" i="12"/>
  <c r="CB171" i="6"/>
  <c r="CB427" i="12"/>
  <c r="CI433" i="12" s="1"/>
  <c r="CB176" i="12"/>
  <c r="CB217" i="12"/>
  <c r="CB303" i="12"/>
  <c r="CB302" i="12" s="1"/>
  <c r="CB424" i="12"/>
  <c r="CI430" i="12" s="1"/>
  <c r="CB108" i="6"/>
  <c r="CB192" i="12"/>
  <c r="CB274" i="12"/>
  <c r="CB253" i="12"/>
  <c r="CB235" i="12"/>
  <c r="CB226" i="12"/>
  <c r="CB205" i="12"/>
  <c r="CB201" i="12"/>
  <c r="CB208" i="12"/>
  <c r="CB184" i="12"/>
  <c r="CB149" i="12"/>
  <c r="CB152" i="12"/>
  <c r="CB155" i="12"/>
  <c r="CB131" i="12"/>
  <c r="CB116" i="12"/>
  <c r="CB91" i="12"/>
  <c r="CB144" i="12" s="1"/>
  <c r="CB370" i="12" s="1"/>
  <c r="CB109" i="12"/>
  <c r="CB364" i="12" s="1"/>
  <c r="CB89" i="12"/>
  <c r="CB142" i="12" s="1"/>
  <c r="CB247" i="12" s="1"/>
  <c r="CB90" i="12"/>
  <c r="CB143" i="12" s="1"/>
  <c r="CB258" i="6" s="1"/>
  <c r="CB71" i="12"/>
  <c r="CB372" i="12" s="1"/>
  <c r="CB55" i="12"/>
  <c r="CB38" i="12"/>
  <c r="CB386" i="12" s="1"/>
  <c r="CB7" i="12"/>
  <c r="CB184" i="6"/>
  <c r="CB178" i="6"/>
  <c r="CB168" i="6"/>
  <c r="CB237" i="6" s="1"/>
  <c r="CB97" i="6"/>
  <c r="CB84" i="6"/>
  <c r="CB96" i="6" s="1"/>
  <c r="CB197" i="6" s="1"/>
  <c r="CB67" i="6"/>
  <c r="CB201" i="6" s="1"/>
  <c r="CB200" i="6" s="1"/>
  <c r="CB49" i="6"/>
  <c r="CB31" i="6"/>
  <c r="CB23" i="6"/>
  <c r="CB7" i="6"/>
  <c r="CB168" i="2"/>
  <c r="CB304" i="6" s="1"/>
  <c r="CB173" i="2"/>
  <c r="CB174" i="2"/>
  <c r="CB169" i="2"/>
  <c r="CB305" i="6" s="1"/>
  <c r="CB101" i="2"/>
  <c r="CB94" i="2"/>
  <c r="CB251" i="12"/>
  <c r="CB291" i="12" s="1"/>
  <c r="CB302" i="6" s="1"/>
  <c r="CB88" i="12"/>
  <c r="CB255" i="6"/>
  <c r="CB245" i="12"/>
  <c r="CB285" i="12" s="1"/>
  <c r="BX101" i="6"/>
  <c r="BX102" i="6"/>
  <c r="BX104" i="6"/>
  <c r="BX88" i="6"/>
  <c r="BX89" i="6"/>
  <c r="BX91" i="6"/>
  <c r="BX92" i="6"/>
  <c r="BX93" i="6"/>
  <c r="BX69" i="6"/>
  <c r="BX72" i="6"/>
  <c r="BX73" i="6"/>
  <c r="BX74" i="6"/>
  <c r="BX77" i="6"/>
  <c r="BX55" i="6"/>
  <c r="BX62" i="6"/>
  <c r="BX63" i="6"/>
  <c r="BX34" i="6"/>
  <c r="BX35" i="6"/>
  <c r="BX44" i="6"/>
  <c r="BX45" i="6"/>
  <c r="BX46" i="6"/>
  <c r="BX15" i="6"/>
  <c r="BX16" i="6"/>
  <c r="BX17" i="6"/>
  <c r="BX18" i="6"/>
  <c r="BX20" i="6"/>
  <c r="BR154" i="12"/>
  <c r="BY26" i="16"/>
  <c r="CC377" i="12" l="1"/>
  <c r="CG284" i="12"/>
  <c r="CG416" i="12" s="1"/>
  <c r="CC172" i="2"/>
  <c r="CC249" i="2" s="1"/>
  <c r="CG421" i="12"/>
  <c r="CC297" i="12"/>
  <c r="CI224" i="6"/>
  <c r="CI217" i="6" s="1"/>
  <c r="CF281" i="6"/>
  <c r="CI395" i="12"/>
  <c r="CI394" i="12" s="1"/>
  <c r="CI393" i="12" s="1"/>
  <c r="CI391" i="12" s="1"/>
  <c r="CD112" i="6"/>
  <c r="CD205" i="6" s="1"/>
  <c r="CI295" i="6"/>
  <c r="CI315" i="6" s="1"/>
  <c r="CD206" i="6"/>
  <c r="CD237" i="6"/>
  <c r="CB196" i="6"/>
  <c r="CE119" i="6"/>
  <c r="CE121" i="6" s="1"/>
  <c r="CE205" i="6"/>
  <c r="CE204" i="6" s="1"/>
  <c r="CB212" i="2"/>
  <c r="CD146" i="2"/>
  <c r="CD89" i="2"/>
  <c r="CD83" i="2"/>
  <c r="CD248" i="2"/>
  <c r="CD263" i="6"/>
  <c r="CD260" i="6" s="1"/>
  <c r="CD145" i="2"/>
  <c r="CE281" i="6"/>
  <c r="CD377" i="12"/>
  <c r="CD246" i="12"/>
  <c r="CD367" i="12"/>
  <c r="CD406" i="12" s="1"/>
  <c r="CD256" i="6"/>
  <c r="CD86" i="12"/>
  <c r="CD139" i="12" s="1"/>
  <c r="CD244" i="12" s="1"/>
  <c r="CD376" i="12" s="1"/>
  <c r="CB321" i="12"/>
  <c r="CB396" i="12" s="1"/>
  <c r="CD249" i="12"/>
  <c r="CD369" i="12"/>
  <c r="CD408" i="12" s="1"/>
  <c r="CD258" i="6"/>
  <c r="CG297" i="6"/>
  <c r="CG295" i="6" s="1"/>
  <c r="CG418" i="12"/>
  <c r="CD259" i="6"/>
  <c r="CD370" i="12"/>
  <c r="CD409" i="12" s="1"/>
  <c r="CD250" i="12"/>
  <c r="CB117" i="2"/>
  <c r="CB355" i="12"/>
  <c r="CG218" i="6"/>
  <c r="CG217" i="6" s="1"/>
  <c r="CG249" i="6"/>
  <c r="CG294" i="6"/>
  <c r="CH315" i="6"/>
  <c r="CF297" i="6"/>
  <c r="CF295" i="6" s="1"/>
  <c r="CF315" i="6" s="1"/>
  <c r="CF275" i="6"/>
  <c r="CF273" i="6" s="1"/>
  <c r="CC298" i="12"/>
  <c r="CC279" i="6" s="1"/>
  <c r="CC245" i="2"/>
  <c r="CC121" i="6"/>
  <c r="CC218" i="6" s="1"/>
  <c r="CC217" i="6" s="1"/>
  <c r="CB261" i="12"/>
  <c r="CC167" i="2"/>
  <c r="CC253" i="2" s="1"/>
  <c r="CC222" i="2"/>
  <c r="CC221" i="2" s="1"/>
  <c r="CC236" i="2" s="1"/>
  <c r="CC235" i="2" s="1"/>
  <c r="CC234" i="2" s="1"/>
  <c r="CC232" i="2" s="1"/>
  <c r="CC306" i="6"/>
  <c r="CC303" i="6" s="1"/>
  <c r="CC256" i="2"/>
  <c r="CC252" i="2"/>
  <c r="CC284" i="6"/>
  <c r="CC281" i="6" s="1"/>
  <c r="CC414" i="12"/>
  <c r="CC278" i="6"/>
  <c r="CC420" i="12"/>
  <c r="CC300" i="6"/>
  <c r="CC367" i="12"/>
  <c r="CC406" i="12" s="1"/>
  <c r="CC256" i="6"/>
  <c r="CC254" i="6" s="1"/>
  <c r="CC253" i="6" s="1"/>
  <c r="CC246" i="12"/>
  <c r="CC244" i="12"/>
  <c r="CC376" i="12" s="1"/>
  <c r="CC375" i="12" s="1"/>
  <c r="CC363" i="12"/>
  <c r="CC362" i="12" s="1"/>
  <c r="CC404" i="12" s="1"/>
  <c r="CC419" i="12"/>
  <c r="CC298" i="6"/>
  <c r="CC301" i="6"/>
  <c r="CC421" i="12"/>
  <c r="CC413" i="12"/>
  <c r="CC276" i="6"/>
  <c r="CC122" i="6"/>
  <c r="CC248" i="6" s="1"/>
  <c r="CC272" i="6"/>
  <c r="CC236" i="6"/>
  <c r="CC235" i="6" s="1"/>
  <c r="CC234" i="6" s="1"/>
  <c r="CC232" i="6" s="1"/>
  <c r="CB237" i="2"/>
  <c r="CB223" i="2"/>
  <c r="CB371" i="12"/>
  <c r="CB248" i="2"/>
  <c r="CB145" i="2"/>
  <c r="CB175" i="2" s="1"/>
  <c r="CB422" i="12"/>
  <c r="CI428" i="12" s="1"/>
  <c r="CB83" i="2"/>
  <c r="CB146" i="2"/>
  <c r="CB176" i="2" s="1"/>
  <c r="CB285" i="6" s="1"/>
  <c r="CB206" i="6"/>
  <c r="CB6" i="12"/>
  <c r="CB25" i="2"/>
  <c r="CB6" i="2"/>
  <c r="CB226" i="2"/>
  <c r="CB225" i="2" s="1"/>
  <c r="CB231" i="2" s="1"/>
  <c r="CB228" i="2" s="1"/>
  <c r="CB147" i="12"/>
  <c r="CB249" i="12"/>
  <c r="CB297" i="12" s="1"/>
  <c r="CB30" i="6"/>
  <c r="CB199" i="12"/>
  <c r="CB409" i="12"/>
  <c r="CB250" i="12"/>
  <c r="CB298" i="12" s="1"/>
  <c r="CB259" i="6"/>
  <c r="CB368" i="12"/>
  <c r="CB407" i="12" s="1"/>
  <c r="CB257" i="6"/>
  <c r="CB369" i="12"/>
  <c r="CB408" i="12" s="1"/>
  <c r="CB37" i="12"/>
  <c r="CB385" i="12"/>
  <c r="CB384" i="12" s="1"/>
  <c r="CB390" i="12" s="1"/>
  <c r="CB387" i="12" s="1"/>
  <c r="CB177" i="6"/>
  <c r="CB247" i="6"/>
  <c r="CB227" i="6"/>
  <c r="CB6" i="6"/>
  <c r="CB226" i="6"/>
  <c r="CB89" i="2"/>
  <c r="CB245" i="2" s="1"/>
  <c r="CB296" i="12"/>
  <c r="CB287" i="12"/>
  <c r="CB141" i="12"/>
  <c r="CB86" i="12"/>
  <c r="CB139" i="12" s="1"/>
  <c r="CB296" i="6"/>
  <c r="CB112" i="6"/>
  <c r="CB205" i="6" s="1"/>
  <c r="BY206" i="2"/>
  <c r="BY205" i="2"/>
  <c r="BY199" i="2"/>
  <c r="BY187" i="2"/>
  <c r="BY165" i="2"/>
  <c r="BY163" i="2"/>
  <c r="BY162" i="2"/>
  <c r="BY151" i="2"/>
  <c r="BY150" i="2"/>
  <c r="BY130" i="2"/>
  <c r="BY126" i="2"/>
  <c r="BY125" i="2"/>
  <c r="BY116" i="2"/>
  <c r="BY114" i="2"/>
  <c r="BX110" i="2"/>
  <c r="BY104" i="2"/>
  <c r="BY98" i="2"/>
  <c r="BY82" i="2"/>
  <c r="BY80" i="2"/>
  <c r="BY74" i="2"/>
  <c r="BX66" i="2"/>
  <c r="BX64" i="2"/>
  <c r="BX57" i="2"/>
  <c r="BX55" i="2"/>
  <c r="BX39" i="2"/>
  <c r="BX36" i="2"/>
  <c r="BX35" i="2"/>
  <c r="BX34" i="2"/>
  <c r="BX33" i="2"/>
  <c r="BX32" i="2"/>
  <c r="BX31" i="2"/>
  <c r="BX27" i="2"/>
  <c r="BX24" i="2"/>
  <c r="BX23" i="2"/>
  <c r="BX22" i="2"/>
  <c r="BX21" i="2"/>
  <c r="BX19" i="2"/>
  <c r="BX13" i="2"/>
  <c r="BX12" i="2"/>
  <c r="BX10" i="2"/>
  <c r="BX9" i="2"/>
  <c r="BX8" i="2"/>
  <c r="CD204" i="6" l="1"/>
  <c r="CC294" i="6"/>
  <c r="CC249" i="6"/>
  <c r="CD119" i="6"/>
  <c r="CD121" i="6" s="1"/>
  <c r="CD218" i="6" s="1"/>
  <c r="CD217" i="6" s="1"/>
  <c r="CD142" i="2"/>
  <c r="CD363" i="12"/>
  <c r="CD362" i="12" s="1"/>
  <c r="CD404" i="12" s="1"/>
  <c r="CD375" i="12"/>
  <c r="CD395" i="12" s="1"/>
  <c r="CD394" i="12" s="1"/>
  <c r="CD393" i="12" s="1"/>
  <c r="CD391" i="12" s="1"/>
  <c r="CC395" i="12"/>
  <c r="CC394" i="12" s="1"/>
  <c r="CC393" i="12" s="1"/>
  <c r="CC391" i="12" s="1"/>
  <c r="CG315" i="6"/>
  <c r="CE122" i="6"/>
  <c r="CE248" i="6" s="1"/>
  <c r="CE236" i="6"/>
  <c r="CE235" i="6" s="1"/>
  <c r="CE234" i="6" s="1"/>
  <c r="CE232" i="6" s="1"/>
  <c r="CE272" i="6"/>
  <c r="CD254" i="6"/>
  <c r="CD253" i="6" s="1"/>
  <c r="CE249" i="6"/>
  <c r="CE294" i="6"/>
  <c r="CE218" i="6"/>
  <c r="CE217" i="6" s="1"/>
  <c r="CB377" i="12"/>
  <c r="CD175" i="2"/>
  <c r="CD170" i="2"/>
  <c r="CD245" i="2"/>
  <c r="CD171" i="2"/>
  <c r="CD307" i="6" s="1"/>
  <c r="CD176" i="2"/>
  <c r="CD285" i="6" s="1"/>
  <c r="CD295" i="12"/>
  <c r="CD286" i="12"/>
  <c r="CD289" i="12"/>
  <c r="CD297" i="12"/>
  <c r="CD298" i="12"/>
  <c r="CD290" i="12"/>
  <c r="BY307" i="12"/>
  <c r="BY338" i="12"/>
  <c r="BY334" i="12"/>
  <c r="BY308" i="12"/>
  <c r="BY340" i="12"/>
  <c r="BY341" i="12"/>
  <c r="BY347" i="12"/>
  <c r="BY350" i="12"/>
  <c r="BY305" i="12"/>
  <c r="BY328" i="12"/>
  <c r="BY353" i="12"/>
  <c r="BY337" i="12"/>
  <c r="CB204" i="6"/>
  <c r="CB272" i="6" s="1"/>
  <c r="CE297" i="6"/>
  <c r="CE295" i="6" s="1"/>
  <c r="CE275" i="6"/>
  <c r="CE273" i="6" s="1"/>
  <c r="CC415" i="12"/>
  <c r="CB290" i="12"/>
  <c r="CB421" i="12" s="1"/>
  <c r="CC295" i="12"/>
  <c r="CC286" i="12"/>
  <c r="CB171" i="2"/>
  <c r="CB307" i="6" s="1"/>
  <c r="CB170" i="2"/>
  <c r="CB256" i="2" s="1"/>
  <c r="CB289" i="12"/>
  <c r="CB420" i="12" s="1"/>
  <c r="CB225" i="6"/>
  <c r="CB231" i="6" s="1"/>
  <c r="CB228" i="6" s="1"/>
  <c r="CB142" i="2"/>
  <c r="CB252" i="2"/>
  <c r="CB284" i="6"/>
  <c r="CB281" i="6" s="1"/>
  <c r="CB172" i="2"/>
  <c r="CB249" i="2" s="1"/>
  <c r="CB244" i="12"/>
  <c r="CB363" i="12"/>
  <c r="CB362" i="12" s="1"/>
  <c r="CB404" i="12" s="1"/>
  <c r="CB367" i="12"/>
  <c r="CB406" i="12" s="1"/>
  <c r="CB246" i="12"/>
  <c r="CB295" i="12" s="1"/>
  <c r="CB256" i="6"/>
  <c r="CB254" i="6" s="1"/>
  <c r="CB253" i="6" s="1"/>
  <c r="CB276" i="6"/>
  <c r="CB413" i="12"/>
  <c r="CB279" i="6"/>
  <c r="CB415" i="12"/>
  <c r="CB419" i="12"/>
  <c r="CB298" i="6"/>
  <c r="CB278" i="6"/>
  <c r="CB414" i="12"/>
  <c r="CB119" i="6"/>
  <c r="CB121" i="6" s="1"/>
  <c r="CB249" i="6" s="1"/>
  <c r="CB122" i="6"/>
  <c r="CB248" i="6" s="1"/>
  <c r="BX275" i="12"/>
  <c r="CD294" i="6" l="1"/>
  <c r="CD249" i="6"/>
  <c r="CD222" i="2"/>
  <c r="CD221" i="2" s="1"/>
  <c r="CD236" i="2" s="1"/>
  <c r="CD235" i="2" s="1"/>
  <c r="CD234" i="2" s="1"/>
  <c r="CD232" i="2" s="1"/>
  <c r="CD167" i="2"/>
  <c r="CD253" i="2" s="1"/>
  <c r="CB236" i="6"/>
  <c r="CB235" i="6" s="1"/>
  <c r="CB234" i="6" s="1"/>
  <c r="CB232" i="6" s="1"/>
  <c r="CE315" i="6"/>
  <c r="CD306" i="6"/>
  <c r="CD303" i="6" s="1"/>
  <c r="CD256" i="2"/>
  <c r="CD252" i="2"/>
  <c r="CD284" i="6"/>
  <c r="CD281" i="6" s="1"/>
  <c r="CD172" i="2"/>
  <c r="CD249" i="2" s="1"/>
  <c r="CD297" i="6"/>
  <c r="CD418" i="12"/>
  <c r="CD412" i="12"/>
  <c r="CD275" i="6"/>
  <c r="CD278" i="6"/>
  <c r="CD414" i="12"/>
  <c r="CD420" i="12"/>
  <c r="CD300" i="6"/>
  <c r="CD421" i="12"/>
  <c r="CD301" i="6"/>
  <c r="CD284" i="12"/>
  <c r="CD416" i="12" s="1"/>
  <c r="CD279" i="6"/>
  <c r="CD415" i="12"/>
  <c r="CD293" i="12"/>
  <c r="CD410" i="12" s="1"/>
  <c r="BY222" i="12"/>
  <c r="BY257" i="12"/>
  <c r="BY223" i="12"/>
  <c r="BY258" i="12"/>
  <c r="BY228" i="12"/>
  <c r="BY266" i="12"/>
  <c r="BY231" i="12"/>
  <c r="BY267" i="12"/>
  <c r="BY265" i="12" s="1"/>
  <c r="BY232" i="12"/>
  <c r="BY273" i="12"/>
  <c r="BY271" i="12" s="1"/>
  <c r="BY237" i="12"/>
  <c r="BY241" i="12"/>
  <c r="BY276" i="12"/>
  <c r="BY274" i="12" s="1"/>
  <c r="BY219" i="12"/>
  <c r="BY255" i="12"/>
  <c r="CB306" i="6"/>
  <c r="CB303" i="6" s="1"/>
  <c r="CB301" i="6"/>
  <c r="CB300" i="6"/>
  <c r="CC297" i="6"/>
  <c r="CC295" i="6" s="1"/>
  <c r="CC315" i="6" s="1"/>
  <c r="CC418" i="12"/>
  <c r="CC284" i="12"/>
  <c r="CC416" i="12" s="1"/>
  <c r="CC412" i="12"/>
  <c r="CC275" i="6"/>
  <c r="CC273" i="6" s="1"/>
  <c r="CC293" i="12"/>
  <c r="CC410" i="12" s="1"/>
  <c r="CB376" i="12"/>
  <c r="CB375" i="12" s="1"/>
  <c r="CB167" i="2"/>
  <c r="CB253" i="2" s="1"/>
  <c r="CB222" i="2"/>
  <c r="CB221" i="2" s="1"/>
  <c r="CB236" i="2" s="1"/>
  <c r="CB235" i="2" s="1"/>
  <c r="CB234" i="2" s="1"/>
  <c r="CB232" i="2" s="1"/>
  <c r="CB286" i="12"/>
  <c r="CB218" i="6"/>
  <c r="CB217" i="6" s="1"/>
  <c r="CB294" i="6"/>
  <c r="CA204" i="12"/>
  <c r="BY187" i="12"/>
  <c r="BY128" i="12"/>
  <c r="BY124" i="12" s="1"/>
  <c r="BY118" i="12"/>
  <c r="BX112" i="12"/>
  <c r="BX89" i="12" s="1"/>
  <c r="BX142" i="12" s="1"/>
  <c r="BX368" i="12" s="1"/>
  <c r="BY99" i="12"/>
  <c r="BY427" i="12" s="1"/>
  <c r="CF433" i="12" s="1"/>
  <c r="BY98" i="12"/>
  <c r="BY96" i="12"/>
  <c r="BX80" i="12"/>
  <c r="BX79" i="12"/>
  <c r="BX78" i="12"/>
  <c r="BX74" i="12"/>
  <c r="BX73" i="12"/>
  <c r="BX72" i="12"/>
  <c r="BX70" i="12"/>
  <c r="BX68" i="12"/>
  <c r="BX66" i="12"/>
  <c r="BX64" i="12"/>
  <c r="BX63" i="12"/>
  <c r="BX62" i="12"/>
  <c r="BX60" i="12"/>
  <c r="BX59" i="12"/>
  <c r="BX58" i="12"/>
  <c r="BX57" i="12"/>
  <c r="BX56" i="12"/>
  <c r="BX54" i="12"/>
  <c r="BX53" i="12"/>
  <c r="BX50" i="12"/>
  <c r="BX49" i="12"/>
  <c r="BX48" i="12"/>
  <c r="BX47" i="12"/>
  <c r="BX46" i="12"/>
  <c r="BX45" i="12"/>
  <c r="BX44" i="12"/>
  <c r="BX43" i="12"/>
  <c r="BX41" i="12"/>
  <c r="BX40" i="12"/>
  <c r="BX39" i="12"/>
  <c r="BX36" i="12"/>
  <c r="BX35" i="12"/>
  <c r="BX34" i="12"/>
  <c r="BX33" i="12"/>
  <c r="BX29" i="12"/>
  <c r="BX28" i="12"/>
  <c r="BX27" i="12"/>
  <c r="BX26" i="12"/>
  <c r="BX24" i="12"/>
  <c r="BX388" i="12" s="1"/>
  <c r="BX23" i="12"/>
  <c r="BX22" i="12"/>
  <c r="BX20" i="12"/>
  <c r="BX19" i="12"/>
  <c r="BX14" i="12"/>
  <c r="BX13" i="12"/>
  <c r="BX11" i="12"/>
  <c r="BX10" i="12"/>
  <c r="BX9" i="12"/>
  <c r="BX8" i="12"/>
  <c r="BX195" i="6"/>
  <c r="CA184" i="6"/>
  <c r="BX187" i="6"/>
  <c r="BX215" i="2" s="1"/>
  <c r="BY176" i="6"/>
  <c r="BY208" i="6" s="1"/>
  <c r="CA238" i="6"/>
  <c r="BY99" i="6"/>
  <c r="BY175" i="6" s="1"/>
  <c r="BY207" i="6" s="1"/>
  <c r="BX78" i="6"/>
  <c r="BX76" i="6"/>
  <c r="BX75" i="6"/>
  <c r="BX70" i="6"/>
  <c r="BX68" i="6"/>
  <c r="BX66" i="6"/>
  <c r="BX65" i="6"/>
  <c r="BX64" i="6"/>
  <c r="BX61" i="6"/>
  <c r="BX60" i="6"/>
  <c r="BX59" i="6"/>
  <c r="BX58" i="6"/>
  <c r="BX57" i="6"/>
  <c r="BX56" i="6"/>
  <c r="BX54" i="6"/>
  <c r="BX53" i="6"/>
  <c r="BX52" i="6"/>
  <c r="BX51" i="6"/>
  <c r="BX50" i="6"/>
  <c r="BX48" i="6"/>
  <c r="BX47" i="6"/>
  <c r="BX43" i="6"/>
  <c r="BX42" i="6"/>
  <c r="BX41" i="6"/>
  <c r="BX40" i="6"/>
  <c r="BX39" i="6"/>
  <c r="BX38" i="6"/>
  <c r="BX37" i="6"/>
  <c r="BX36" i="6"/>
  <c r="BX33" i="6"/>
  <c r="BX32" i="6"/>
  <c r="BX25" i="6"/>
  <c r="BX24" i="6"/>
  <c r="BX22" i="6"/>
  <c r="BX19" i="6"/>
  <c r="BX14" i="6"/>
  <c r="BX13" i="6"/>
  <c r="BX12" i="6"/>
  <c r="BX11" i="6"/>
  <c r="BX10" i="6"/>
  <c r="BX9" i="6"/>
  <c r="BX8" i="6"/>
  <c r="CA47" i="16"/>
  <c r="CA7" i="2"/>
  <c r="CA20" i="2"/>
  <c r="CA230" i="2"/>
  <c r="CA26" i="2"/>
  <c r="CA40" i="2"/>
  <c r="CA56" i="2"/>
  <c r="CA218" i="2" s="1"/>
  <c r="CA70" i="2"/>
  <c r="CA71" i="2"/>
  <c r="CA86" i="2"/>
  <c r="CA88" i="2"/>
  <c r="CA87" i="2"/>
  <c r="CA93" i="2"/>
  <c r="CA94" i="2"/>
  <c r="CA95" i="2"/>
  <c r="CA101" i="2"/>
  <c r="CA92" i="2"/>
  <c r="CA106" i="2"/>
  <c r="CA111" i="2"/>
  <c r="CA118" i="2"/>
  <c r="CA143" i="2" s="1"/>
  <c r="CA119" i="2"/>
  <c r="CA144" i="2" s="1"/>
  <c r="CA121" i="2"/>
  <c r="CA120" i="2"/>
  <c r="CA127" i="2"/>
  <c r="CA132" i="2"/>
  <c r="CA137" i="2"/>
  <c r="CA147" i="2"/>
  <c r="CA153" i="2"/>
  <c r="CA154" i="2"/>
  <c r="CA164" i="2"/>
  <c r="CA184" i="2"/>
  <c r="CA190" i="2"/>
  <c r="CA192" i="2"/>
  <c r="CA191" i="2"/>
  <c r="CA238" i="2" s="1"/>
  <c r="CA201" i="2"/>
  <c r="CA204" i="2"/>
  <c r="CA208" i="2"/>
  <c r="CA207" i="2" s="1"/>
  <c r="CA224" i="2" s="1"/>
  <c r="CA209" i="2"/>
  <c r="CA210" i="2"/>
  <c r="CA211" i="2"/>
  <c r="CA219" i="2"/>
  <c r="CA220" i="2"/>
  <c r="CA229" i="2"/>
  <c r="CA303" i="12"/>
  <c r="CA324" i="12"/>
  <c r="CA322" i="12"/>
  <c r="CA330" i="12"/>
  <c r="CA323" i="12"/>
  <c r="CA397" i="12" s="1"/>
  <c r="CA336" i="12"/>
  <c r="CA339" i="12"/>
  <c r="CA342" i="12"/>
  <c r="CA378" i="12" s="1"/>
  <c r="CA356" i="12"/>
  <c r="CA374" i="12"/>
  <c r="CA388" i="12"/>
  <c r="CA425" i="12"/>
  <c r="CH431" i="12" s="1"/>
  <c r="BX81" i="12"/>
  <c r="CA85" i="12"/>
  <c r="CA87" i="12"/>
  <c r="CA140" i="12" s="1"/>
  <c r="CA92" i="12"/>
  <c r="CA145" i="12" s="1"/>
  <c r="CA101" i="12"/>
  <c r="CA146" i="12"/>
  <c r="CA148" i="12"/>
  <c r="CA153" i="12"/>
  <c r="CA200" i="12"/>
  <c r="CA202" i="12"/>
  <c r="CA203" i="12"/>
  <c r="CA248" i="12" s="1"/>
  <c r="CA288" i="12" s="1"/>
  <c r="CA299" i="6" s="1"/>
  <c r="CA206" i="12"/>
  <c r="CA201" i="12"/>
  <c r="CA217" i="12"/>
  <c r="CA226" i="12"/>
  <c r="CA235" i="12"/>
  <c r="CA253" i="12"/>
  <c r="CA262" i="12"/>
  <c r="CA265" i="12"/>
  <c r="CA268" i="12"/>
  <c r="CA271" i="12"/>
  <c r="CA274" i="12"/>
  <c r="CA83" i="6"/>
  <c r="CA199" i="6"/>
  <c r="CA203" i="6"/>
  <c r="CA261" i="6"/>
  <c r="CA262" i="6"/>
  <c r="CA274" i="6"/>
  <c r="BX34" i="16"/>
  <c r="BX26" i="16"/>
  <c r="BZ47" i="16"/>
  <c r="BX47" i="16"/>
  <c r="BY47" i="16"/>
  <c r="BW47" i="16"/>
  <c r="BV184" i="2"/>
  <c r="BW55" i="2"/>
  <c r="BW41" i="2"/>
  <c r="BW40" i="2" s="1"/>
  <c r="BW58" i="2"/>
  <c r="BW59" i="2"/>
  <c r="BW60" i="2"/>
  <c r="BW219" i="2" s="1"/>
  <c r="BW61" i="2"/>
  <c r="BW62" i="2"/>
  <c r="BW63" i="2"/>
  <c r="BW28" i="2"/>
  <c r="BW29" i="2"/>
  <c r="BW30" i="2"/>
  <c r="BW37" i="2"/>
  <c r="BW38" i="2"/>
  <c r="BW11" i="2"/>
  <c r="BW14" i="2"/>
  <c r="BW15" i="2"/>
  <c r="BW16" i="2"/>
  <c r="BW17" i="2"/>
  <c r="BW18" i="2"/>
  <c r="BX206" i="2"/>
  <c r="BV191" i="2"/>
  <c r="BV238" i="2" s="1"/>
  <c r="BW203" i="2"/>
  <c r="BW201" i="2" s="1"/>
  <c r="BZ191" i="2"/>
  <c r="BZ238" i="2" s="1"/>
  <c r="BZ184" i="2"/>
  <c r="BW195" i="6"/>
  <c r="BZ189" i="6"/>
  <c r="BW188" i="6"/>
  <c r="BW216" i="2" s="1"/>
  <c r="BW187" i="6"/>
  <c r="BW215" i="2" s="1"/>
  <c r="BY184" i="2"/>
  <c r="BY190" i="2"/>
  <c r="BX191" i="2"/>
  <c r="BX238" i="2" s="1"/>
  <c r="BY191" i="2"/>
  <c r="BY238" i="2" s="1"/>
  <c r="BW192" i="2"/>
  <c r="BX192" i="2"/>
  <c r="BY192" i="2"/>
  <c r="BZ192" i="2"/>
  <c r="BY198" i="2"/>
  <c r="BX201" i="2"/>
  <c r="BY201" i="2"/>
  <c r="BZ201" i="2"/>
  <c r="BY204" i="2"/>
  <c r="BW208" i="2"/>
  <c r="BX208" i="2"/>
  <c r="BY208" i="2"/>
  <c r="BZ208" i="2"/>
  <c r="BW209" i="2"/>
  <c r="BX209" i="2"/>
  <c r="BY209" i="2"/>
  <c r="BZ209" i="2"/>
  <c r="BW210" i="2"/>
  <c r="BX210" i="2"/>
  <c r="BY210" i="2"/>
  <c r="BZ210" i="2"/>
  <c r="BX211" i="2"/>
  <c r="BY211" i="2"/>
  <c r="BZ211" i="2"/>
  <c r="BX219" i="2"/>
  <c r="BY219" i="2"/>
  <c r="BZ219" i="2"/>
  <c r="BW220" i="2"/>
  <c r="BX220" i="2"/>
  <c r="BY220" i="2"/>
  <c r="BZ220" i="2"/>
  <c r="BY229" i="2"/>
  <c r="BY230" i="2"/>
  <c r="BW166" i="2"/>
  <c r="BW141" i="2"/>
  <c r="BW137" i="2" s="1"/>
  <c r="BW136" i="2"/>
  <c r="BW132" i="2" s="1"/>
  <c r="BW115" i="2"/>
  <c r="BW110" i="2"/>
  <c r="BW105" i="2"/>
  <c r="BW99" i="2"/>
  <c r="BW100" i="2"/>
  <c r="BW81" i="2"/>
  <c r="BW76" i="2"/>
  <c r="BW75" i="2"/>
  <c r="BZ119" i="2"/>
  <c r="BX165" i="2"/>
  <c r="BX163" i="2"/>
  <c r="BX162" i="2"/>
  <c r="BX151" i="2"/>
  <c r="BX150" i="2"/>
  <c r="BX130" i="2"/>
  <c r="BX127" i="2" s="1"/>
  <c r="BY120" i="2"/>
  <c r="BX125" i="2"/>
  <c r="BX116" i="2"/>
  <c r="BX114" i="2"/>
  <c r="BX109" i="2"/>
  <c r="BX106" i="2" s="1"/>
  <c r="BX98" i="2"/>
  <c r="BX95" i="2" s="1"/>
  <c r="BX80" i="2"/>
  <c r="BX137" i="2"/>
  <c r="BY137" i="2"/>
  <c r="BZ137" i="2"/>
  <c r="BW70" i="2"/>
  <c r="BX70" i="2"/>
  <c r="BY70" i="2"/>
  <c r="BZ70" i="2"/>
  <c r="BY71" i="2"/>
  <c r="BY77" i="2"/>
  <c r="BY86" i="2"/>
  <c r="BY263" i="6" s="1"/>
  <c r="BX87" i="2"/>
  <c r="BY87" i="2"/>
  <c r="BZ87" i="2"/>
  <c r="BY88" i="2"/>
  <c r="BX93" i="2"/>
  <c r="BY93" i="2"/>
  <c r="BZ93" i="2"/>
  <c r="BY95" i="2"/>
  <c r="BY92" i="2"/>
  <c r="BY101" i="2"/>
  <c r="BY106" i="2"/>
  <c r="BY111" i="2"/>
  <c r="BW118" i="2"/>
  <c r="BW143" i="2" s="1"/>
  <c r="BX118" i="2"/>
  <c r="BX143" i="2" s="1"/>
  <c r="BY118" i="2"/>
  <c r="BY143" i="2" s="1"/>
  <c r="BZ118" i="2"/>
  <c r="BZ143" i="2" s="1"/>
  <c r="BZ173" i="2" s="1"/>
  <c r="BW119" i="2"/>
  <c r="BW144" i="2" s="1"/>
  <c r="BX119" i="2"/>
  <c r="BX144" i="2" s="1"/>
  <c r="BY119" i="2"/>
  <c r="BY144" i="2" s="1"/>
  <c r="BY174" i="2" s="1"/>
  <c r="BY121" i="2"/>
  <c r="BY127" i="2"/>
  <c r="BX132" i="2"/>
  <c r="BY132" i="2"/>
  <c r="BZ132" i="2"/>
  <c r="BX147" i="2"/>
  <c r="BY147" i="2"/>
  <c r="BX154" i="2"/>
  <c r="BY154" i="2"/>
  <c r="BY153" i="2"/>
  <c r="BY164" i="2"/>
  <c r="BW66" i="2"/>
  <c r="BW65" i="2"/>
  <c r="BW64" i="2"/>
  <c r="BW57" i="2"/>
  <c r="BW39" i="2"/>
  <c r="BW36" i="2"/>
  <c r="BW35" i="2"/>
  <c r="BW34" i="2"/>
  <c r="BW33" i="2"/>
  <c r="BW32" i="2"/>
  <c r="BW31" i="2"/>
  <c r="BW27" i="2"/>
  <c r="BZ230" i="2"/>
  <c r="BZ229" i="2"/>
  <c r="BW21" i="2"/>
  <c r="BW19" i="2"/>
  <c r="BW13" i="2"/>
  <c r="BW12" i="2"/>
  <c r="BW10" i="2"/>
  <c r="BW9" i="2"/>
  <c r="BW8" i="2"/>
  <c r="BY7" i="2"/>
  <c r="BY226" i="2" s="1"/>
  <c r="BY20" i="2"/>
  <c r="BY26" i="2"/>
  <c r="BY227" i="2" s="1"/>
  <c r="BX40" i="2"/>
  <c r="BY40" i="2"/>
  <c r="BX56" i="2"/>
  <c r="BX218" i="2" s="1"/>
  <c r="BY56" i="2"/>
  <c r="BY218" i="2" s="1"/>
  <c r="BW154" i="12"/>
  <c r="BW76" i="12"/>
  <c r="BW374" i="12" s="1"/>
  <c r="BW77" i="12"/>
  <c r="BW61" i="12"/>
  <c r="BW65" i="12"/>
  <c r="BW67" i="12"/>
  <c r="BW69" i="12"/>
  <c r="BW42" i="12"/>
  <c r="BW51" i="12"/>
  <c r="BW52" i="12"/>
  <c r="BW25" i="12"/>
  <c r="BW30" i="12"/>
  <c r="BW12" i="12"/>
  <c r="BW15" i="12"/>
  <c r="BW16" i="12"/>
  <c r="BW17" i="12"/>
  <c r="BW18" i="12"/>
  <c r="BW351" i="12"/>
  <c r="BW345" i="12"/>
  <c r="BW331" i="12"/>
  <c r="BW330" i="12" s="1"/>
  <c r="BW318" i="12"/>
  <c r="BW306" i="12"/>
  <c r="BW292" i="12"/>
  <c r="BW275" i="12"/>
  <c r="BW256" i="12"/>
  <c r="BW259" i="12"/>
  <c r="BW254" i="12"/>
  <c r="BW238" i="12"/>
  <c r="BW239" i="12"/>
  <c r="BW236" i="12"/>
  <c r="BW229" i="12"/>
  <c r="BW230" i="12"/>
  <c r="BW227" i="12"/>
  <c r="BW220" i="12"/>
  <c r="BW221" i="12"/>
  <c r="BW224" i="12"/>
  <c r="BW218" i="12"/>
  <c r="BW211" i="12"/>
  <c r="BW212" i="12"/>
  <c r="BW215" i="12"/>
  <c r="BW216" i="12"/>
  <c r="BW209" i="12"/>
  <c r="BW195" i="12"/>
  <c r="BW187" i="12"/>
  <c r="BW190" i="12"/>
  <c r="BW179" i="12"/>
  <c r="BW182" i="12"/>
  <c r="BW177" i="12"/>
  <c r="BW173" i="12"/>
  <c r="BW158" i="12"/>
  <c r="BW156" i="12"/>
  <c r="BW134" i="12"/>
  <c r="BW137" i="12"/>
  <c r="BW138" i="12"/>
  <c r="BW146" i="12" s="1"/>
  <c r="BW119" i="12"/>
  <c r="BW117" i="12"/>
  <c r="BW87" i="12" s="1"/>
  <c r="BW140" i="12" s="1"/>
  <c r="BW366" i="12" s="1"/>
  <c r="BW97" i="12"/>
  <c r="BY424" i="12"/>
  <c r="CF430" i="12" s="1"/>
  <c r="BX425" i="12"/>
  <c r="CE431" i="12" s="1"/>
  <c r="BY425" i="12"/>
  <c r="CF431" i="12" s="1"/>
  <c r="BZ425" i="12"/>
  <c r="CG431" i="12" s="1"/>
  <c r="BY388" i="12"/>
  <c r="BY389" i="12"/>
  <c r="BW181" i="6"/>
  <c r="BW358" i="12" s="1"/>
  <c r="BW183" i="6"/>
  <c r="BW360" i="12" s="1"/>
  <c r="BZ359" i="12"/>
  <c r="BZ357" i="12"/>
  <c r="BX353" i="12"/>
  <c r="BX350" i="12"/>
  <c r="BX341" i="12"/>
  <c r="BX340" i="12"/>
  <c r="BX338" i="12"/>
  <c r="BX323" i="12" s="1"/>
  <c r="BX397" i="12" s="1"/>
  <c r="BX337" i="12"/>
  <c r="BX334" i="12"/>
  <c r="BX333" i="12" s="1"/>
  <c r="BW383" i="12"/>
  <c r="BW381" i="12"/>
  <c r="BY373" i="12"/>
  <c r="BX374" i="12"/>
  <c r="BY374" i="12"/>
  <c r="BZ374" i="12"/>
  <c r="BX365" i="12"/>
  <c r="BW356" i="12"/>
  <c r="BX356" i="12"/>
  <c r="BY356" i="12"/>
  <c r="BZ356" i="12"/>
  <c r="BY357" i="12"/>
  <c r="BY358" i="12"/>
  <c r="BY359" i="12"/>
  <c r="BY360" i="12"/>
  <c r="BY342" i="12"/>
  <c r="BY378" i="12" s="1"/>
  <c r="BY339" i="12"/>
  <c r="BY336" i="12"/>
  <c r="BY333" i="12"/>
  <c r="BX330" i="12"/>
  <c r="BY330" i="12"/>
  <c r="BZ330" i="12"/>
  <c r="BY322" i="12"/>
  <c r="BY323" i="12"/>
  <c r="BY397" i="12" s="1"/>
  <c r="BW324" i="12"/>
  <c r="BX324" i="12"/>
  <c r="BY324" i="12"/>
  <c r="BZ324" i="12"/>
  <c r="BY327" i="12"/>
  <c r="BY303" i="12"/>
  <c r="BY302" i="12" s="1"/>
  <c r="BW266" i="12"/>
  <c r="BX267" i="12"/>
  <c r="BZ274" i="12"/>
  <c r="BX273" i="12"/>
  <c r="BX271" i="12" s="1"/>
  <c r="BX258" i="12"/>
  <c r="BX257" i="12"/>
  <c r="BX255" i="12"/>
  <c r="BX241" i="12"/>
  <c r="BX237" i="12"/>
  <c r="BX232" i="12"/>
  <c r="BX231" i="12"/>
  <c r="BX228" i="12"/>
  <c r="BX223" i="12"/>
  <c r="BX222" i="12"/>
  <c r="BX219" i="12"/>
  <c r="BZ89" i="12"/>
  <c r="BZ142" i="12" s="1"/>
  <c r="BZ368" i="12" s="1"/>
  <c r="BW81" i="12"/>
  <c r="BW80" i="12"/>
  <c r="BW79" i="12"/>
  <c r="BW78" i="12"/>
  <c r="BZ373" i="12"/>
  <c r="BW74" i="12"/>
  <c r="BW73" i="12"/>
  <c r="BW72" i="12"/>
  <c r="BW70" i="12"/>
  <c r="BW68" i="12"/>
  <c r="BW66" i="12"/>
  <c r="BW64" i="12"/>
  <c r="BW63" i="12"/>
  <c r="BW62" i="12"/>
  <c r="BW60" i="12"/>
  <c r="BW59" i="12"/>
  <c r="BW58" i="12"/>
  <c r="BW57" i="12"/>
  <c r="BW56" i="12"/>
  <c r="BW54" i="12"/>
  <c r="BW53" i="12"/>
  <c r="BW50" i="12"/>
  <c r="BW49" i="12"/>
  <c r="BW48" i="12"/>
  <c r="BW47" i="12"/>
  <c r="BW46" i="12"/>
  <c r="BW45" i="12"/>
  <c r="BW44" i="12"/>
  <c r="BW43" i="12"/>
  <c r="BW41" i="12"/>
  <c r="BW40" i="12"/>
  <c r="BW39" i="12"/>
  <c r="BW36" i="12"/>
  <c r="BW35" i="12"/>
  <c r="BW34" i="12"/>
  <c r="BW33" i="12"/>
  <c r="BZ389" i="12"/>
  <c r="BW29" i="12"/>
  <c r="BW28" i="12"/>
  <c r="BW27" i="12"/>
  <c r="BW26" i="12"/>
  <c r="BW24" i="12"/>
  <c r="BW388" i="12" s="1"/>
  <c r="BW23" i="12"/>
  <c r="BW22" i="12"/>
  <c r="BW20" i="12"/>
  <c r="BW19" i="12"/>
  <c r="BW14" i="12"/>
  <c r="BW13" i="12"/>
  <c r="BW11" i="12"/>
  <c r="BW10" i="12"/>
  <c r="BW9" i="12"/>
  <c r="BZ85" i="12"/>
  <c r="BZ87" i="12"/>
  <c r="BZ140" i="12" s="1"/>
  <c r="BZ366" i="12" s="1"/>
  <c r="BZ92" i="12"/>
  <c r="BZ145" i="12" s="1"/>
  <c r="BZ101" i="12"/>
  <c r="BZ146" i="12"/>
  <c r="BZ148" i="12"/>
  <c r="BZ150" i="12"/>
  <c r="BZ153" i="12"/>
  <c r="BZ200" i="12"/>
  <c r="BZ202" i="12"/>
  <c r="BZ203" i="12"/>
  <c r="BZ248" i="12" s="1"/>
  <c r="BZ288" i="12" s="1"/>
  <c r="BZ299" i="6" s="1"/>
  <c r="BZ206" i="12"/>
  <c r="BZ262" i="12"/>
  <c r="BZ268" i="12"/>
  <c r="BZ271" i="12"/>
  <c r="BY7" i="12"/>
  <c r="BY385" i="12" s="1"/>
  <c r="BY21" i="12"/>
  <c r="BX21" i="12"/>
  <c r="BY38" i="12"/>
  <c r="BY386" i="12" s="1"/>
  <c r="BY55" i="12"/>
  <c r="BY71" i="12"/>
  <c r="BY372" i="12" s="1"/>
  <c r="BW85" i="12"/>
  <c r="BX85" i="12"/>
  <c r="BY85" i="12"/>
  <c r="BX87" i="12"/>
  <c r="BY87" i="12"/>
  <c r="BY140" i="12" s="1"/>
  <c r="BY89" i="12"/>
  <c r="BY142" i="12" s="1"/>
  <c r="BY368" i="12" s="1"/>
  <c r="BW92" i="12"/>
  <c r="BX92" i="12"/>
  <c r="BX145" i="12" s="1"/>
  <c r="BY92" i="12"/>
  <c r="BY145" i="12" s="1"/>
  <c r="BW101" i="12"/>
  <c r="BX101" i="12"/>
  <c r="BY101" i="12"/>
  <c r="BX146" i="12"/>
  <c r="BY146" i="12"/>
  <c r="BX148" i="12"/>
  <c r="BY148" i="12"/>
  <c r="BY150" i="12"/>
  <c r="BX153" i="12"/>
  <c r="BY153" i="12"/>
  <c r="BX200" i="12"/>
  <c r="BY200" i="12"/>
  <c r="BX202" i="12"/>
  <c r="BY202" i="12"/>
  <c r="BX203" i="12"/>
  <c r="BX248" i="12" s="1"/>
  <c r="BX288" i="12" s="1"/>
  <c r="BX299" i="6" s="1"/>
  <c r="BY203" i="12"/>
  <c r="BY248" i="12" s="1"/>
  <c r="BY288" i="12" s="1"/>
  <c r="BY299" i="6" s="1"/>
  <c r="BX206" i="12"/>
  <c r="BY206" i="12"/>
  <c r="BW262" i="12"/>
  <c r="BX262" i="12"/>
  <c r="BY262" i="12"/>
  <c r="BW268" i="12"/>
  <c r="BX268" i="12"/>
  <c r="BY268" i="12"/>
  <c r="BW48" i="6"/>
  <c r="BW210" i="6"/>
  <c r="BW209" i="6"/>
  <c r="BW101" i="6"/>
  <c r="BW102" i="6"/>
  <c r="BW104" i="6"/>
  <c r="BW88" i="6"/>
  <c r="BW89" i="6"/>
  <c r="BW91" i="6"/>
  <c r="BW92" i="6"/>
  <c r="BW93" i="6"/>
  <c r="BW199" i="6" s="1"/>
  <c r="BW69" i="6"/>
  <c r="BW72" i="6"/>
  <c r="BW73" i="6"/>
  <c r="BW74" i="6"/>
  <c r="BW77" i="6"/>
  <c r="BW55" i="6"/>
  <c r="BW62" i="6"/>
  <c r="BW63" i="6"/>
  <c r="BW34" i="6"/>
  <c r="BW35" i="6"/>
  <c r="BW44" i="6"/>
  <c r="BW45" i="6"/>
  <c r="BW46" i="6"/>
  <c r="BW15" i="6"/>
  <c r="BW16" i="6"/>
  <c r="BW17" i="6"/>
  <c r="BW18" i="6"/>
  <c r="BW20" i="6"/>
  <c r="BW182" i="6"/>
  <c r="BW359" i="12" s="1"/>
  <c r="BZ208" i="6"/>
  <c r="BZ238" i="6"/>
  <c r="BZ175" i="6"/>
  <c r="BZ207" i="6" s="1"/>
  <c r="BZ198" i="6"/>
  <c r="BW78" i="6"/>
  <c r="BW76" i="6"/>
  <c r="BW75" i="6"/>
  <c r="BW71" i="6"/>
  <c r="BW202" i="6" s="1"/>
  <c r="BW70" i="6"/>
  <c r="BW68" i="6"/>
  <c r="BW66" i="6"/>
  <c r="BW65" i="6"/>
  <c r="BW64" i="6"/>
  <c r="BW61" i="6"/>
  <c r="BW60" i="6"/>
  <c r="BW59" i="6"/>
  <c r="BW58" i="6"/>
  <c r="BW57" i="6"/>
  <c r="BW56" i="6"/>
  <c r="BW54" i="6"/>
  <c r="BW53" i="6"/>
  <c r="BW52" i="6"/>
  <c r="BW51" i="6"/>
  <c r="BW50" i="6"/>
  <c r="BW47" i="6"/>
  <c r="BW43" i="6"/>
  <c r="BW42" i="6"/>
  <c r="BW41" i="6"/>
  <c r="BW40" i="6"/>
  <c r="BW39" i="6"/>
  <c r="BW38" i="6"/>
  <c r="BW37" i="6"/>
  <c r="BW36" i="6"/>
  <c r="BW33" i="6"/>
  <c r="BW32" i="6"/>
  <c r="BW27" i="6"/>
  <c r="BW230" i="6" s="1"/>
  <c r="BZ229" i="6"/>
  <c r="BW25" i="6"/>
  <c r="BW24" i="6"/>
  <c r="BW22" i="6"/>
  <c r="BW19" i="6"/>
  <c r="BW14" i="6"/>
  <c r="BW13" i="6"/>
  <c r="BW12" i="6"/>
  <c r="BW11" i="6"/>
  <c r="BW10" i="6"/>
  <c r="BW9" i="6"/>
  <c r="BW8" i="6"/>
  <c r="BZ83" i="6"/>
  <c r="BZ199" i="6"/>
  <c r="BZ203" i="6"/>
  <c r="BZ261" i="6"/>
  <c r="BZ262" i="6"/>
  <c r="BZ274" i="6"/>
  <c r="BY7" i="6"/>
  <c r="BY226" i="6" s="1"/>
  <c r="BY23" i="6"/>
  <c r="BY31" i="6"/>
  <c r="BY227" i="6" s="1"/>
  <c r="BY49" i="6"/>
  <c r="BY67" i="6"/>
  <c r="BY201" i="6" s="1"/>
  <c r="BX83" i="6"/>
  <c r="BY83" i="6"/>
  <c r="BY178" i="6"/>
  <c r="BY184" i="6"/>
  <c r="BY189" i="6"/>
  <c r="BX199" i="6"/>
  <c r="BY199" i="6"/>
  <c r="BY202" i="6"/>
  <c r="BX203" i="6"/>
  <c r="BY203" i="6"/>
  <c r="BY229" i="6"/>
  <c r="BY230" i="6"/>
  <c r="BX261" i="6"/>
  <c r="BY261" i="6"/>
  <c r="BX262" i="6"/>
  <c r="BY262" i="6"/>
  <c r="BX274" i="6"/>
  <c r="BY274" i="6"/>
  <c r="BW83" i="6"/>
  <c r="BW203" i="6"/>
  <c r="BW261" i="6"/>
  <c r="BW262" i="6"/>
  <c r="BW274" i="6"/>
  <c r="BH14" i="16"/>
  <c r="BO317" i="12"/>
  <c r="BH305" i="12"/>
  <c r="BV164" i="2"/>
  <c r="BV154" i="2"/>
  <c r="BV127" i="2"/>
  <c r="BV94" i="2"/>
  <c r="BV106" i="2"/>
  <c r="BV95" i="2"/>
  <c r="BV71" i="2"/>
  <c r="BV230" i="2"/>
  <c r="BV229" i="2"/>
  <c r="BW365" i="12"/>
  <c r="BV342" i="12"/>
  <c r="BV378" i="12" s="1"/>
  <c r="BV339" i="12"/>
  <c r="BV336" i="12"/>
  <c r="BV274" i="12"/>
  <c r="BV271" i="12"/>
  <c r="BV265" i="12"/>
  <c r="BV253" i="12"/>
  <c r="BW240" i="12"/>
  <c r="BV192" i="12"/>
  <c r="BV124" i="12"/>
  <c r="BW120" i="12"/>
  <c r="BV427" i="12"/>
  <c r="CC433" i="12" s="1"/>
  <c r="BV424" i="12"/>
  <c r="CC430" i="12" s="1"/>
  <c r="BV373" i="12"/>
  <c r="BV389" i="12"/>
  <c r="BV388" i="12"/>
  <c r="BV215" i="2"/>
  <c r="BV359" i="12"/>
  <c r="BV358" i="12"/>
  <c r="BV357" i="12"/>
  <c r="BV208" i="6"/>
  <c r="BV175" i="6"/>
  <c r="BV207" i="6" s="1"/>
  <c r="BV202" i="6"/>
  <c r="BV47" i="16"/>
  <c r="BV70" i="2"/>
  <c r="BV87" i="2"/>
  <c r="BV93" i="2"/>
  <c r="BV101" i="2"/>
  <c r="BV118" i="2"/>
  <c r="BV143" i="2" s="1"/>
  <c r="BV168" i="2" s="1"/>
  <c r="BV304" i="6" s="1"/>
  <c r="BV119" i="2"/>
  <c r="BV144" i="2" s="1"/>
  <c r="BV132" i="2"/>
  <c r="BV137" i="2"/>
  <c r="BV192" i="2"/>
  <c r="BV190" i="2"/>
  <c r="BV201" i="2"/>
  <c r="BV208" i="2"/>
  <c r="BV209" i="2"/>
  <c r="BV210" i="2"/>
  <c r="BV211" i="2"/>
  <c r="BV219" i="2"/>
  <c r="BV220" i="2"/>
  <c r="BV425" i="12"/>
  <c r="CC431" i="12" s="1"/>
  <c r="BV324" i="12"/>
  <c r="BV330" i="12"/>
  <c r="BV356" i="12"/>
  <c r="BV374" i="12"/>
  <c r="BV85" i="12"/>
  <c r="BV87" i="12"/>
  <c r="BV140" i="12" s="1"/>
  <c r="BV255" i="6" s="1"/>
  <c r="BV92" i="12"/>
  <c r="BV145" i="12" s="1"/>
  <c r="BV101" i="12"/>
  <c r="BV146" i="12"/>
  <c r="BV148" i="12"/>
  <c r="BV153" i="12"/>
  <c r="BV150" i="12"/>
  <c r="BV200" i="12"/>
  <c r="BV203" i="12"/>
  <c r="BV248" i="12" s="1"/>
  <c r="BV288" i="12" s="1"/>
  <c r="BV299" i="6" s="1"/>
  <c r="BV206" i="12"/>
  <c r="BV202" i="12"/>
  <c r="BV262" i="12"/>
  <c r="BV268" i="12"/>
  <c r="BP188" i="6"/>
  <c r="BV83" i="6"/>
  <c r="BV189" i="6"/>
  <c r="BV198" i="6"/>
  <c r="BV199" i="6"/>
  <c r="BV203" i="6"/>
  <c r="BV229" i="6"/>
  <c r="BV261" i="6"/>
  <c r="BV262" i="6"/>
  <c r="BV274" i="6"/>
  <c r="BR34" i="16"/>
  <c r="BR29" i="16"/>
  <c r="BR203" i="2"/>
  <c r="BR188" i="2"/>
  <c r="BQ166" i="2"/>
  <c r="BQ165" i="2"/>
  <c r="BW153" i="12" l="1"/>
  <c r="BW145" i="12"/>
  <c r="BW200" i="12"/>
  <c r="BY94" i="12"/>
  <c r="BY226" i="12"/>
  <c r="CB395" i="12"/>
  <c r="CB394" i="12" s="1"/>
  <c r="CB393" i="12" s="1"/>
  <c r="CB391" i="12" s="1"/>
  <c r="BY235" i="12"/>
  <c r="BY217" i="12"/>
  <c r="BY426" i="12"/>
  <c r="CF432" i="12" s="1"/>
  <c r="BV315" i="12"/>
  <c r="CA251" i="12"/>
  <c r="CA291" i="12" s="1"/>
  <c r="CA302" i="6" s="1"/>
  <c r="CA174" i="2"/>
  <c r="CA169" i="2"/>
  <c r="CA305" i="6" s="1"/>
  <c r="BX111" i="2"/>
  <c r="BY253" i="12"/>
  <c r="BX339" i="12"/>
  <c r="BX235" i="12"/>
  <c r="CD295" i="6"/>
  <c r="CD315" i="6" s="1"/>
  <c r="BX348" i="12"/>
  <c r="BX380" i="12" s="1"/>
  <c r="BX153" i="2"/>
  <c r="BX38" i="12"/>
  <c r="BX386" i="12" s="1"/>
  <c r="CD273" i="6"/>
  <c r="BX7" i="12"/>
  <c r="BX6" i="12" s="1"/>
  <c r="BX253" i="12"/>
  <c r="BX55" i="12"/>
  <c r="BW21" i="12"/>
  <c r="BX120" i="2"/>
  <c r="BX336" i="12"/>
  <c r="BQ164" i="2"/>
  <c r="BX164" i="2"/>
  <c r="BW206" i="2"/>
  <c r="BY255" i="6"/>
  <c r="BY366" i="12"/>
  <c r="BX226" i="12"/>
  <c r="BW307" i="12"/>
  <c r="BX307" i="12"/>
  <c r="BX160" i="12"/>
  <c r="BY160" i="12"/>
  <c r="BX186" i="12"/>
  <c r="BY186" i="12"/>
  <c r="BX210" i="12"/>
  <c r="BX201" i="12" s="1"/>
  <c r="BY210" i="12"/>
  <c r="BY201" i="12" s="1"/>
  <c r="BW308" i="12"/>
  <c r="BX308" i="12"/>
  <c r="BX121" i="12"/>
  <c r="BY121" i="12"/>
  <c r="BY116" i="12" s="1"/>
  <c r="BX168" i="12"/>
  <c r="BX163" i="12" s="1"/>
  <c r="BY168" i="12"/>
  <c r="BY163" i="12" s="1"/>
  <c r="BX188" i="12"/>
  <c r="BY188" i="12"/>
  <c r="BX213" i="12"/>
  <c r="BX204" i="12" s="1"/>
  <c r="BY213" i="12"/>
  <c r="BY204" i="12" s="1"/>
  <c r="BZ342" i="12"/>
  <c r="BZ378" i="12" s="1"/>
  <c r="BX347" i="12"/>
  <c r="BX342" i="12" s="1"/>
  <c r="BX378" i="12" s="1"/>
  <c r="CA348" i="12"/>
  <c r="CA380" i="12" s="1"/>
  <c r="BY352" i="12"/>
  <c r="BY348" i="12" s="1"/>
  <c r="BY380" i="12" s="1"/>
  <c r="BX172" i="12"/>
  <c r="BY172" i="12"/>
  <c r="BX189" i="12"/>
  <c r="BY189" i="12"/>
  <c r="BX214" i="12"/>
  <c r="BX205" i="12" s="1"/>
  <c r="BY214" i="12"/>
  <c r="BY205" i="12" s="1"/>
  <c r="BX133" i="12"/>
  <c r="BY133" i="12"/>
  <c r="BX174" i="12"/>
  <c r="BY174" i="12"/>
  <c r="BX191" i="12"/>
  <c r="BY191" i="12"/>
  <c r="BZ327" i="12"/>
  <c r="BX328" i="12"/>
  <c r="BW148" i="12"/>
  <c r="BW245" i="12" s="1"/>
  <c r="BW285" i="12" s="1"/>
  <c r="CA163" i="12"/>
  <c r="BX135" i="12"/>
  <c r="BY135" i="12"/>
  <c r="BX175" i="12"/>
  <c r="BY175" i="12"/>
  <c r="BX136" i="12"/>
  <c r="BY136" i="12"/>
  <c r="BX178" i="12"/>
  <c r="BY178" i="12"/>
  <c r="BX194" i="12"/>
  <c r="BY194" i="12"/>
  <c r="BX266" i="12"/>
  <c r="BX265" i="12" s="1"/>
  <c r="BX113" i="12"/>
  <c r="BY113" i="12"/>
  <c r="BX157" i="12"/>
  <c r="BY157" i="12"/>
  <c r="BX180" i="12"/>
  <c r="BY180" i="12"/>
  <c r="BX196" i="12"/>
  <c r="BY196" i="12"/>
  <c r="BW305" i="12"/>
  <c r="BX305" i="12"/>
  <c r="BX114" i="12"/>
  <c r="BY114" i="12"/>
  <c r="BX159" i="12"/>
  <c r="BY159" i="12"/>
  <c r="BX181" i="12"/>
  <c r="BY181" i="12"/>
  <c r="BX197" i="12"/>
  <c r="BY197" i="12"/>
  <c r="BX276" i="12"/>
  <c r="BX274" i="12" s="1"/>
  <c r="BX98" i="6"/>
  <c r="BY98" i="6"/>
  <c r="BX110" i="6"/>
  <c r="BY110" i="6"/>
  <c r="BX173" i="6"/>
  <c r="BY173" i="6"/>
  <c r="BX111" i="6"/>
  <c r="BY111" i="6"/>
  <c r="BX109" i="6"/>
  <c r="BY109" i="6"/>
  <c r="BX172" i="6"/>
  <c r="BY172" i="6"/>
  <c r="CA215" i="2"/>
  <c r="BY215" i="2" s="1"/>
  <c r="BX85" i="6"/>
  <c r="BY85" i="6"/>
  <c r="BX100" i="6"/>
  <c r="BY100" i="6"/>
  <c r="BX114" i="6"/>
  <c r="BY114" i="6"/>
  <c r="BX86" i="6"/>
  <c r="BY86" i="6"/>
  <c r="BX103" i="6"/>
  <c r="BY103" i="6"/>
  <c r="BX116" i="6"/>
  <c r="BY116" i="6"/>
  <c r="BX95" i="6"/>
  <c r="BY95" i="6"/>
  <c r="BX87" i="6"/>
  <c r="BX198" i="6" s="1"/>
  <c r="BY87" i="6"/>
  <c r="BY198" i="6" s="1"/>
  <c r="BX105" i="6"/>
  <c r="BY105" i="6"/>
  <c r="BX117" i="6"/>
  <c r="BY117" i="6"/>
  <c r="BX90" i="6"/>
  <c r="BY90" i="6"/>
  <c r="BX106" i="6"/>
  <c r="BY106" i="6"/>
  <c r="BX169" i="6"/>
  <c r="BY169" i="6"/>
  <c r="BX94" i="6"/>
  <c r="BY94" i="6"/>
  <c r="BX107" i="6"/>
  <c r="BY107" i="6"/>
  <c r="BX170" i="6"/>
  <c r="BX238" i="6" s="1"/>
  <c r="BY170" i="6"/>
  <c r="BY238" i="6" s="1"/>
  <c r="BW26" i="16"/>
  <c r="BW34" i="16"/>
  <c r="BY321" i="12"/>
  <c r="BY396" i="12" s="1"/>
  <c r="BY422" i="12"/>
  <c r="CF428" i="12" s="1"/>
  <c r="BY251" i="12"/>
  <c r="BY291" i="12" s="1"/>
  <c r="BY302" i="6" s="1"/>
  <c r="BY371" i="12"/>
  <c r="BY384" i="12"/>
  <c r="BY390" i="12" s="1"/>
  <c r="BY387" i="12" s="1"/>
  <c r="BZ101" i="2"/>
  <c r="BX104" i="2"/>
  <c r="BW205" i="2"/>
  <c r="BX205" i="2"/>
  <c r="BX204" i="2" s="1"/>
  <c r="CA198" i="2"/>
  <c r="BW187" i="2"/>
  <c r="BW184" i="2" s="1"/>
  <c r="BX187" i="2"/>
  <c r="BX184" i="2" s="1"/>
  <c r="BZ71" i="2"/>
  <c r="BX74" i="2"/>
  <c r="BZ190" i="2"/>
  <c r="BZ189" i="2" s="1"/>
  <c r="BX199" i="2"/>
  <c r="BV147" i="2"/>
  <c r="BZ121" i="2"/>
  <c r="BX126" i="2"/>
  <c r="BX121" i="2" s="1"/>
  <c r="BZ88" i="2"/>
  <c r="BZ264" i="6" s="1"/>
  <c r="BX82" i="2"/>
  <c r="CA424" i="12"/>
  <c r="CH430" i="12" s="1"/>
  <c r="BX96" i="12"/>
  <c r="CA124" i="12"/>
  <c r="BX128" i="12"/>
  <c r="BX124" i="12" s="1"/>
  <c r="CA426" i="12"/>
  <c r="CH432" i="12" s="1"/>
  <c r="BX98" i="12"/>
  <c r="BX7" i="6"/>
  <c r="BX226" i="6" s="1"/>
  <c r="BX31" i="6"/>
  <c r="BX227" i="6" s="1"/>
  <c r="BX49" i="6"/>
  <c r="CA208" i="6"/>
  <c r="BX176" i="6"/>
  <c r="BX208" i="6" s="1"/>
  <c r="CA389" i="12"/>
  <c r="BX31" i="12"/>
  <c r="BX389" i="12" s="1"/>
  <c r="CA427" i="12"/>
  <c r="CH433" i="12" s="1"/>
  <c r="BX99" i="12"/>
  <c r="CA150" i="12"/>
  <c r="BX187" i="12"/>
  <c r="CA205" i="12"/>
  <c r="CA373" i="12"/>
  <c r="BX75" i="12"/>
  <c r="CA116" i="12"/>
  <c r="BX118" i="12"/>
  <c r="BX116" i="12" s="1"/>
  <c r="CB297" i="6"/>
  <c r="CB295" i="6" s="1"/>
  <c r="CB315" i="6" s="1"/>
  <c r="CB418" i="12"/>
  <c r="CB284" i="12"/>
  <c r="CB412" i="12"/>
  <c r="CB275" i="6"/>
  <c r="CB273" i="6" s="1"/>
  <c r="CB293" i="12"/>
  <c r="CB410" i="12" s="1"/>
  <c r="BX251" i="12"/>
  <c r="BX291" i="12" s="1"/>
  <c r="BX302" i="6" s="1"/>
  <c r="CA230" i="6"/>
  <c r="BX27" i="6"/>
  <c r="BX230" i="6" s="1"/>
  <c r="CA229" i="6"/>
  <c r="BX26" i="6"/>
  <c r="CA189" i="6"/>
  <c r="BX192" i="6"/>
  <c r="BX189" i="6" s="1"/>
  <c r="CA131" i="12"/>
  <c r="CA175" i="6"/>
  <c r="CA207" i="6" s="1"/>
  <c r="BX99" i="6"/>
  <c r="CA358" i="12"/>
  <c r="BX181" i="6"/>
  <c r="BX358" i="12" s="1"/>
  <c r="CA359" i="12"/>
  <c r="BX182" i="6"/>
  <c r="BX359" i="12" s="1"/>
  <c r="CA360" i="12"/>
  <c r="BX183" i="6"/>
  <c r="BX360" i="12" s="1"/>
  <c r="CA357" i="12"/>
  <c r="BX180" i="6"/>
  <c r="CA202" i="6"/>
  <c r="BX71" i="6"/>
  <c r="CA216" i="2"/>
  <c r="BY216" i="2" s="1"/>
  <c r="BY212" i="2" s="1"/>
  <c r="BX188" i="6"/>
  <c r="CA115" i="6"/>
  <c r="CA189" i="2"/>
  <c r="CA237" i="2" s="1"/>
  <c r="CA333" i="12"/>
  <c r="BZ407" i="12"/>
  <c r="CA89" i="2"/>
  <c r="CA171" i="6"/>
  <c r="CA21" i="12"/>
  <c r="CA151" i="12"/>
  <c r="CA91" i="12"/>
  <c r="CA144" i="12" s="1"/>
  <c r="CA370" i="12" s="1"/>
  <c r="CA168" i="6"/>
  <c r="CA206" i="6" s="1"/>
  <c r="CA192" i="12"/>
  <c r="CA184" i="12"/>
  <c r="CA152" i="12"/>
  <c r="CA176" i="12"/>
  <c r="CA149" i="12"/>
  <c r="CA170" i="12"/>
  <c r="CA255" i="6"/>
  <c r="CA366" i="12"/>
  <c r="CA109" i="12"/>
  <c r="CA364" i="12" s="1"/>
  <c r="CA90" i="12"/>
  <c r="CA143" i="12" s="1"/>
  <c r="CA89" i="12"/>
  <c r="CA142" i="12" s="1"/>
  <c r="CA368" i="12" s="1"/>
  <c r="CA94" i="12"/>
  <c r="CA71" i="12"/>
  <c r="CA372" i="12" s="1"/>
  <c r="CA55" i="12"/>
  <c r="CA38" i="12"/>
  <c r="CA386" i="12" s="1"/>
  <c r="CA7" i="12"/>
  <c r="CA178" i="6"/>
  <c r="BV108" i="6"/>
  <c r="BZ184" i="6"/>
  <c r="CA108" i="6"/>
  <c r="CA97" i="6"/>
  <c r="CA84" i="6"/>
  <c r="CA96" i="6" s="1"/>
  <c r="BZ216" i="2"/>
  <c r="CA67" i="6"/>
  <c r="CA201" i="6" s="1"/>
  <c r="BY355" i="12"/>
  <c r="CA49" i="6"/>
  <c r="CA31" i="6"/>
  <c r="CA227" i="6" s="1"/>
  <c r="CA23" i="6"/>
  <c r="CA7" i="6"/>
  <c r="CA226" i="6" s="1"/>
  <c r="CA264" i="6"/>
  <c r="CA263" i="6"/>
  <c r="CA248" i="2"/>
  <c r="CA83" i="2"/>
  <c r="CA145" i="2"/>
  <c r="CA227" i="2"/>
  <c r="CA25" i="2"/>
  <c r="CA217" i="2"/>
  <c r="CA173" i="2"/>
  <c r="CA168" i="2"/>
  <c r="CA304" i="6" s="1"/>
  <c r="CA6" i="2"/>
  <c r="CA226" i="2"/>
  <c r="CA146" i="2"/>
  <c r="CA117" i="2"/>
  <c r="CA161" i="2"/>
  <c r="CA152" i="2" s="1"/>
  <c r="CA122" i="2"/>
  <c r="CA77" i="2"/>
  <c r="CA302" i="12"/>
  <c r="CA422" i="12"/>
  <c r="CH428" i="12" s="1"/>
  <c r="CA327" i="12"/>
  <c r="CA261" i="12"/>
  <c r="CA199" i="12"/>
  <c r="CA245" i="12"/>
  <c r="CA285" i="12" s="1"/>
  <c r="CA208" i="12"/>
  <c r="CA88" i="12"/>
  <c r="CA155" i="12"/>
  <c r="CA198" i="6"/>
  <c r="BZ426" i="12"/>
  <c r="CG432" i="12" s="1"/>
  <c r="BZ339" i="12"/>
  <c r="BZ20" i="2"/>
  <c r="BX20" i="2"/>
  <c r="BX230" i="2"/>
  <c r="BX229" i="2"/>
  <c r="BX7" i="2"/>
  <c r="BZ427" i="12"/>
  <c r="CG433" i="12" s="1"/>
  <c r="BV204" i="2"/>
  <c r="BV77" i="2"/>
  <c r="BY189" i="2"/>
  <c r="BY223" i="2" s="1"/>
  <c r="BY225" i="2"/>
  <c r="BY231" i="2" s="1"/>
  <c r="BY228" i="2" s="1"/>
  <c r="BW169" i="2"/>
  <c r="BW305" i="6" s="1"/>
  <c r="BW174" i="2"/>
  <c r="BW173" i="2"/>
  <c r="BW168" i="2"/>
  <c r="BW304" i="6" s="1"/>
  <c r="BY168" i="2"/>
  <c r="BY304" i="6" s="1"/>
  <c r="BY173" i="2"/>
  <c r="BW26" i="2"/>
  <c r="BW227" i="2" s="1"/>
  <c r="BX168" i="2"/>
  <c r="BX304" i="6" s="1"/>
  <c r="BX173" i="2"/>
  <c r="BZ207" i="2"/>
  <c r="BZ224" i="2" s="1"/>
  <c r="BW204" i="2"/>
  <c r="BW22" i="2"/>
  <c r="BW20" i="2" s="1"/>
  <c r="BV86" i="2"/>
  <c r="BZ111" i="2"/>
  <c r="BY207" i="2"/>
  <c r="BY224" i="2" s="1"/>
  <c r="BZ168" i="2"/>
  <c r="BZ304" i="6" s="1"/>
  <c r="BY217" i="2"/>
  <c r="BX207" i="2"/>
  <c r="BX224" i="2" s="1"/>
  <c r="BX217" i="2"/>
  <c r="BW24" i="2"/>
  <c r="BW230" i="2" s="1"/>
  <c r="BW211" i="2"/>
  <c r="BW207" i="2" s="1"/>
  <c r="BW224" i="2" s="1"/>
  <c r="BW23" i="2"/>
  <c r="BW229" i="2" s="1"/>
  <c r="BW56" i="2"/>
  <c r="BW218" i="2" s="1"/>
  <c r="BW217" i="2" s="1"/>
  <c r="BZ40" i="2"/>
  <c r="BW7" i="2"/>
  <c r="BW226" i="2" s="1"/>
  <c r="BV94" i="12"/>
  <c r="BW125" i="2"/>
  <c r="BW163" i="2"/>
  <c r="BW154" i="2" s="1"/>
  <c r="BW133" i="12"/>
  <c r="BW175" i="12"/>
  <c r="BW191" i="12"/>
  <c r="BW222" i="12"/>
  <c r="BW257" i="12"/>
  <c r="BW334" i="12"/>
  <c r="BW333" i="12" s="1"/>
  <c r="BW353" i="12"/>
  <c r="BZ77" i="2"/>
  <c r="BW165" i="2"/>
  <c r="BW164" i="2" s="1"/>
  <c r="BW85" i="6"/>
  <c r="BW100" i="6"/>
  <c r="BW114" i="6"/>
  <c r="BW228" i="12"/>
  <c r="BY407" i="12"/>
  <c r="BW87" i="2"/>
  <c r="BV111" i="2"/>
  <c r="BV56" i="2"/>
  <c r="BV218" i="2" s="1"/>
  <c r="BV217" i="2" s="1"/>
  <c r="BV153" i="2"/>
  <c r="BZ204" i="2"/>
  <c r="BW200" i="2"/>
  <c r="BW191" i="2" s="1"/>
  <c r="BW238" i="2" s="1"/>
  <c r="BW111" i="6"/>
  <c r="BW96" i="12"/>
  <c r="BW424" i="12" s="1"/>
  <c r="CD430" i="12" s="1"/>
  <c r="BW128" i="12"/>
  <c r="BW124" i="12" s="1"/>
  <c r="BW174" i="12"/>
  <c r="BW188" i="12"/>
  <c r="BW219" i="12"/>
  <c r="BW255" i="12"/>
  <c r="BW352" i="12"/>
  <c r="BZ161" i="2"/>
  <c r="BV7" i="2"/>
  <c r="BV226" i="2" s="1"/>
  <c r="BV40" i="2"/>
  <c r="BW86" i="6"/>
  <c r="BW103" i="6"/>
  <c r="BW116" i="6"/>
  <c r="BW136" i="12"/>
  <c r="BW172" i="12"/>
  <c r="BW194" i="12"/>
  <c r="BW258" i="12"/>
  <c r="BW337" i="12"/>
  <c r="BW346" i="12"/>
  <c r="BY248" i="2"/>
  <c r="BV109" i="12"/>
  <c r="BV364" i="12" s="1"/>
  <c r="BV149" i="12"/>
  <c r="BV170" i="12"/>
  <c r="BV217" i="12"/>
  <c r="BW105" i="6"/>
  <c r="BW135" i="12"/>
  <c r="BW178" i="12"/>
  <c r="BW196" i="12"/>
  <c r="BW273" i="12"/>
  <c r="BW271" i="12" s="1"/>
  <c r="BW338" i="12"/>
  <c r="BW323" i="12" s="1"/>
  <c r="BW397" i="12" s="1"/>
  <c r="BV333" i="12"/>
  <c r="BW90" i="6"/>
  <c r="BW106" i="6"/>
  <c r="BW169" i="6"/>
  <c r="BW113" i="12"/>
  <c r="BW157" i="12"/>
  <c r="BW180" i="12"/>
  <c r="BW197" i="12"/>
  <c r="BW231" i="12"/>
  <c r="BW98" i="2"/>
  <c r="BW95" i="2" s="1"/>
  <c r="BV88" i="2"/>
  <c r="BV264" i="6" s="1"/>
  <c r="BV90" i="12"/>
  <c r="BV143" i="12" s="1"/>
  <c r="BV369" i="12" s="1"/>
  <c r="BW94" i="6"/>
  <c r="BW107" i="6"/>
  <c r="BW114" i="12"/>
  <c r="BW159" i="12"/>
  <c r="BW181" i="12"/>
  <c r="BW210" i="12"/>
  <c r="BW232" i="12"/>
  <c r="BW267" i="12"/>
  <c r="BW265" i="12" s="1"/>
  <c r="BW341" i="12"/>
  <c r="BW130" i="2"/>
  <c r="BW127" i="2" s="1"/>
  <c r="BW199" i="2"/>
  <c r="BW190" i="2" s="1"/>
  <c r="BW95" i="6"/>
  <c r="BW109" i="6"/>
  <c r="BW172" i="6"/>
  <c r="BW118" i="12"/>
  <c r="BW186" i="12"/>
  <c r="BW213" i="12"/>
  <c r="BW237" i="12"/>
  <c r="BW203" i="12"/>
  <c r="BW248" i="12" s="1"/>
  <c r="BW288" i="12" s="1"/>
  <c r="BW299" i="6" s="1"/>
  <c r="BW109" i="2"/>
  <c r="BW106" i="2" s="1"/>
  <c r="BW150" i="2"/>
  <c r="BW98" i="6"/>
  <c r="BW110" i="6"/>
  <c r="BW173" i="6"/>
  <c r="BW121" i="12"/>
  <c r="BW168" i="12"/>
  <c r="BW163" i="12" s="1"/>
  <c r="BW189" i="12"/>
  <c r="BW214" i="12"/>
  <c r="BW241" i="12"/>
  <c r="BZ333" i="12"/>
  <c r="BW350" i="12"/>
  <c r="BW114" i="2"/>
  <c r="BW151" i="2"/>
  <c r="BZ198" i="2"/>
  <c r="BW99" i="12"/>
  <c r="BW98" i="12"/>
  <c r="BZ95" i="2"/>
  <c r="BZ217" i="12"/>
  <c r="BZ323" i="12"/>
  <c r="BZ397" i="12" s="1"/>
  <c r="BW126" i="2"/>
  <c r="BW121" i="2" s="1"/>
  <c r="BW75" i="12"/>
  <c r="BW373" i="12" s="1"/>
  <c r="BZ106" i="2"/>
  <c r="BW104" i="2"/>
  <c r="BW101" i="2" s="1"/>
  <c r="BW425" i="12"/>
  <c r="CD431" i="12" s="1"/>
  <c r="BW328" i="12"/>
  <c r="BW327" i="12" s="1"/>
  <c r="BZ94" i="2"/>
  <c r="BW55" i="12"/>
  <c r="BW8" i="12"/>
  <c r="BW7" i="12" s="1"/>
  <c r="BZ424" i="12"/>
  <c r="CG430" i="12" s="1"/>
  <c r="BW116" i="2"/>
  <c r="BW94" i="2" s="1"/>
  <c r="BZ388" i="12"/>
  <c r="BW340" i="12"/>
  <c r="BW31" i="12"/>
  <c r="BW389" i="12" s="1"/>
  <c r="BZ147" i="2"/>
  <c r="BW180" i="6"/>
  <c r="BW357" i="12" s="1"/>
  <c r="BW355" i="12" s="1"/>
  <c r="BZ205" i="12"/>
  <c r="BZ358" i="12"/>
  <c r="BW223" i="12"/>
  <c r="BW74" i="2"/>
  <c r="BW162" i="2"/>
  <c r="BW347" i="12"/>
  <c r="BZ155" i="12"/>
  <c r="BW202" i="12"/>
  <c r="BW276" i="12"/>
  <c r="BW274" i="12" s="1"/>
  <c r="BW38" i="12"/>
  <c r="BW386" i="12" s="1"/>
  <c r="BW80" i="2"/>
  <c r="BZ215" i="2"/>
  <c r="BW112" i="12"/>
  <c r="BW160" i="12"/>
  <c r="BW82" i="2"/>
  <c r="BW88" i="2" s="1"/>
  <c r="BW212" i="2"/>
  <c r="BW93" i="2"/>
  <c r="BZ144" i="2"/>
  <c r="BZ174" i="2" s="1"/>
  <c r="BZ153" i="2"/>
  <c r="BZ120" i="2"/>
  <c r="BZ117" i="2" s="1"/>
  <c r="BZ127" i="2"/>
  <c r="BX174" i="2"/>
  <c r="BX169" i="2"/>
  <c r="BX305" i="6" s="1"/>
  <c r="BY169" i="2"/>
  <c r="BY305" i="6" s="1"/>
  <c r="BZ86" i="2"/>
  <c r="BY264" i="6"/>
  <c r="BY260" i="6" s="1"/>
  <c r="BY83" i="2"/>
  <c r="BY145" i="2"/>
  <c r="BY117" i="2"/>
  <c r="BX117" i="2"/>
  <c r="BZ164" i="2"/>
  <c r="BZ154" i="2"/>
  <c r="BZ92" i="2"/>
  <c r="BY94" i="2"/>
  <c r="BY89" i="2" s="1"/>
  <c r="BX94" i="2"/>
  <c r="BZ122" i="2"/>
  <c r="BY161" i="2"/>
  <c r="BY152" i="2" s="1"/>
  <c r="BY122" i="2"/>
  <c r="BX161" i="2"/>
  <c r="BX122" i="2"/>
  <c r="BZ56" i="2"/>
  <c r="BZ218" i="2" s="1"/>
  <c r="BZ217" i="2" s="1"/>
  <c r="BZ26" i="2"/>
  <c r="BZ227" i="2" s="1"/>
  <c r="BZ7" i="2"/>
  <c r="BZ226" i="2" s="1"/>
  <c r="BY6" i="2"/>
  <c r="BY25" i="2"/>
  <c r="BW206" i="12"/>
  <c r="BW251" i="12" s="1"/>
  <c r="BW291" i="12" s="1"/>
  <c r="BW302" i="6" s="1"/>
  <c r="BW150" i="12"/>
  <c r="BZ360" i="12"/>
  <c r="BZ348" i="12"/>
  <c r="BZ380" i="12" s="1"/>
  <c r="BZ116" i="12"/>
  <c r="BZ230" i="6"/>
  <c r="BZ235" i="12"/>
  <c r="BZ170" i="12"/>
  <c r="BZ336" i="12"/>
  <c r="BZ322" i="12"/>
  <c r="BZ303" i="12"/>
  <c r="BZ302" i="12" s="1"/>
  <c r="BW26" i="6"/>
  <c r="BW229" i="6" s="1"/>
  <c r="BZ108" i="6"/>
  <c r="BZ115" i="6"/>
  <c r="BW99" i="6"/>
  <c r="BW175" i="6" s="1"/>
  <c r="BW207" i="6" s="1"/>
  <c r="BZ21" i="12"/>
  <c r="BZ265" i="12"/>
  <c r="BZ261" i="12" s="1"/>
  <c r="BZ253" i="12"/>
  <c r="BZ226" i="12"/>
  <c r="BZ204" i="12"/>
  <c r="BZ201" i="12"/>
  <c r="BZ151" i="12"/>
  <c r="BZ184" i="12"/>
  <c r="BZ149" i="12"/>
  <c r="BZ176" i="12"/>
  <c r="BZ152" i="12"/>
  <c r="BZ163" i="12"/>
  <c r="BZ131" i="12"/>
  <c r="BZ91" i="12"/>
  <c r="BZ144" i="12" s="1"/>
  <c r="BZ88" i="12"/>
  <c r="BZ141" i="12" s="1"/>
  <c r="BZ367" i="12" s="1"/>
  <c r="BZ109" i="12"/>
  <c r="BZ364" i="12" s="1"/>
  <c r="BZ90" i="12"/>
  <c r="BZ143" i="12" s="1"/>
  <c r="BZ369" i="12" s="1"/>
  <c r="BZ94" i="12"/>
  <c r="BZ71" i="12"/>
  <c r="BZ372" i="12" s="1"/>
  <c r="BZ371" i="12" s="1"/>
  <c r="BZ55" i="12"/>
  <c r="BZ38" i="12"/>
  <c r="BZ386" i="12" s="1"/>
  <c r="BZ7" i="12"/>
  <c r="BW49" i="6"/>
  <c r="BW7" i="6"/>
  <c r="BW226" i="6" s="1"/>
  <c r="BZ202" i="6"/>
  <c r="BW87" i="6"/>
  <c r="BW198" i="6" s="1"/>
  <c r="BW117" i="6"/>
  <c r="BW170" i="6"/>
  <c r="BW67" i="6"/>
  <c r="BW201" i="6" s="1"/>
  <c r="BW200" i="6" s="1"/>
  <c r="BW176" i="6"/>
  <c r="BW208" i="6" s="1"/>
  <c r="BW192" i="6"/>
  <c r="BW189" i="6" s="1"/>
  <c r="BY245" i="12"/>
  <c r="BY285" i="12" s="1"/>
  <c r="BY296" i="6" s="1"/>
  <c r="BZ251" i="12"/>
  <c r="BZ291" i="12" s="1"/>
  <c r="BZ302" i="6" s="1"/>
  <c r="BZ255" i="6"/>
  <c r="BZ245" i="12"/>
  <c r="BZ285" i="12" s="1"/>
  <c r="BZ296" i="6" s="1"/>
  <c r="BX257" i="6"/>
  <c r="BY37" i="12"/>
  <c r="BY6" i="12"/>
  <c r="BZ247" i="12"/>
  <c r="BZ296" i="12" s="1"/>
  <c r="BZ413" i="12" s="1"/>
  <c r="BZ257" i="6"/>
  <c r="BZ208" i="12"/>
  <c r="BZ192" i="12"/>
  <c r="BZ124" i="12"/>
  <c r="BY247" i="12"/>
  <c r="BY257" i="6"/>
  <c r="BY261" i="12"/>
  <c r="BW255" i="6"/>
  <c r="BX217" i="12"/>
  <c r="BX140" i="12"/>
  <c r="BX366" i="12" s="1"/>
  <c r="BY88" i="12"/>
  <c r="BW31" i="6"/>
  <c r="BW227" i="6" s="1"/>
  <c r="BW184" i="6"/>
  <c r="BZ178" i="6"/>
  <c r="BZ171" i="6"/>
  <c r="BZ168" i="6"/>
  <c r="BZ206" i="6" s="1"/>
  <c r="BZ97" i="6"/>
  <c r="BZ84" i="6"/>
  <c r="BZ96" i="6" s="1"/>
  <c r="BZ197" i="6" s="1"/>
  <c r="BZ196" i="6" s="1"/>
  <c r="BZ67" i="6"/>
  <c r="BZ201" i="6" s="1"/>
  <c r="BZ49" i="6"/>
  <c r="BZ31" i="6"/>
  <c r="BZ227" i="6" s="1"/>
  <c r="BZ23" i="6"/>
  <c r="BZ7" i="6"/>
  <c r="BZ226" i="6" s="1"/>
  <c r="BY225" i="6"/>
  <c r="BY231" i="6" s="1"/>
  <c r="BY228" i="6" s="1"/>
  <c r="BY30" i="6"/>
  <c r="BY200" i="6"/>
  <c r="BY6" i="6"/>
  <c r="BY177" i="6"/>
  <c r="BV426" i="12"/>
  <c r="CC432" i="12" s="1"/>
  <c r="BV323" i="12"/>
  <c r="BV397" i="12" s="1"/>
  <c r="BV84" i="6"/>
  <c r="BV96" i="6" s="1"/>
  <c r="BV197" i="6" s="1"/>
  <c r="BV196" i="6" s="1"/>
  <c r="BV168" i="6"/>
  <c r="BV237" i="6" s="1"/>
  <c r="BV226" i="12"/>
  <c r="BV348" i="12"/>
  <c r="BV380" i="12" s="1"/>
  <c r="BV161" i="2"/>
  <c r="BV152" i="2" s="1"/>
  <c r="BV171" i="6"/>
  <c r="BV235" i="12"/>
  <c r="BV303" i="12"/>
  <c r="BV302" i="12" s="1"/>
  <c r="BV207" i="2"/>
  <c r="BV224" i="2" s="1"/>
  <c r="BV120" i="2"/>
  <c r="BV92" i="2"/>
  <c r="BV89" i="2" s="1"/>
  <c r="BV26" i="2"/>
  <c r="BV227" i="2" s="1"/>
  <c r="BV20" i="2"/>
  <c r="BV322" i="12"/>
  <c r="BV67" i="6"/>
  <c r="BV201" i="6" s="1"/>
  <c r="BV200" i="6" s="1"/>
  <c r="BV178" i="6"/>
  <c r="BV184" i="6"/>
  <c r="BV205" i="12"/>
  <c r="BV23" i="6"/>
  <c r="BV115" i="6"/>
  <c r="BV21" i="12"/>
  <c r="BV204" i="12"/>
  <c r="BV201" i="12"/>
  <c r="BV251" i="12"/>
  <c r="BV291" i="12" s="1"/>
  <c r="BV302" i="6" s="1"/>
  <c r="BV151" i="12"/>
  <c r="BV184" i="12"/>
  <c r="BV176" i="12"/>
  <c r="BV152" i="12"/>
  <c r="BV163" i="12"/>
  <c r="BV131" i="12"/>
  <c r="BV116" i="12"/>
  <c r="BV89" i="12"/>
  <c r="BV142" i="12" s="1"/>
  <c r="BV368" i="12" s="1"/>
  <c r="BV407" i="12" s="1"/>
  <c r="BV366" i="12"/>
  <c r="BV91" i="12"/>
  <c r="BV144" i="12" s="1"/>
  <c r="BV370" i="12" s="1"/>
  <c r="BV71" i="12"/>
  <c r="BV372" i="12" s="1"/>
  <c r="BV371" i="12" s="1"/>
  <c r="BV55" i="12"/>
  <c r="BV38" i="12"/>
  <c r="BV386" i="12" s="1"/>
  <c r="BV7" i="12"/>
  <c r="BV216" i="2"/>
  <c r="BV212" i="2" s="1"/>
  <c r="BV360" i="12"/>
  <c r="BV355" i="12" s="1"/>
  <c r="BV97" i="6"/>
  <c r="BV230" i="6"/>
  <c r="BV49" i="6"/>
  <c r="BV31" i="6"/>
  <c r="BV227" i="6" s="1"/>
  <c r="BV7" i="6"/>
  <c r="BV169" i="2"/>
  <c r="BV305" i="6" s="1"/>
  <c r="BV174" i="2"/>
  <c r="BV189" i="2"/>
  <c r="BV263" i="6"/>
  <c r="BV198" i="2"/>
  <c r="BV122" i="2"/>
  <c r="BV121" i="2"/>
  <c r="BV173" i="2"/>
  <c r="BV327" i="12"/>
  <c r="BV245" i="12"/>
  <c r="BV285" i="12" s="1"/>
  <c r="BV296" i="6" s="1"/>
  <c r="BV261" i="12"/>
  <c r="BV155" i="12"/>
  <c r="BV208" i="12"/>
  <c r="BV88" i="12"/>
  <c r="BV238" i="6"/>
  <c r="BT164" i="2"/>
  <c r="BS164" i="2"/>
  <c r="BR166" i="2"/>
  <c r="BR136" i="2"/>
  <c r="BR115" i="2"/>
  <c r="BR110" i="2"/>
  <c r="BR105" i="2"/>
  <c r="BR100" i="2"/>
  <c r="BR81" i="2"/>
  <c r="BR75" i="2"/>
  <c r="BR76" i="2"/>
  <c r="BR58" i="2"/>
  <c r="BR59" i="2"/>
  <c r="BR60" i="2"/>
  <c r="BR61" i="2"/>
  <c r="BR62" i="2"/>
  <c r="BR63" i="2"/>
  <c r="BR64" i="2"/>
  <c r="BR43" i="2"/>
  <c r="BR46" i="2"/>
  <c r="BR47" i="2"/>
  <c r="BR48" i="2"/>
  <c r="BR49" i="2"/>
  <c r="BR50" i="2"/>
  <c r="BR52" i="2"/>
  <c r="BR53" i="2"/>
  <c r="BR54" i="2"/>
  <c r="BR42" i="2"/>
  <c r="BR28" i="2"/>
  <c r="BR29" i="2"/>
  <c r="BR30" i="2"/>
  <c r="BR35" i="2"/>
  <c r="BR36" i="2"/>
  <c r="BR37" i="2"/>
  <c r="BR24" i="2"/>
  <c r="BR21" i="2"/>
  <c r="BR11" i="2"/>
  <c r="BR14" i="2"/>
  <c r="BR15" i="2"/>
  <c r="BR16" i="2"/>
  <c r="BR17" i="2"/>
  <c r="BR18" i="2"/>
  <c r="BR352" i="12"/>
  <c r="BR353" i="12"/>
  <c r="BR354" i="12"/>
  <c r="BR349" i="12"/>
  <c r="BR346" i="12"/>
  <c r="BR345" i="12"/>
  <c r="BR340" i="12"/>
  <c r="BR338" i="12"/>
  <c r="BR306" i="12"/>
  <c r="BR292" i="12"/>
  <c r="BR257" i="12"/>
  <c r="BR259" i="12"/>
  <c r="BR254" i="12"/>
  <c r="BR239" i="12"/>
  <c r="BR240" i="12"/>
  <c r="BR241" i="12"/>
  <c r="BR236" i="12"/>
  <c r="BR230" i="12"/>
  <c r="BR232" i="12"/>
  <c r="BR227" i="12"/>
  <c r="BR221" i="12"/>
  <c r="BR224" i="12"/>
  <c r="BR218" i="12"/>
  <c r="BR210" i="12"/>
  <c r="BR212" i="12"/>
  <c r="BR215" i="12"/>
  <c r="BR216" i="12"/>
  <c r="BR209" i="12"/>
  <c r="BR195" i="12"/>
  <c r="BR190" i="12"/>
  <c r="BR191" i="12"/>
  <c r="BR182" i="12"/>
  <c r="BR177" i="12"/>
  <c r="BR173" i="12"/>
  <c r="BR165" i="12"/>
  <c r="BR157" i="12"/>
  <c r="BR156" i="12"/>
  <c r="BR136" i="12"/>
  <c r="BR137" i="12"/>
  <c r="BR138" i="12"/>
  <c r="BR126" i="12"/>
  <c r="BR127" i="12"/>
  <c r="BR129" i="12"/>
  <c r="BR130" i="12"/>
  <c r="BR125" i="12"/>
  <c r="BR122" i="12"/>
  <c r="BR117" i="12"/>
  <c r="BR112" i="12"/>
  <c r="BR113" i="12"/>
  <c r="BR73" i="12"/>
  <c r="BR76" i="12"/>
  <c r="BR77" i="12"/>
  <c r="BR81" i="12"/>
  <c r="BR72" i="12"/>
  <c r="BR61" i="12"/>
  <c r="BR64" i="12"/>
  <c r="BR65" i="12"/>
  <c r="BR67" i="12"/>
  <c r="BR69" i="12"/>
  <c r="BR56" i="12"/>
  <c r="BR40" i="12"/>
  <c r="BR42" i="12"/>
  <c r="BR47" i="12"/>
  <c r="BR48" i="12"/>
  <c r="BR51" i="12"/>
  <c r="BR52" i="12"/>
  <c r="BR39" i="12"/>
  <c r="BR33" i="12"/>
  <c r="BR32" i="12"/>
  <c r="BR27" i="12"/>
  <c r="BR28" i="12"/>
  <c r="BR30" i="12"/>
  <c r="BR25" i="12"/>
  <c r="BR9" i="12"/>
  <c r="BR10" i="12"/>
  <c r="BR12" i="12"/>
  <c r="BR15" i="12"/>
  <c r="BR16" i="12"/>
  <c r="BR17" i="12"/>
  <c r="BR18" i="12"/>
  <c r="BR101" i="6"/>
  <c r="BR102" i="6"/>
  <c r="BR104" i="6"/>
  <c r="BR88" i="6"/>
  <c r="BR89" i="6"/>
  <c r="BR91" i="6"/>
  <c r="BR92" i="6"/>
  <c r="BR93" i="6"/>
  <c r="BR69" i="6"/>
  <c r="BR72" i="6"/>
  <c r="BR73" i="6"/>
  <c r="BR74" i="6"/>
  <c r="BR77" i="6"/>
  <c r="BR55" i="6"/>
  <c r="BR62" i="6"/>
  <c r="BR63" i="6"/>
  <c r="BR34" i="6"/>
  <c r="BR35" i="6"/>
  <c r="BR44" i="6"/>
  <c r="BR45" i="6"/>
  <c r="BR46" i="6"/>
  <c r="BR15" i="6"/>
  <c r="BR16" i="6"/>
  <c r="BR17" i="6"/>
  <c r="BR18" i="6"/>
  <c r="BR20" i="6"/>
  <c r="BU190" i="2"/>
  <c r="BU164" i="2"/>
  <c r="BU154" i="2"/>
  <c r="BU137" i="2"/>
  <c r="BU127" i="2"/>
  <c r="BU122" i="2"/>
  <c r="BU94" i="2"/>
  <c r="BU101" i="2"/>
  <c r="BU93" i="2"/>
  <c r="BU95" i="2"/>
  <c r="BU88" i="2"/>
  <c r="BU71" i="2"/>
  <c r="BR65" i="2"/>
  <c r="BR66" i="2"/>
  <c r="BR57" i="2"/>
  <c r="BR41" i="2"/>
  <c r="BR55" i="2"/>
  <c r="BR39" i="2"/>
  <c r="BR38" i="2"/>
  <c r="BR34" i="2"/>
  <c r="BR33" i="2"/>
  <c r="BR32" i="2"/>
  <c r="BR31" i="2"/>
  <c r="BR27" i="2"/>
  <c r="BU230" i="2"/>
  <c r="BU229" i="2"/>
  <c r="BR22" i="2"/>
  <c r="BU20" i="2"/>
  <c r="BR19" i="2"/>
  <c r="BR13" i="2"/>
  <c r="BR12" i="2"/>
  <c r="BR10" i="2"/>
  <c r="BR9" i="2"/>
  <c r="BR8" i="2"/>
  <c r="BP365" i="12"/>
  <c r="BQ365" i="12"/>
  <c r="BR365" i="12"/>
  <c r="BR351" i="12"/>
  <c r="BR350" i="12"/>
  <c r="BR347" i="12"/>
  <c r="BR341" i="12"/>
  <c r="BR335" i="12"/>
  <c r="BU333" i="12"/>
  <c r="BU330" i="12"/>
  <c r="BR328" i="12"/>
  <c r="BR308" i="12"/>
  <c r="BR307" i="12"/>
  <c r="BR305" i="12"/>
  <c r="BR128" i="12"/>
  <c r="BR276" i="12"/>
  <c r="BR275" i="12"/>
  <c r="BR273" i="12"/>
  <c r="BR272" i="12"/>
  <c r="BR269" i="12"/>
  <c r="BU265" i="12"/>
  <c r="BR258" i="12"/>
  <c r="BR256" i="12"/>
  <c r="BR255" i="12"/>
  <c r="BR238" i="12"/>
  <c r="BR237" i="12"/>
  <c r="BR231" i="12"/>
  <c r="BR229" i="12"/>
  <c r="BR228" i="12"/>
  <c r="BR223" i="12"/>
  <c r="BR222" i="12"/>
  <c r="BR220" i="12"/>
  <c r="BR219" i="12"/>
  <c r="BR214" i="12"/>
  <c r="BR213" i="12"/>
  <c r="BR211" i="12"/>
  <c r="BR197" i="12"/>
  <c r="BR196" i="12"/>
  <c r="BR194" i="12"/>
  <c r="BR189" i="12"/>
  <c r="BR188" i="12"/>
  <c r="BR187" i="12"/>
  <c r="BR186" i="12"/>
  <c r="BR181" i="12"/>
  <c r="BR180" i="12"/>
  <c r="BR179" i="12"/>
  <c r="BR178" i="12"/>
  <c r="BR175" i="12"/>
  <c r="BR174" i="12"/>
  <c r="BR172" i="12"/>
  <c r="BR168" i="12"/>
  <c r="BR167" i="12"/>
  <c r="BR166" i="12"/>
  <c r="BR160" i="12"/>
  <c r="BR159" i="12"/>
  <c r="BR158" i="12"/>
  <c r="BR135" i="12"/>
  <c r="BR134" i="12"/>
  <c r="BR133" i="12"/>
  <c r="BR121" i="12"/>
  <c r="BR120" i="12"/>
  <c r="BR119" i="12"/>
  <c r="BR118" i="12"/>
  <c r="BR114" i="12"/>
  <c r="BR111" i="12"/>
  <c r="BR99" i="12"/>
  <c r="BR98" i="12"/>
  <c r="BU425" i="12"/>
  <c r="CB431" i="12" s="1"/>
  <c r="BU424" i="12"/>
  <c r="CB430" i="12" s="1"/>
  <c r="BR80" i="12"/>
  <c r="BR79" i="12"/>
  <c r="BR78" i="12"/>
  <c r="BR75" i="12"/>
  <c r="BR74" i="12"/>
  <c r="BR70" i="12"/>
  <c r="BR68" i="12"/>
  <c r="BR66" i="12"/>
  <c r="BR63" i="12"/>
  <c r="BR62" i="12"/>
  <c r="BR60" i="12"/>
  <c r="BR59" i="12"/>
  <c r="BR58" i="12"/>
  <c r="BR57" i="12"/>
  <c r="BR54" i="12"/>
  <c r="BR53" i="12"/>
  <c r="BR50" i="12"/>
  <c r="BR49" i="12"/>
  <c r="BR46" i="12"/>
  <c r="BR45" i="12"/>
  <c r="BR44" i="12"/>
  <c r="BR43" i="12"/>
  <c r="BR41" i="12"/>
  <c r="BR36" i="12"/>
  <c r="BR35" i="12"/>
  <c r="BR34" i="12"/>
  <c r="BU389" i="12"/>
  <c r="BR29" i="12"/>
  <c r="BR26" i="12"/>
  <c r="BU388" i="12"/>
  <c r="BR23" i="12"/>
  <c r="BR22" i="12"/>
  <c r="BR20" i="12"/>
  <c r="BR19" i="12"/>
  <c r="BR14" i="12"/>
  <c r="BR13" i="12"/>
  <c r="BR11" i="12"/>
  <c r="BR8" i="12"/>
  <c r="BR195" i="6"/>
  <c r="BU189" i="6"/>
  <c r="BU216" i="2"/>
  <c r="BU215" i="2"/>
  <c r="BR183" i="6"/>
  <c r="BU359" i="12"/>
  <c r="BU358" i="12"/>
  <c r="BU357" i="12"/>
  <c r="BU208" i="6"/>
  <c r="BU175" i="6"/>
  <c r="BU207" i="6" s="1"/>
  <c r="BU198" i="6"/>
  <c r="BU209" i="6"/>
  <c r="BR78" i="6"/>
  <c r="BR76" i="6"/>
  <c r="BR75" i="6"/>
  <c r="BU202" i="6"/>
  <c r="BR70" i="6"/>
  <c r="BR68" i="6"/>
  <c r="BR66" i="6"/>
  <c r="BR65" i="6"/>
  <c r="BR64" i="6"/>
  <c r="BR61" i="6"/>
  <c r="BR60" i="6"/>
  <c r="BR59" i="6"/>
  <c r="BR58" i="6"/>
  <c r="BR57" i="6"/>
  <c r="BR56" i="6"/>
  <c r="BR54" i="6"/>
  <c r="BR53" i="6"/>
  <c r="BR52" i="6"/>
  <c r="BR51" i="6"/>
  <c r="BR50" i="6"/>
  <c r="BR48" i="6"/>
  <c r="BR47" i="6"/>
  <c r="BR43" i="6"/>
  <c r="BR42" i="6"/>
  <c r="BR41" i="6"/>
  <c r="BR40" i="6"/>
  <c r="BR39" i="6"/>
  <c r="BR38" i="6"/>
  <c r="BR37" i="6"/>
  <c r="BR36" i="6"/>
  <c r="BR33" i="6"/>
  <c r="BR32" i="6"/>
  <c r="BU230" i="6"/>
  <c r="BU229" i="6"/>
  <c r="BR25" i="6"/>
  <c r="BR24" i="6"/>
  <c r="BR22" i="6"/>
  <c r="BR19" i="6"/>
  <c r="BR14" i="6"/>
  <c r="BR13" i="6"/>
  <c r="BR12" i="6"/>
  <c r="BR11" i="6"/>
  <c r="BR10" i="6"/>
  <c r="BR9" i="6"/>
  <c r="BR8" i="6"/>
  <c r="BU47" i="16"/>
  <c r="BU70" i="2"/>
  <c r="BU87" i="2"/>
  <c r="BU118" i="2"/>
  <c r="BU143" i="2" s="1"/>
  <c r="BU119" i="2"/>
  <c r="BU132" i="2"/>
  <c r="BU144" i="2"/>
  <c r="BU169" i="2" s="1"/>
  <c r="BU305" i="6" s="1"/>
  <c r="BU184" i="2"/>
  <c r="BU192" i="2"/>
  <c r="BU201" i="2"/>
  <c r="BU208" i="2"/>
  <c r="BU209" i="2"/>
  <c r="BU210" i="2"/>
  <c r="BU219" i="2"/>
  <c r="BU220" i="2"/>
  <c r="BU324" i="12"/>
  <c r="BU356" i="12"/>
  <c r="BU360" i="12"/>
  <c r="BU373" i="12"/>
  <c r="BU374" i="12"/>
  <c r="BU85" i="12"/>
  <c r="BU87" i="12"/>
  <c r="BU140" i="12" s="1"/>
  <c r="BU92" i="12"/>
  <c r="BU145" i="12" s="1"/>
  <c r="BU101" i="12"/>
  <c r="BU146" i="12"/>
  <c r="BU148" i="12"/>
  <c r="BU153" i="12"/>
  <c r="BU200" i="12"/>
  <c r="BU203" i="12"/>
  <c r="BU248" i="12" s="1"/>
  <c r="BU288" i="12" s="1"/>
  <c r="BU299" i="6" s="1"/>
  <c r="BU206" i="12"/>
  <c r="BU262" i="12"/>
  <c r="BU268" i="12"/>
  <c r="BU83" i="6"/>
  <c r="BU199" i="6"/>
  <c r="BU203" i="6"/>
  <c r="BU261" i="6"/>
  <c r="BU262" i="6"/>
  <c r="BU274" i="6"/>
  <c r="BQ29" i="16"/>
  <c r="BQ188" i="2"/>
  <c r="BQ115" i="2"/>
  <c r="BQ110" i="2"/>
  <c r="BQ105" i="2"/>
  <c r="BQ100" i="2"/>
  <c r="BQ81" i="2"/>
  <c r="BQ75" i="2"/>
  <c r="BQ76" i="2"/>
  <c r="BQ58" i="2"/>
  <c r="BQ59" i="2"/>
  <c r="BQ60" i="2"/>
  <c r="BQ61" i="2"/>
  <c r="BQ62" i="2"/>
  <c r="BQ43" i="2"/>
  <c r="BQ46" i="2"/>
  <c r="BQ47" i="2"/>
  <c r="BQ48" i="2"/>
  <c r="BQ49" i="2"/>
  <c r="BQ50" i="2"/>
  <c r="BQ52" i="2"/>
  <c r="BQ53" i="2"/>
  <c r="BQ54" i="2"/>
  <c r="BQ42" i="2"/>
  <c r="BS41" i="2"/>
  <c r="BT41" i="2"/>
  <c r="BQ41" i="2" s="1"/>
  <c r="BQ28" i="2"/>
  <c r="BQ29" i="2"/>
  <c r="BQ30" i="2"/>
  <c r="BQ37" i="2"/>
  <c r="BQ11" i="2"/>
  <c r="BQ14" i="2"/>
  <c r="BQ15" i="2"/>
  <c r="BQ17" i="2"/>
  <c r="BQ18" i="2"/>
  <c r="BQ383" i="12"/>
  <c r="BQ354" i="12"/>
  <c r="BQ349" i="12"/>
  <c r="BQ306" i="12"/>
  <c r="BQ292" i="12"/>
  <c r="BS92" i="12"/>
  <c r="BS87" i="12"/>
  <c r="BQ126" i="12"/>
  <c r="BQ127" i="12"/>
  <c r="BQ129" i="12"/>
  <c r="BQ130" i="12"/>
  <c r="BQ125" i="12"/>
  <c r="BQ259" i="12"/>
  <c r="BQ254" i="12"/>
  <c r="BQ239" i="12"/>
  <c r="BQ236" i="12"/>
  <c r="BQ230" i="12"/>
  <c r="BQ227" i="12"/>
  <c r="BQ221" i="12"/>
  <c r="BQ224" i="12"/>
  <c r="BQ218" i="12"/>
  <c r="BQ212" i="12"/>
  <c r="BQ215" i="12"/>
  <c r="BQ209" i="12"/>
  <c r="BQ190" i="12"/>
  <c r="BQ185" i="12"/>
  <c r="BQ182" i="12"/>
  <c r="BQ177" i="12"/>
  <c r="BQ156" i="12"/>
  <c r="BQ137" i="12"/>
  <c r="BQ122" i="12"/>
  <c r="BQ117" i="12"/>
  <c r="BQ76" i="12"/>
  <c r="BQ77" i="12"/>
  <c r="BQ61" i="12"/>
  <c r="BQ65" i="12"/>
  <c r="BQ67" i="12"/>
  <c r="BQ69" i="12"/>
  <c r="BQ42" i="12"/>
  <c r="BQ51" i="12"/>
  <c r="BQ52" i="12"/>
  <c r="BQ32" i="12"/>
  <c r="BQ30" i="12"/>
  <c r="BQ25" i="12"/>
  <c r="BQ12" i="12"/>
  <c r="BQ15" i="12"/>
  <c r="BQ16" i="12"/>
  <c r="BQ17" i="12"/>
  <c r="BQ18" i="12"/>
  <c r="BQ101" i="6"/>
  <c r="BQ102" i="6"/>
  <c r="BQ104" i="6"/>
  <c r="BQ88" i="6"/>
  <c r="BQ89" i="6"/>
  <c r="BQ91" i="6"/>
  <c r="BQ92" i="6"/>
  <c r="BQ93" i="6"/>
  <c r="BQ69" i="6"/>
  <c r="BQ72" i="6"/>
  <c r="BQ73" i="6"/>
  <c r="BQ74" i="6"/>
  <c r="BQ77" i="6"/>
  <c r="BQ55" i="6"/>
  <c r="BQ62" i="6"/>
  <c r="BQ63" i="6"/>
  <c r="BQ34" i="6"/>
  <c r="BQ35" i="6"/>
  <c r="BQ44" i="6"/>
  <c r="BQ45" i="6"/>
  <c r="BQ46" i="6"/>
  <c r="BQ15" i="6"/>
  <c r="BQ16" i="6"/>
  <c r="BQ17" i="6"/>
  <c r="BQ18" i="6"/>
  <c r="BQ20" i="6"/>
  <c r="BQ34" i="16"/>
  <c r="BQ87" i="12" l="1"/>
  <c r="BZ321" i="12"/>
  <c r="CA371" i="12"/>
  <c r="BW71" i="12"/>
  <c r="BW372" i="12" s="1"/>
  <c r="BW371" i="12" s="1"/>
  <c r="BR90" i="12"/>
  <c r="BR143" i="12" s="1"/>
  <c r="BX88" i="12"/>
  <c r="BX141" i="12" s="1"/>
  <c r="BX367" i="12" s="1"/>
  <c r="BW149" i="12"/>
  <c r="BW303" i="12"/>
  <c r="BW302" i="12" s="1"/>
  <c r="BW426" i="12"/>
  <c r="CD432" i="12" s="1"/>
  <c r="BX261" i="12"/>
  <c r="BQ92" i="12"/>
  <c r="CA200" i="6"/>
  <c r="BV206" i="6"/>
  <c r="BX170" i="12"/>
  <c r="BY91" i="12"/>
  <c r="BY144" i="12" s="1"/>
  <c r="BX225" i="6"/>
  <c r="BX231" i="6" s="1"/>
  <c r="BW115" i="6"/>
  <c r="BX176" i="12"/>
  <c r="BX152" i="2"/>
  <c r="BY192" i="12"/>
  <c r="BY149" i="12"/>
  <c r="CA407" i="12"/>
  <c r="BY108" i="6"/>
  <c r="BY208" i="12"/>
  <c r="BY168" i="6"/>
  <c r="BY237" i="6" s="1"/>
  <c r="BY84" i="6"/>
  <c r="BY96" i="6" s="1"/>
  <c r="BY197" i="6" s="1"/>
  <c r="BY196" i="6" s="1"/>
  <c r="BX168" i="6"/>
  <c r="BX303" i="12"/>
  <c r="BX302" i="12" s="1"/>
  <c r="BY199" i="12"/>
  <c r="CA321" i="12"/>
  <c r="CA396" i="12" s="1"/>
  <c r="BW235" i="12"/>
  <c r="BW348" i="12"/>
  <c r="BW380" i="12" s="1"/>
  <c r="BY377" i="12"/>
  <c r="BX385" i="12"/>
  <c r="BX384" i="12" s="1"/>
  <c r="BX390" i="12" s="1"/>
  <c r="BX387" i="12" s="1"/>
  <c r="BY151" i="12"/>
  <c r="BX199" i="12"/>
  <c r="BW322" i="12"/>
  <c r="BY176" i="12"/>
  <c r="BY131" i="12"/>
  <c r="BW427" i="12"/>
  <c r="CD433" i="12" s="1"/>
  <c r="BZ146" i="2"/>
  <c r="BZ176" i="2" s="1"/>
  <c r="BZ285" i="6" s="1"/>
  <c r="BW171" i="6"/>
  <c r="BX151" i="12"/>
  <c r="BX108" i="6"/>
  <c r="BX208" i="12"/>
  <c r="BW131" i="12"/>
  <c r="BZ223" i="2"/>
  <c r="BZ237" i="2"/>
  <c r="BY155" i="12"/>
  <c r="BX131" i="12"/>
  <c r="BW91" i="12"/>
  <c r="BW144" i="12" s="1"/>
  <c r="BW370" i="12" s="1"/>
  <c r="BX155" i="12"/>
  <c r="BX149" i="12"/>
  <c r="BX322" i="12"/>
  <c r="BX327" i="12"/>
  <c r="BX321" i="12" s="1"/>
  <c r="BX396" i="12" s="1"/>
  <c r="BY152" i="12"/>
  <c r="BY90" i="12"/>
  <c r="BY143" i="12" s="1"/>
  <c r="BY109" i="12"/>
  <c r="BY364" i="12" s="1"/>
  <c r="BW116" i="12"/>
  <c r="BX109" i="12"/>
  <c r="BX364" i="12" s="1"/>
  <c r="BW201" i="12"/>
  <c r="BW253" i="12"/>
  <c r="BX152" i="12"/>
  <c r="BY170" i="12"/>
  <c r="BX192" i="12"/>
  <c r="BY184" i="12"/>
  <c r="BX115" i="6"/>
  <c r="CA212" i="2"/>
  <c r="BX84" i="6"/>
  <c r="BX96" i="6" s="1"/>
  <c r="BX197" i="6" s="1"/>
  <c r="BX196" i="6" s="1"/>
  <c r="BZ200" i="6"/>
  <c r="BY171" i="6"/>
  <c r="BX171" i="6"/>
  <c r="BY97" i="6"/>
  <c r="BY247" i="6" s="1"/>
  <c r="BY115" i="6"/>
  <c r="BV422" i="12"/>
  <c r="CC428" i="12" s="1"/>
  <c r="BW109" i="12"/>
  <c r="BW364" i="12" s="1"/>
  <c r="BW339" i="12"/>
  <c r="BW261" i="12"/>
  <c r="BW176" i="12"/>
  <c r="BW192" i="12"/>
  <c r="BW342" i="12"/>
  <c r="BW378" i="12" s="1"/>
  <c r="BW184" i="12"/>
  <c r="BY237" i="2"/>
  <c r="BX88" i="2"/>
  <c r="BX264" i="6" s="1"/>
  <c r="BX77" i="2"/>
  <c r="BX190" i="2"/>
  <c r="BX189" i="2" s="1"/>
  <c r="BX198" i="2"/>
  <c r="BX92" i="2"/>
  <c r="BX89" i="2" s="1"/>
  <c r="BX101" i="2"/>
  <c r="BX71" i="2"/>
  <c r="BX86" i="2"/>
  <c r="CA147" i="12"/>
  <c r="BX426" i="12"/>
  <c r="CE432" i="12" s="1"/>
  <c r="BX90" i="12"/>
  <c r="BX143" i="12" s="1"/>
  <c r="BX373" i="12"/>
  <c r="BX71" i="12"/>
  <c r="CA249" i="12"/>
  <c r="CA289" i="12" s="1"/>
  <c r="CA177" i="6"/>
  <c r="CA355" i="12"/>
  <c r="BX150" i="12"/>
  <c r="BX184" i="12"/>
  <c r="BX94" i="12"/>
  <c r="BX424" i="12"/>
  <c r="CE430" i="12" s="1"/>
  <c r="BX427" i="12"/>
  <c r="CE433" i="12" s="1"/>
  <c r="BX91" i="12"/>
  <c r="BX144" i="12" s="1"/>
  <c r="CB416" i="12"/>
  <c r="CA223" i="2"/>
  <c r="BX216" i="2"/>
  <c r="BX212" i="2" s="1"/>
  <c r="BX184" i="6"/>
  <c r="BX23" i="6"/>
  <c r="BX6" i="6" s="1"/>
  <c r="BX229" i="6"/>
  <c r="BX228" i="6" s="1"/>
  <c r="BX67" i="6"/>
  <c r="BX202" i="6"/>
  <c r="CA259" i="6"/>
  <c r="BX357" i="12"/>
  <c r="BX355" i="12" s="1"/>
  <c r="BX178" i="6"/>
  <c r="BX175" i="6"/>
  <c r="BX207" i="6" s="1"/>
  <c r="BX97" i="6"/>
  <c r="CA260" i="6"/>
  <c r="CA6" i="12"/>
  <c r="CA237" i="6"/>
  <c r="CA250" i="12"/>
  <c r="CA298" i="12" s="1"/>
  <c r="CA258" i="6"/>
  <c r="CA409" i="12"/>
  <c r="CA369" i="12"/>
  <c r="CA408" i="12" s="1"/>
  <c r="CA257" i="6"/>
  <c r="CA247" i="12"/>
  <c r="CA296" i="12" s="1"/>
  <c r="CA37" i="12"/>
  <c r="CA385" i="12"/>
  <c r="CA384" i="12" s="1"/>
  <c r="CA390" i="12" s="1"/>
  <c r="CA387" i="12" s="1"/>
  <c r="BZ212" i="2"/>
  <c r="BW108" i="6"/>
  <c r="BU171" i="6"/>
  <c r="CA112" i="6"/>
  <c r="CA205" i="6" s="1"/>
  <c r="CA204" i="6" s="1"/>
  <c r="CA197" i="6"/>
  <c r="CA196" i="6" s="1"/>
  <c r="CA247" i="6" s="1"/>
  <c r="CA6" i="6"/>
  <c r="CA30" i="6"/>
  <c r="CA225" i="2"/>
  <c r="CA231" i="2" s="1"/>
  <c r="CA228" i="2" s="1"/>
  <c r="CA176" i="2"/>
  <c r="CA285" i="6" s="1"/>
  <c r="CA171" i="2"/>
  <c r="CA307" i="6" s="1"/>
  <c r="CA175" i="2"/>
  <c r="CA170" i="2"/>
  <c r="CA142" i="2"/>
  <c r="CA245" i="2"/>
  <c r="CA141" i="12"/>
  <c r="CA367" i="12" s="1"/>
  <c r="CA406" i="12" s="1"/>
  <c r="CA86" i="12"/>
  <c r="CA139" i="12" s="1"/>
  <c r="CA296" i="6"/>
  <c r="CA225" i="6"/>
  <c r="CA231" i="6" s="1"/>
  <c r="CA228" i="6" s="1"/>
  <c r="BX226" i="2"/>
  <c r="BX6" i="2"/>
  <c r="BW226" i="12"/>
  <c r="BW204" i="12"/>
  <c r="BW88" i="12"/>
  <c r="BW141" i="12" s="1"/>
  <c r="BW120" i="2"/>
  <c r="BW117" i="2" s="1"/>
  <c r="BZ152" i="2"/>
  <c r="BW170" i="12"/>
  <c r="BX26" i="2"/>
  <c r="BW422" i="12"/>
  <c r="CD428" i="12" s="1"/>
  <c r="BZ422" i="12"/>
  <c r="CG428" i="12" s="1"/>
  <c r="BW25" i="2"/>
  <c r="BU174" i="2"/>
  <c r="BW147" i="2"/>
  <c r="BW225" i="2"/>
  <c r="BW231" i="2" s="1"/>
  <c r="BW228" i="2" s="1"/>
  <c r="BU173" i="2"/>
  <c r="BW264" i="6"/>
  <c r="BZ169" i="2"/>
  <c r="BZ305" i="6" s="1"/>
  <c r="BW161" i="2"/>
  <c r="BW152" i="2" s="1"/>
  <c r="BY245" i="2"/>
  <c r="BV146" i="2"/>
  <c r="BV171" i="2" s="1"/>
  <c r="BV307" i="6" s="1"/>
  <c r="BW153" i="2"/>
  <c r="BV83" i="2"/>
  <c r="BV245" i="2" s="1"/>
  <c r="BZ225" i="2"/>
  <c r="BZ231" i="2" s="1"/>
  <c r="BZ228" i="2" s="1"/>
  <c r="BW111" i="2"/>
  <c r="BW198" i="2"/>
  <c r="BW6" i="2"/>
  <c r="BV321" i="12"/>
  <c r="BV377" i="12" s="1"/>
  <c r="BV6" i="2"/>
  <c r="BW90" i="12"/>
  <c r="BW143" i="12" s="1"/>
  <c r="BW152" i="12"/>
  <c r="BW30" i="6"/>
  <c r="BW122" i="2"/>
  <c r="BW217" i="12"/>
  <c r="BW89" i="12"/>
  <c r="BW142" i="12" s="1"/>
  <c r="BW257" i="6" s="1"/>
  <c r="BW189" i="2"/>
  <c r="BW336" i="12"/>
  <c r="BW321" i="12" s="1"/>
  <c r="BW377" i="12" s="1"/>
  <c r="BW155" i="12"/>
  <c r="BW92" i="2"/>
  <c r="BW89" i="2" s="1"/>
  <c r="BW208" i="12"/>
  <c r="BW151" i="12"/>
  <c r="BZ406" i="12"/>
  <c r="BW37" i="12"/>
  <c r="BZ6" i="12"/>
  <c r="BW205" i="12"/>
  <c r="BW23" i="6"/>
  <c r="BW6" i="6" s="1"/>
  <c r="BZ355" i="12"/>
  <c r="BW94" i="12"/>
  <c r="BW6" i="12"/>
  <c r="BW385" i="12"/>
  <c r="BW384" i="12" s="1"/>
  <c r="BW390" i="12" s="1"/>
  <c r="BW387" i="12" s="1"/>
  <c r="BZ408" i="12"/>
  <c r="BZ263" i="6"/>
  <c r="BZ260" i="6" s="1"/>
  <c r="BZ248" i="2"/>
  <c r="BZ145" i="2"/>
  <c r="BZ385" i="12"/>
  <c r="BZ384" i="12" s="1"/>
  <c r="BZ390" i="12" s="1"/>
  <c r="BZ387" i="12" s="1"/>
  <c r="BW97" i="6"/>
  <c r="BZ377" i="12"/>
  <c r="BZ396" i="12"/>
  <c r="BW77" i="2"/>
  <c r="BZ6" i="2"/>
  <c r="BZ83" i="2"/>
  <c r="BW86" i="2"/>
  <c r="BW71" i="2"/>
  <c r="BW146" i="2"/>
  <c r="BW176" i="2" s="1"/>
  <c r="BW285" i="6" s="1"/>
  <c r="BY142" i="2"/>
  <c r="BZ171" i="2"/>
  <c r="BZ307" i="6" s="1"/>
  <c r="BZ89" i="2"/>
  <c r="BY170" i="2"/>
  <c r="BY175" i="2"/>
  <c r="BY252" i="2" s="1"/>
  <c r="BY146" i="2"/>
  <c r="BZ25" i="2"/>
  <c r="BW367" i="12"/>
  <c r="BZ259" i="6"/>
  <c r="BZ370" i="12"/>
  <c r="BZ409" i="12" s="1"/>
  <c r="BZ199" i="12"/>
  <c r="BZ112" i="6"/>
  <c r="BZ205" i="6" s="1"/>
  <c r="BZ204" i="6" s="1"/>
  <c r="BZ147" i="12"/>
  <c r="BZ249" i="12"/>
  <c r="BZ250" i="12"/>
  <c r="BZ298" i="12" s="1"/>
  <c r="BZ258" i="6"/>
  <c r="BZ86" i="12"/>
  <c r="BZ139" i="12" s="1"/>
  <c r="BZ37" i="12"/>
  <c r="BW168" i="6"/>
  <c r="BW238" i="6"/>
  <c r="BZ177" i="6"/>
  <c r="BW178" i="6"/>
  <c r="BW177" i="6" s="1"/>
  <c r="BZ237" i="6"/>
  <c r="BW84" i="6"/>
  <c r="BW96" i="6" s="1"/>
  <c r="BZ246" i="12"/>
  <c r="BZ256" i="6"/>
  <c r="BZ276" i="6"/>
  <c r="BZ287" i="12"/>
  <c r="BX245" i="12"/>
  <c r="BX285" i="12" s="1"/>
  <c r="BX255" i="6"/>
  <c r="BW256" i="6"/>
  <c r="BW296" i="6"/>
  <c r="BY141" i="12"/>
  <c r="BY367" i="12" s="1"/>
  <c r="BY296" i="12"/>
  <c r="BY287" i="12"/>
  <c r="BZ247" i="6"/>
  <c r="BZ30" i="6"/>
  <c r="BZ225" i="6"/>
  <c r="BZ231" i="6" s="1"/>
  <c r="BZ228" i="6" s="1"/>
  <c r="BZ6" i="6"/>
  <c r="BU168" i="6"/>
  <c r="BU237" i="6" s="1"/>
  <c r="BR188" i="6"/>
  <c r="BR192" i="6"/>
  <c r="BV247" i="6"/>
  <c r="BN108" i="6"/>
  <c r="BV6" i="6"/>
  <c r="BW225" i="6"/>
  <c r="BW231" i="6" s="1"/>
  <c r="BW228" i="6" s="1"/>
  <c r="BV177" i="6"/>
  <c r="BV145" i="2"/>
  <c r="BV175" i="2" s="1"/>
  <c r="BV248" i="2"/>
  <c r="BV260" i="6"/>
  <c r="BV225" i="2"/>
  <c r="BV231" i="2" s="1"/>
  <c r="BV228" i="2" s="1"/>
  <c r="BV25" i="2"/>
  <c r="BV112" i="6"/>
  <c r="BV119" i="6" s="1"/>
  <c r="BV121" i="6" s="1"/>
  <c r="BV6" i="12"/>
  <c r="BV30" i="6"/>
  <c r="BV199" i="12"/>
  <c r="BV408" i="12"/>
  <c r="BV147" i="12"/>
  <c r="BV409" i="12"/>
  <c r="BV249" i="12"/>
  <c r="BV258" i="6"/>
  <c r="BV257" i="6"/>
  <c r="BV247" i="12"/>
  <c r="BV296" i="12" s="1"/>
  <c r="BV250" i="12"/>
  <c r="BV298" i="12" s="1"/>
  <c r="BV259" i="6"/>
  <c r="BV37" i="12"/>
  <c r="BV385" i="12"/>
  <c r="BV384" i="12" s="1"/>
  <c r="BV390" i="12" s="1"/>
  <c r="BV387" i="12" s="1"/>
  <c r="BV226" i="6"/>
  <c r="BV225" i="6" s="1"/>
  <c r="BV231" i="6" s="1"/>
  <c r="BV228" i="6" s="1"/>
  <c r="BV117" i="2"/>
  <c r="BV176" i="2"/>
  <c r="BV285" i="6" s="1"/>
  <c r="BV237" i="2"/>
  <c r="BV223" i="2"/>
  <c r="BU207" i="2"/>
  <c r="BU224" i="2" s="1"/>
  <c r="BV86" i="12"/>
  <c r="BV139" i="12" s="1"/>
  <c r="BV141" i="12"/>
  <c r="BV367" i="12" s="1"/>
  <c r="BV406" i="12" s="1"/>
  <c r="BR235" i="12"/>
  <c r="BU124" i="12"/>
  <c r="BU40" i="2"/>
  <c r="BR71" i="6"/>
  <c r="BR96" i="12"/>
  <c r="BR23" i="2"/>
  <c r="BR180" i="6"/>
  <c r="BR31" i="12"/>
  <c r="BR267" i="12"/>
  <c r="BR141" i="2"/>
  <c r="BR137" i="2" s="1"/>
  <c r="BU121" i="2"/>
  <c r="BU146" i="2" s="1"/>
  <c r="BR24" i="12"/>
  <c r="BR331" i="12"/>
  <c r="BR27" i="6"/>
  <c r="BR182" i="6"/>
  <c r="BR97" i="12"/>
  <c r="BR334" i="12"/>
  <c r="BU108" i="6"/>
  <c r="BU322" i="12"/>
  <c r="BR26" i="6"/>
  <c r="BR181" i="6"/>
  <c r="BR165" i="2"/>
  <c r="BR164" i="2" s="1"/>
  <c r="BR187" i="6"/>
  <c r="BR337" i="12"/>
  <c r="BU427" i="12"/>
  <c r="CB433" i="12" s="1"/>
  <c r="BU303" i="12"/>
  <c r="BU302" i="12" s="1"/>
  <c r="BU274" i="12"/>
  <c r="BU198" i="2"/>
  <c r="BU21" i="12"/>
  <c r="BU56" i="2"/>
  <c r="BU218" i="2" s="1"/>
  <c r="BU217" i="2" s="1"/>
  <c r="BU339" i="12"/>
  <c r="BU153" i="2"/>
  <c r="BU204" i="2"/>
  <c r="BU86" i="2"/>
  <c r="BU83" i="2" s="1"/>
  <c r="BU147" i="2"/>
  <c r="BU161" i="2"/>
  <c r="BU152" i="2" s="1"/>
  <c r="BU191" i="2"/>
  <c r="BU238" i="2" s="1"/>
  <c r="BU336" i="12"/>
  <c r="BU348" i="12"/>
  <c r="BU380" i="12" s="1"/>
  <c r="BU323" i="12"/>
  <c r="BU397" i="12" s="1"/>
  <c r="BU92" i="2"/>
  <c r="BU106" i="2"/>
  <c r="BU111" i="2"/>
  <c r="BU26" i="2"/>
  <c r="BU227" i="2" s="1"/>
  <c r="BU7" i="2"/>
  <c r="BU6" i="2" s="1"/>
  <c r="BU342" i="12"/>
  <c r="BU378" i="12" s="1"/>
  <c r="BU202" i="12"/>
  <c r="BU271" i="12"/>
  <c r="BU184" i="6"/>
  <c r="BU115" i="6"/>
  <c r="BU88" i="12"/>
  <c r="BU141" i="12" s="1"/>
  <c r="BU235" i="12"/>
  <c r="BU155" i="12"/>
  <c r="BU131" i="12"/>
  <c r="BU212" i="2"/>
  <c r="BU178" i="6"/>
  <c r="BU109" i="12"/>
  <c r="BU364" i="12" s="1"/>
  <c r="BU67" i="6"/>
  <c r="BU201" i="6" s="1"/>
  <c r="BU200" i="6" s="1"/>
  <c r="BU89" i="12"/>
  <c r="BU142" i="12" s="1"/>
  <c r="BU368" i="12" s="1"/>
  <c r="BU201" i="12"/>
  <c r="BU176" i="12"/>
  <c r="BU192" i="12"/>
  <c r="BU226" i="12"/>
  <c r="BU170" i="12"/>
  <c r="BU150" i="12"/>
  <c r="BU91" i="12"/>
  <c r="BU144" i="12" s="1"/>
  <c r="BU370" i="12" s="1"/>
  <c r="BU90" i="12"/>
  <c r="BU143" i="12" s="1"/>
  <c r="BU369" i="12" s="1"/>
  <c r="BU253" i="12"/>
  <c r="BU205" i="12"/>
  <c r="BU204" i="12"/>
  <c r="BU217" i="12"/>
  <c r="BU152" i="12"/>
  <c r="BU184" i="12"/>
  <c r="BU151" i="12"/>
  <c r="BU163" i="12"/>
  <c r="BU149" i="12"/>
  <c r="BU116" i="12"/>
  <c r="BU94" i="12"/>
  <c r="BU426" i="12"/>
  <c r="CB432" i="12" s="1"/>
  <c r="BU71" i="12"/>
  <c r="BU372" i="12" s="1"/>
  <c r="BU371" i="12" s="1"/>
  <c r="BU55" i="12"/>
  <c r="BU38" i="12"/>
  <c r="BU7" i="12"/>
  <c r="BU355" i="12"/>
  <c r="BU97" i="6"/>
  <c r="BU84" i="6"/>
  <c r="BU96" i="6" s="1"/>
  <c r="BU49" i="6"/>
  <c r="BU31" i="6"/>
  <c r="BU227" i="6" s="1"/>
  <c r="BU23" i="6"/>
  <c r="BU7" i="6"/>
  <c r="BU226" i="6" s="1"/>
  <c r="BU189" i="2"/>
  <c r="BU223" i="2" s="1"/>
  <c r="BU264" i="6"/>
  <c r="BU168" i="2"/>
  <c r="BU304" i="6" s="1"/>
  <c r="BU120" i="2"/>
  <c r="BU117" i="2" s="1"/>
  <c r="BU77" i="2"/>
  <c r="BU251" i="12"/>
  <c r="BU291" i="12" s="1"/>
  <c r="BU302" i="6" s="1"/>
  <c r="BU245" i="12"/>
  <c r="BU285" i="12" s="1"/>
  <c r="BU296" i="6" s="1"/>
  <c r="BU366" i="12"/>
  <c r="BU255" i="6"/>
  <c r="BU327" i="12"/>
  <c r="BU208" i="12"/>
  <c r="BU206" i="6"/>
  <c r="BU238" i="6"/>
  <c r="BR200" i="2"/>
  <c r="BR199" i="2"/>
  <c r="BR163" i="2"/>
  <c r="BR116" i="2"/>
  <c r="BR99" i="2"/>
  <c r="BR82" i="2"/>
  <c r="BR74" i="2"/>
  <c r="BQ66" i="2"/>
  <c r="BQ65" i="2"/>
  <c r="BQ64" i="2"/>
  <c r="BQ63" i="2"/>
  <c r="BQ57" i="2"/>
  <c r="BQ55" i="2"/>
  <c r="BQ39" i="2"/>
  <c r="BQ38" i="2"/>
  <c r="BQ36" i="2"/>
  <c r="BQ35" i="2"/>
  <c r="BQ34" i="2"/>
  <c r="BQ33" i="2"/>
  <c r="BQ32" i="2"/>
  <c r="BQ31" i="2"/>
  <c r="BQ27" i="2"/>
  <c r="BQ24" i="2"/>
  <c r="BQ23" i="2"/>
  <c r="BQ22" i="2"/>
  <c r="BQ21" i="2"/>
  <c r="BQ19" i="2"/>
  <c r="BQ16" i="2"/>
  <c r="BQ13" i="2"/>
  <c r="BQ12" i="2"/>
  <c r="BQ10" i="2"/>
  <c r="BQ9" i="2"/>
  <c r="BQ8" i="2"/>
  <c r="BX406" i="12" l="1"/>
  <c r="BX256" i="6"/>
  <c r="BX377" i="12"/>
  <c r="BW406" i="12"/>
  <c r="BX422" i="12"/>
  <c r="CE428" i="12" s="1"/>
  <c r="CA377" i="12"/>
  <c r="BY406" i="12"/>
  <c r="BY147" i="12"/>
  <c r="BX146" i="2"/>
  <c r="BY206" i="6"/>
  <c r="BW249" i="12"/>
  <c r="BW289" i="12" s="1"/>
  <c r="BW300" i="6" s="1"/>
  <c r="BX206" i="6"/>
  <c r="BX237" i="6"/>
  <c r="BW250" i="12"/>
  <c r="BW298" i="12" s="1"/>
  <c r="BW415" i="12" s="1"/>
  <c r="BW246" i="12"/>
  <c r="BW295" i="12" s="1"/>
  <c r="BW412" i="12" s="1"/>
  <c r="BU6" i="12"/>
  <c r="BV396" i="12"/>
  <c r="BY86" i="12"/>
  <c r="BY139" i="12" s="1"/>
  <c r="BY363" i="12" s="1"/>
  <c r="BY362" i="12" s="1"/>
  <c r="CA297" i="12"/>
  <c r="CA278" i="6" s="1"/>
  <c r="CA290" i="12"/>
  <c r="CA421" i="12" s="1"/>
  <c r="BW409" i="12"/>
  <c r="BU261" i="12"/>
  <c r="BW259" i="6"/>
  <c r="BX246" i="12"/>
  <c r="BX286" i="12" s="1"/>
  <c r="BX86" i="12"/>
  <c r="BX139" i="12" s="1"/>
  <c r="BY369" i="12"/>
  <c r="BY408" i="12" s="1"/>
  <c r="BY258" i="6"/>
  <c r="BY249" i="12"/>
  <c r="BY370" i="12"/>
  <c r="BY409" i="12" s="1"/>
  <c r="BY259" i="6"/>
  <c r="BY250" i="12"/>
  <c r="BY112" i="6"/>
  <c r="BR26" i="16"/>
  <c r="BW247" i="12"/>
  <c r="BW287" i="12" s="1"/>
  <c r="BW298" i="6" s="1"/>
  <c r="BW86" i="12"/>
  <c r="BW139" i="12" s="1"/>
  <c r="BW363" i="12" s="1"/>
  <c r="BW362" i="12" s="1"/>
  <c r="BW368" i="12"/>
  <c r="BW407" i="12" s="1"/>
  <c r="BY276" i="6"/>
  <c r="BY413" i="12"/>
  <c r="BY298" i="6"/>
  <c r="BY419" i="12"/>
  <c r="BX237" i="2"/>
  <c r="BX223" i="2"/>
  <c r="BX263" i="6"/>
  <c r="BX260" i="6" s="1"/>
  <c r="BX145" i="2"/>
  <c r="BX248" i="2"/>
  <c r="BX83" i="2"/>
  <c r="BX370" i="12"/>
  <c r="BX409" i="12" s="1"/>
  <c r="BX250" i="12"/>
  <c r="BX259" i="6"/>
  <c r="BX112" i="6"/>
  <c r="BX205" i="6" s="1"/>
  <c r="BX204" i="6" s="1"/>
  <c r="BX122" i="6" s="1"/>
  <c r="BX248" i="6" s="1"/>
  <c r="BX372" i="12"/>
  <c r="BX371" i="12" s="1"/>
  <c r="BX37" i="12"/>
  <c r="BX369" i="12"/>
  <c r="BX408" i="12" s="1"/>
  <c r="BX258" i="6"/>
  <c r="BX249" i="12"/>
  <c r="BX247" i="12"/>
  <c r="BX407" i="12"/>
  <c r="BX147" i="12"/>
  <c r="BX244" i="12" s="1"/>
  <c r="BX376" i="12" s="1"/>
  <c r="BW396" i="12"/>
  <c r="BX177" i="6"/>
  <c r="BX119" i="6"/>
  <c r="BX121" i="6" s="1"/>
  <c r="BX218" i="6" s="1"/>
  <c r="BX217" i="6" s="1"/>
  <c r="BX201" i="6"/>
  <c r="BX200" i="6" s="1"/>
  <c r="BX30" i="6"/>
  <c r="BX247" i="6"/>
  <c r="CA119" i="6"/>
  <c r="CA121" i="6" s="1"/>
  <c r="CA249" i="6" s="1"/>
  <c r="BU422" i="12"/>
  <c r="CB428" i="12" s="1"/>
  <c r="CA287" i="12"/>
  <c r="CA419" i="12" s="1"/>
  <c r="CA279" i="6"/>
  <c r="CA415" i="12"/>
  <c r="CA300" i="6"/>
  <c r="CA420" i="12"/>
  <c r="CA276" i="6"/>
  <c r="CA413" i="12"/>
  <c r="CA244" i="12"/>
  <c r="CA376" i="12" s="1"/>
  <c r="CA363" i="12"/>
  <c r="CA362" i="12" s="1"/>
  <c r="CA404" i="12" s="1"/>
  <c r="BZ119" i="6"/>
  <c r="BZ121" i="6" s="1"/>
  <c r="BZ218" i="6" s="1"/>
  <c r="BZ217" i="6" s="1"/>
  <c r="CA172" i="2"/>
  <c r="CA249" i="2" s="1"/>
  <c r="CA167" i="2"/>
  <c r="CA253" i="2" s="1"/>
  <c r="CA222" i="2"/>
  <c r="CA221" i="2" s="1"/>
  <c r="CA236" i="2" s="1"/>
  <c r="CA235" i="2" s="1"/>
  <c r="CA234" i="2" s="1"/>
  <c r="CA232" i="2" s="1"/>
  <c r="CA306" i="6"/>
  <c r="CA303" i="6" s="1"/>
  <c r="CA256" i="2"/>
  <c r="CA252" i="2"/>
  <c r="CA284" i="6"/>
  <c r="CA281" i="6" s="1"/>
  <c r="CA246" i="12"/>
  <c r="CA256" i="6"/>
  <c r="CA254" i="6" s="1"/>
  <c r="CA253" i="6" s="1"/>
  <c r="CA272" i="6"/>
  <c r="CA122" i="6"/>
  <c r="CA248" i="6" s="1"/>
  <c r="CA236" i="6"/>
  <c r="CA235" i="6" s="1"/>
  <c r="CA234" i="6" s="1"/>
  <c r="CA232" i="6" s="1"/>
  <c r="BW147" i="12"/>
  <c r="BX227" i="2"/>
  <c r="BX225" i="2" s="1"/>
  <c r="BX231" i="2" s="1"/>
  <c r="BX228" i="2" s="1"/>
  <c r="BX25" i="2"/>
  <c r="BV142" i="2"/>
  <c r="BV222" i="2" s="1"/>
  <c r="BV221" i="2" s="1"/>
  <c r="BV236" i="2" s="1"/>
  <c r="BV235" i="2" s="1"/>
  <c r="BV234" i="2" s="1"/>
  <c r="BV232" i="2" s="1"/>
  <c r="BQ199" i="2"/>
  <c r="BQ198" i="2" s="1"/>
  <c r="BR130" i="2"/>
  <c r="BR127" i="2" s="1"/>
  <c r="BR150" i="2"/>
  <c r="BR125" i="2"/>
  <c r="BR126" i="2"/>
  <c r="BR121" i="2" s="1"/>
  <c r="BR104" i="2"/>
  <c r="BR101" i="2" s="1"/>
  <c r="BR151" i="2"/>
  <c r="BR205" i="2"/>
  <c r="BR98" i="2"/>
  <c r="BR114" i="2"/>
  <c r="BR80" i="2"/>
  <c r="BR77" i="2" s="1"/>
  <c r="BQ109" i="2"/>
  <c r="BQ106" i="2" s="1"/>
  <c r="BR109" i="2"/>
  <c r="BR162" i="2"/>
  <c r="BR153" i="2" s="1"/>
  <c r="BR206" i="2"/>
  <c r="BR204" i="2" s="1"/>
  <c r="BR187" i="2"/>
  <c r="BW369" i="12"/>
  <c r="BW408" i="12" s="1"/>
  <c r="BW258" i="6"/>
  <c r="BW199" i="12"/>
  <c r="BW237" i="2"/>
  <c r="BW223" i="2"/>
  <c r="BY306" i="6"/>
  <c r="BY256" i="2"/>
  <c r="BV297" i="12"/>
  <c r="BV414" i="12" s="1"/>
  <c r="BY167" i="2"/>
  <c r="BY253" i="2" s="1"/>
  <c r="BY222" i="2"/>
  <c r="BY221" i="2" s="1"/>
  <c r="BY236" i="2" s="1"/>
  <c r="BY235" i="2" s="1"/>
  <c r="BY234" i="2" s="1"/>
  <c r="BY232" i="2" s="1"/>
  <c r="BX363" i="12"/>
  <c r="BX362" i="12" s="1"/>
  <c r="BZ298" i="6"/>
  <c r="BZ419" i="12"/>
  <c r="BZ279" i="6"/>
  <c r="BZ415" i="12"/>
  <c r="BZ254" i="6"/>
  <c r="BZ253" i="6" s="1"/>
  <c r="BW263" i="6"/>
  <c r="BW260" i="6" s="1"/>
  <c r="BW248" i="2"/>
  <c r="BW145" i="2"/>
  <c r="BW83" i="2"/>
  <c r="BW245" i="2" s="1"/>
  <c r="BZ245" i="2"/>
  <c r="BZ142" i="2"/>
  <c r="BW171" i="2"/>
  <c r="BW307" i="6" s="1"/>
  <c r="BY176" i="2"/>
  <c r="BY285" i="6" s="1"/>
  <c r="BY171" i="2"/>
  <c r="BY307" i="6" s="1"/>
  <c r="BX176" i="2"/>
  <c r="BX285" i="6" s="1"/>
  <c r="BX171" i="2"/>
  <c r="BX307" i="6" s="1"/>
  <c r="BY284" i="6"/>
  <c r="BZ170" i="2"/>
  <c r="BZ175" i="2"/>
  <c r="BZ244" i="12"/>
  <c r="BZ376" i="12" s="1"/>
  <c r="BZ363" i="12"/>
  <c r="BZ362" i="12" s="1"/>
  <c r="BZ404" i="12" s="1"/>
  <c r="BZ290" i="12"/>
  <c r="BZ289" i="12"/>
  <c r="BZ297" i="12"/>
  <c r="BW197" i="6"/>
  <c r="BW196" i="6" s="1"/>
  <c r="BW247" i="6" s="1"/>
  <c r="BW112" i="6"/>
  <c r="BW206" i="6"/>
  <c r="BW237" i="6"/>
  <c r="BZ295" i="12"/>
  <c r="BZ412" i="12" s="1"/>
  <c r="BZ286" i="12"/>
  <c r="BZ418" i="12" s="1"/>
  <c r="BY256" i="6"/>
  <c r="BY246" i="12"/>
  <c r="BX296" i="6"/>
  <c r="BZ122" i="6"/>
  <c r="BZ248" i="6" s="1"/>
  <c r="BZ236" i="6"/>
  <c r="BZ235" i="6" s="1"/>
  <c r="BZ234" i="6" s="1"/>
  <c r="BZ232" i="6" s="1"/>
  <c r="BZ272" i="6"/>
  <c r="BV205" i="6"/>
  <c r="BV204" i="6" s="1"/>
  <c r="BV236" i="6" s="1"/>
  <c r="BV235" i="6" s="1"/>
  <c r="BV234" i="6" s="1"/>
  <c r="BV232" i="6" s="1"/>
  <c r="BV170" i="2"/>
  <c r="BV306" i="6" s="1"/>
  <c r="BV303" i="6" s="1"/>
  <c r="BV284" i="6"/>
  <c r="BV281" i="6" s="1"/>
  <c r="BV252" i="2"/>
  <c r="BV290" i="12"/>
  <c r="BV301" i="6" s="1"/>
  <c r="BV289" i="12"/>
  <c r="BV300" i="6" s="1"/>
  <c r="BV287" i="12"/>
  <c r="BV419" i="12" s="1"/>
  <c r="BV279" i="6"/>
  <c r="BV415" i="12"/>
  <c r="BV276" i="6"/>
  <c r="BV413" i="12"/>
  <c r="BV244" i="12"/>
  <c r="BV376" i="12" s="1"/>
  <c r="BV375" i="12" s="1"/>
  <c r="BV395" i="12" s="1"/>
  <c r="BV394" i="12" s="1"/>
  <c r="BV393" i="12" s="1"/>
  <c r="BV391" i="12" s="1"/>
  <c r="BV363" i="12"/>
  <c r="BV362" i="12" s="1"/>
  <c r="BV404" i="12" s="1"/>
  <c r="BV172" i="2"/>
  <c r="BV249" i="2" s="1"/>
  <c r="BV246" i="12"/>
  <c r="BV256" i="6"/>
  <c r="BV254" i="6" s="1"/>
  <c r="BV253" i="6" s="1"/>
  <c r="BV218" i="6"/>
  <c r="BV217" i="6" s="1"/>
  <c r="BV249" i="6"/>
  <c r="BV294" i="6"/>
  <c r="BU263" i="6"/>
  <c r="BU260" i="6" s="1"/>
  <c r="BU321" i="12"/>
  <c r="BU396" i="12" s="1"/>
  <c r="BU177" i="6"/>
  <c r="BU237" i="2"/>
  <c r="BU6" i="6"/>
  <c r="BU25" i="2"/>
  <c r="BU226" i="2"/>
  <c r="BU225" i="2" s="1"/>
  <c r="BU231" i="2" s="1"/>
  <c r="BU228" i="2" s="1"/>
  <c r="BU407" i="12"/>
  <c r="BU409" i="12"/>
  <c r="BU247" i="12"/>
  <c r="BU296" i="12" s="1"/>
  <c r="BU257" i="6"/>
  <c r="BU250" i="12"/>
  <c r="BU298" i="12" s="1"/>
  <c r="BU259" i="6"/>
  <c r="BU147" i="12"/>
  <c r="BU86" i="12"/>
  <c r="BU139" i="12" s="1"/>
  <c r="BU385" i="12"/>
  <c r="BU258" i="6"/>
  <c r="BU199" i="12"/>
  <c r="BU249" i="12"/>
  <c r="BU408" i="12"/>
  <c r="BU37" i="12"/>
  <c r="BU386" i="12"/>
  <c r="BU112" i="6"/>
  <c r="BU205" i="6" s="1"/>
  <c r="BU204" i="6" s="1"/>
  <c r="BU197" i="6"/>
  <c r="BU196" i="6" s="1"/>
  <c r="BU247" i="6" s="1"/>
  <c r="BU30" i="6"/>
  <c r="BU145" i="2"/>
  <c r="BU175" i="2" s="1"/>
  <c r="BU248" i="2"/>
  <c r="BU89" i="2"/>
  <c r="BU171" i="2"/>
  <c r="BU307" i="6" s="1"/>
  <c r="BU176" i="2"/>
  <c r="BU285" i="6" s="1"/>
  <c r="BU367" i="12"/>
  <c r="BU406" i="12" s="1"/>
  <c r="BU256" i="6"/>
  <c r="BU246" i="12"/>
  <c r="BU225" i="6"/>
  <c r="BU231" i="6" s="1"/>
  <c r="BU228" i="6" s="1"/>
  <c r="BT333" i="12"/>
  <c r="BQ272" i="12"/>
  <c r="BQ238" i="12"/>
  <c r="BT148" i="12"/>
  <c r="BT153" i="12"/>
  <c r="BT92" i="12"/>
  <c r="BT87" i="12"/>
  <c r="BT140" i="12" s="1"/>
  <c r="BQ128" i="12"/>
  <c r="BQ124" i="12" s="1"/>
  <c r="BR124" i="12"/>
  <c r="BS124" i="12"/>
  <c r="AU124" i="12"/>
  <c r="AV124" i="12"/>
  <c r="AW124" i="12"/>
  <c r="AX124" i="12"/>
  <c r="AY124" i="12"/>
  <c r="AZ124" i="12"/>
  <c r="BA124" i="12"/>
  <c r="BB124" i="12"/>
  <c r="BC124" i="12"/>
  <c r="BD124" i="12"/>
  <c r="BE124" i="12"/>
  <c r="BF124" i="12"/>
  <c r="BG124" i="12"/>
  <c r="BH124" i="12"/>
  <c r="BI124" i="12"/>
  <c r="BJ124" i="12"/>
  <c r="BK124" i="12"/>
  <c r="BL124" i="12"/>
  <c r="BM124" i="12"/>
  <c r="BN124" i="12"/>
  <c r="BO124" i="12"/>
  <c r="BP124" i="12"/>
  <c r="AT124" i="12"/>
  <c r="A129" i="12"/>
  <c r="A128" i="12"/>
  <c r="A127" i="12"/>
  <c r="A126" i="12"/>
  <c r="A125" i="12"/>
  <c r="BT146" i="12"/>
  <c r="BQ81" i="12"/>
  <c r="BQ80" i="12"/>
  <c r="BQ79" i="12"/>
  <c r="BQ78" i="12"/>
  <c r="BQ74" i="12"/>
  <c r="BQ73" i="12"/>
  <c r="BQ72" i="12"/>
  <c r="BQ70" i="12"/>
  <c r="BQ68" i="12"/>
  <c r="BQ66" i="12"/>
  <c r="BQ64" i="12"/>
  <c r="BQ63" i="12"/>
  <c r="BQ62" i="12"/>
  <c r="BQ60" i="12"/>
  <c r="BQ59" i="12"/>
  <c r="BQ58" i="12"/>
  <c r="BQ57" i="12"/>
  <c r="BQ56" i="12"/>
  <c r="BQ54" i="12"/>
  <c r="BQ53" i="12"/>
  <c r="BQ50" i="12"/>
  <c r="BQ49" i="12"/>
  <c r="BQ48" i="12"/>
  <c r="BQ47" i="12"/>
  <c r="BQ46" i="12"/>
  <c r="BQ45" i="12"/>
  <c r="BQ44" i="12"/>
  <c r="BQ43" i="12"/>
  <c r="BQ41" i="12"/>
  <c r="BQ40" i="12"/>
  <c r="BQ39" i="12"/>
  <c r="BQ36" i="12"/>
  <c r="BQ35" i="12"/>
  <c r="BQ34" i="12"/>
  <c r="BQ33" i="12"/>
  <c r="BQ29" i="12"/>
  <c r="BQ28" i="12"/>
  <c r="BQ27" i="12"/>
  <c r="BQ26" i="12"/>
  <c r="BQ24" i="12"/>
  <c r="BQ23" i="12"/>
  <c r="BQ22" i="12"/>
  <c r="BQ20" i="12"/>
  <c r="BQ19" i="12"/>
  <c r="BQ14" i="12"/>
  <c r="BQ13" i="12"/>
  <c r="BQ11" i="12"/>
  <c r="BQ10" i="12"/>
  <c r="BQ9" i="12"/>
  <c r="BQ8" i="12"/>
  <c r="BQ195" i="6"/>
  <c r="BQ183" i="6"/>
  <c r="BR176" i="6"/>
  <c r="BR208" i="6" s="1"/>
  <c r="BR170" i="6"/>
  <c r="BR86" i="6"/>
  <c r="BQ78" i="6"/>
  <c r="BQ76" i="6"/>
  <c r="BQ75" i="6"/>
  <c r="BQ70" i="6"/>
  <c r="BQ68" i="6"/>
  <c r="BQ66" i="6"/>
  <c r="BQ65" i="6"/>
  <c r="BQ64" i="6"/>
  <c r="BQ61" i="6"/>
  <c r="BQ60" i="6"/>
  <c r="BQ59" i="6"/>
  <c r="BQ58" i="6"/>
  <c r="BQ57" i="6"/>
  <c r="BQ56" i="6"/>
  <c r="BQ54" i="6"/>
  <c r="BQ53" i="6"/>
  <c r="BQ52" i="6"/>
  <c r="BQ51" i="6"/>
  <c r="BQ50" i="6"/>
  <c r="BQ48" i="6"/>
  <c r="BQ47" i="6"/>
  <c r="BQ43" i="6"/>
  <c r="BQ42" i="6"/>
  <c r="BQ41" i="6"/>
  <c r="BQ40" i="6"/>
  <c r="BQ39" i="6"/>
  <c r="BQ38" i="6"/>
  <c r="BQ37" i="6"/>
  <c r="BQ36" i="6"/>
  <c r="BQ33" i="6"/>
  <c r="BQ32" i="6"/>
  <c r="BQ25" i="6"/>
  <c r="BQ24" i="6"/>
  <c r="BQ22" i="6"/>
  <c r="BQ19" i="6"/>
  <c r="BQ14" i="6"/>
  <c r="BQ13" i="6"/>
  <c r="BQ12" i="6"/>
  <c r="BQ11" i="6"/>
  <c r="BQ10" i="6"/>
  <c r="BQ9" i="6"/>
  <c r="BQ8" i="6"/>
  <c r="BT47" i="16"/>
  <c r="BT7" i="2"/>
  <c r="BT20" i="2"/>
  <c r="BT26" i="2"/>
  <c r="BT40" i="2"/>
  <c r="BT56" i="2"/>
  <c r="BT218" i="2" s="1"/>
  <c r="BT70" i="2"/>
  <c r="BT86" i="2"/>
  <c r="BT88" i="2"/>
  <c r="BT87" i="2"/>
  <c r="BT93" i="2"/>
  <c r="BT94" i="2"/>
  <c r="BT95" i="2"/>
  <c r="BT92" i="2"/>
  <c r="BT101" i="2"/>
  <c r="BT106" i="2"/>
  <c r="BT111" i="2"/>
  <c r="BT118" i="2"/>
  <c r="BT143" i="2" s="1"/>
  <c r="BT119" i="2"/>
  <c r="BT144" i="2" s="1"/>
  <c r="BT121" i="2"/>
  <c r="BT122" i="2"/>
  <c r="BT120" i="2"/>
  <c r="BT127" i="2"/>
  <c r="BT132" i="2"/>
  <c r="BT137" i="2"/>
  <c r="BT211" i="2"/>
  <c r="BT147" i="2"/>
  <c r="BT154" i="2"/>
  <c r="BT153" i="2"/>
  <c r="BT184" i="2"/>
  <c r="BT192" i="2"/>
  <c r="BT198" i="2"/>
  <c r="BT190" i="2"/>
  <c r="BT191" i="2"/>
  <c r="BT238" i="2" s="1"/>
  <c r="BT201" i="2"/>
  <c r="BT204" i="2"/>
  <c r="BT208" i="2"/>
  <c r="BT209" i="2"/>
  <c r="BT210" i="2"/>
  <c r="BT219" i="2"/>
  <c r="BT220" i="2"/>
  <c r="BT229" i="2"/>
  <c r="BT230" i="2"/>
  <c r="BT388" i="12"/>
  <c r="BT85" i="12"/>
  <c r="BT145" i="12"/>
  <c r="BT101" i="12"/>
  <c r="BT200" i="12"/>
  <c r="BT203" i="12"/>
  <c r="BT248" i="12" s="1"/>
  <c r="BT288" i="12" s="1"/>
  <c r="BT299" i="6" s="1"/>
  <c r="BT205" i="12"/>
  <c r="BT206" i="12"/>
  <c r="BT262" i="12"/>
  <c r="BT271" i="12"/>
  <c r="BT324" i="12"/>
  <c r="BT356" i="12"/>
  <c r="BT360" i="12"/>
  <c r="BT374" i="12"/>
  <c r="BT83" i="6"/>
  <c r="BT199" i="6"/>
  <c r="BT203" i="6"/>
  <c r="BT261" i="6"/>
  <c r="BT262" i="6"/>
  <c r="BT274" i="6"/>
  <c r="BQ206" i="2"/>
  <c r="BQ205" i="2"/>
  <c r="BP115" i="2"/>
  <c r="BP110" i="2"/>
  <c r="BP105" i="2"/>
  <c r="BP100" i="2"/>
  <c r="BP81" i="2"/>
  <c r="BP87" i="2" s="1"/>
  <c r="BP75" i="2"/>
  <c r="BP76" i="2"/>
  <c r="BP58" i="2"/>
  <c r="BP59" i="2"/>
  <c r="BP60" i="2"/>
  <c r="BP219" i="2" s="1"/>
  <c r="BP61" i="2"/>
  <c r="BP62" i="2"/>
  <c r="BP43" i="2"/>
  <c r="BP46" i="2"/>
  <c r="BP47" i="2"/>
  <c r="BP48" i="2"/>
  <c r="BP49" i="2"/>
  <c r="BP52" i="2"/>
  <c r="BP53" i="2"/>
  <c r="BP54" i="2"/>
  <c r="BP42" i="2"/>
  <c r="BP41" i="2"/>
  <c r="BP28" i="2"/>
  <c r="BP29" i="2"/>
  <c r="BP30" i="2"/>
  <c r="BP37" i="2"/>
  <c r="BP11" i="2"/>
  <c r="BP14" i="2"/>
  <c r="BP15" i="2"/>
  <c r="BP17" i="2"/>
  <c r="BP18" i="2"/>
  <c r="BP210" i="6"/>
  <c r="BP209" i="6"/>
  <c r="BP101" i="6"/>
  <c r="BP102" i="6"/>
  <c r="BP104" i="6"/>
  <c r="BP88" i="6"/>
  <c r="BP89" i="6"/>
  <c r="BP91" i="6"/>
  <c r="BP92" i="6"/>
  <c r="BP93" i="6"/>
  <c r="BP69" i="6"/>
  <c r="BP72" i="6"/>
  <c r="BP73" i="6"/>
  <c r="BP74" i="6"/>
  <c r="BP77" i="6"/>
  <c r="BP55" i="6"/>
  <c r="BP62" i="6"/>
  <c r="BP63" i="6"/>
  <c r="BP34" i="6"/>
  <c r="BP35" i="6"/>
  <c r="BP44" i="6"/>
  <c r="BP45" i="6"/>
  <c r="BP46" i="6"/>
  <c r="BP15" i="6"/>
  <c r="BP16" i="6"/>
  <c r="BP17" i="6"/>
  <c r="BP18" i="6"/>
  <c r="BP20" i="6"/>
  <c r="BL208" i="6"/>
  <c r="BP381" i="12"/>
  <c r="BP292" i="12"/>
  <c r="BP272" i="12"/>
  <c r="BP259" i="12"/>
  <c r="BP254" i="12"/>
  <c r="BP230" i="12"/>
  <c r="BP227" i="12"/>
  <c r="BP221" i="12"/>
  <c r="BP224" i="12"/>
  <c r="BP218" i="12"/>
  <c r="BP212" i="12"/>
  <c r="BP215" i="12"/>
  <c r="BP209" i="12"/>
  <c r="BP190" i="12"/>
  <c r="BP185" i="12"/>
  <c r="BP182" i="12"/>
  <c r="BP177" i="12"/>
  <c r="BP156" i="12"/>
  <c r="BP137" i="12"/>
  <c r="BP132" i="12"/>
  <c r="BP122" i="12"/>
  <c r="BP117" i="12"/>
  <c r="BP76" i="12"/>
  <c r="BP77" i="12"/>
  <c r="BP61" i="12"/>
  <c r="BP65" i="12"/>
  <c r="BP67" i="12"/>
  <c r="BP69" i="12"/>
  <c r="BP42" i="12"/>
  <c r="BP51" i="12"/>
  <c r="BP52" i="12"/>
  <c r="BP25" i="12"/>
  <c r="BP30" i="12"/>
  <c r="BP32" i="12"/>
  <c r="BP12" i="12"/>
  <c r="BP15" i="12"/>
  <c r="BP16" i="12"/>
  <c r="BP17" i="12"/>
  <c r="BP18" i="12"/>
  <c r="BP34" i="16"/>
  <c r="BQ26" i="16"/>
  <c r="BQ47" i="16"/>
  <c r="BR47" i="16"/>
  <c r="BS210" i="2"/>
  <c r="BS209" i="2"/>
  <c r="BS208" i="2"/>
  <c r="BS191" i="2"/>
  <c r="BS238" i="2" s="1"/>
  <c r="BS190" i="2"/>
  <c r="BS184" i="2"/>
  <c r="BS154" i="2"/>
  <c r="BS153" i="2"/>
  <c r="BQ151" i="2"/>
  <c r="BQ150" i="2"/>
  <c r="BS137" i="2"/>
  <c r="BS127" i="2"/>
  <c r="BQ126" i="2"/>
  <c r="BQ125" i="2"/>
  <c r="BS94" i="2"/>
  <c r="BQ114" i="2"/>
  <c r="BS106" i="2"/>
  <c r="BS101" i="2"/>
  <c r="BS93" i="2"/>
  <c r="BQ98" i="2"/>
  <c r="BQ82" i="2"/>
  <c r="BQ80" i="2"/>
  <c r="BS71" i="2"/>
  <c r="BP66" i="2"/>
  <c r="BP65" i="2"/>
  <c r="BP64" i="2"/>
  <c r="BP63" i="2"/>
  <c r="BP57" i="2"/>
  <c r="BP55" i="2"/>
  <c r="BP50" i="2"/>
  <c r="BP39" i="2"/>
  <c r="BP38" i="2"/>
  <c r="BP36" i="2"/>
  <c r="BP35" i="2"/>
  <c r="BP34" i="2"/>
  <c r="BP33" i="2"/>
  <c r="BP32" i="2"/>
  <c r="BP31" i="2"/>
  <c r="BP27" i="2"/>
  <c r="BS230" i="2"/>
  <c r="BS229" i="2"/>
  <c r="BP22" i="2"/>
  <c r="BP21" i="2"/>
  <c r="BP19" i="2"/>
  <c r="BP16" i="2"/>
  <c r="BP13" i="2"/>
  <c r="BP12" i="2"/>
  <c r="BP10" i="2"/>
  <c r="BP9" i="2"/>
  <c r="BP8" i="2"/>
  <c r="BQ7" i="2"/>
  <c r="BR7" i="2"/>
  <c r="BQ20" i="2"/>
  <c r="BR20" i="2"/>
  <c r="BQ26" i="2"/>
  <c r="BR26" i="2"/>
  <c r="BQ40" i="2"/>
  <c r="BR40" i="2"/>
  <c r="BQ56" i="2"/>
  <c r="BQ218" i="2" s="1"/>
  <c r="BR56" i="2"/>
  <c r="BR218" i="2" s="1"/>
  <c r="BP70" i="2"/>
  <c r="BQ70" i="2"/>
  <c r="BR70" i="2"/>
  <c r="BS70" i="2"/>
  <c r="BR71" i="2"/>
  <c r="BQ87" i="2"/>
  <c r="BR87" i="2"/>
  <c r="BS87" i="2"/>
  <c r="BR88" i="2"/>
  <c r="BR93" i="2"/>
  <c r="BR106" i="2"/>
  <c r="BR94" i="2"/>
  <c r="BP118" i="2"/>
  <c r="BP143" i="2" s="1"/>
  <c r="BQ118" i="2"/>
  <c r="BQ143" i="2" s="1"/>
  <c r="BQ168" i="2" s="1"/>
  <c r="BR118" i="2"/>
  <c r="BR143" i="2" s="1"/>
  <c r="BR168" i="2" s="1"/>
  <c r="BS118" i="2"/>
  <c r="BS143" i="2" s="1"/>
  <c r="BS168" i="2" s="1"/>
  <c r="BP119" i="2"/>
  <c r="BP144" i="2" s="1"/>
  <c r="BQ119" i="2"/>
  <c r="BQ144" i="2" s="1"/>
  <c r="BR119" i="2"/>
  <c r="BR144" i="2" s="1"/>
  <c r="BR169" i="2" s="1"/>
  <c r="BS119" i="2"/>
  <c r="BR132" i="2"/>
  <c r="BR154" i="2"/>
  <c r="BP184" i="2"/>
  <c r="BR184" i="2"/>
  <c r="BP190" i="2"/>
  <c r="BQ190" i="2"/>
  <c r="BR190" i="2"/>
  <c r="BP191" i="2"/>
  <c r="BP238" i="2" s="1"/>
  <c r="BQ191" i="2"/>
  <c r="BQ238" i="2" s="1"/>
  <c r="BR191" i="2"/>
  <c r="BR238" i="2" s="1"/>
  <c r="BP192" i="2"/>
  <c r="BQ192" i="2"/>
  <c r="BR192" i="2"/>
  <c r="BS192" i="2"/>
  <c r="BP198" i="2"/>
  <c r="BR198" i="2"/>
  <c r="BP201" i="2"/>
  <c r="BQ201" i="2"/>
  <c r="BR201" i="2"/>
  <c r="BS201" i="2"/>
  <c r="BS204" i="2"/>
  <c r="BP207" i="2"/>
  <c r="BP224" i="2" s="1"/>
  <c r="BR215" i="2"/>
  <c r="BR216" i="2"/>
  <c r="BQ219" i="2"/>
  <c r="BR219" i="2"/>
  <c r="BS219" i="2"/>
  <c r="BP220" i="2"/>
  <c r="BQ220" i="2"/>
  <c r="BR220" i="2"/>
  <c r="BS220" i="2"/>
  <c r="BQ229" i="2"/>
  <c r="BR229" i="2"/>
  <c r="BQ230" i="2"/>
  <c r="BR230" i="2"/>
  <c r="AZ92" i="12"/>
  <c r="AZ87" i="12"/>
  <c r="AW122" i="12"/>
  <c r="AV115" i="12"/>
  <c r="AV122" i="12"/>
  <c r="AV103" i="12"/>
  <c r="AV104" i="12"/>
  <c r="AV105" i="12"/>
  <c r="AV106" i="12"/>
  <c r="AV102" i="12"/>
  <c r="BP239" i="12"/>
  <c r="BP236" i="12"/>
  <c r="BK239" i="12"/>
  <c r="BK240" i="12"/>
  <c r="BK242" i="12"/>
  <c r="BK236" i="12"/>
  <c r="BJ239" i="12"/>
  <c r="BJ242" i="12"/>
  <c r="BJ236" i="12"/>
  <c r="BI239" i="12"/>
  <c r="BI242" i="12"/>
  <c r="BI236" i="12"/>
  <c r="BD242" i="12"/>
  <c r="BD239" i="12"/>
  <c r="BD236" i="12"/>
  <c r="BC239" i="12"/>
  <c r="BC242" i="12"/>
  <c r="BC236" i="12"/>
  <c r="BB239" i="12"/>
  <c r="BB242" i="12"/>
  <c r="BB236" i="12"/>
  <c r="AW239" i="12"/>
  <c r="AW242" i="12"/>
  <c r="AV239" i="12"/>
  <c r="AV242" i="12"/>
  <c r="AU242" i="12"/>
  <c r="AU238" i="12"/>
  <c r="AU239" i="12"/>
  <c r="AU241" i="12"/>
  <c r="BP354" i="12"/>
  <c r="BP349" i="12"/>
  <c r="BI354" i="12"/>
  <c r="BI349" i="12"/>
  <c r="BB354" i="12"/>
  <c r="BB349" i="12"/>
  <c r="BK354" i="12"/>
  <c r="BK349" i="12"/>
  <c r="BJ354" i="12"/>
  <c r="BJ349" i="12"/>
  <c r="BD354" i="12"/>
  <c r="BD349" i="12"/>
  <c r="BC354" i="12"/>
  <c r="AU351" i="12"/>
  <c r="AU352" i="12"/>
  <c r="AU353" i="12"/>
  <c r="AU354" i="12"/>
  <c r="BW279" i="6" l="1"/>
  <c r="CA375" i="12"/>
  <c r="CA395" i="12" s="1"/>
  <c r="CA394" i="12" s="1"/>
  <c r="CA393" i="12" s="1"/>
  <c r="CA391" i="12" s="1"/>
  <c r="BW290" i="12"/>
  <c r="BW297" i="12"/>
  <c r="BW278" i="6" s="1"/>
  <c r="BX295" i="12"/>
  <c r="BX412" i="12" s="1"/>
  <c r="BY404" i="12"/>
  <c r="CA301" i="6"/>
  <c r="BX294" i="6"/>
  <c r="BX249" i="6"/>
  <c r="BX375" i="12"/>
  <c r="BX395" i="12" s="1"/>
  <c r="BX394" i="12" s="1"/>
  <c r="BX393" i="12" s="1"/>
  <c r="BX391" i="12" s="1"/>
  <c r="BW286" i="12"/>
  <c r="BW418" i="12" s="1"/>
  <c r="BW419" i="12"/>
  <c r="BZ252" i="2"/>
  <c r="BZ172" i="2"/>
  <c r="BZ249" i="2" s="1"/>
  <c r="BW404" i="12"/>
  <c r="CA414" i="12"/>
  <c r="BX272" i="6"/>
  <c r="BX236" i="6"/>
  <c r="BX235" i="6" s="1"/>
  <c r="BX234" i="6" s="1"/>
  <c r="BX232" i="6" s="1"/>
  <c r="BW244" i="12"/>
  <c r="BW376" i="12" s="1"/>
  <c r="BW375" i="12" s="1"/>
  <c r="BW395" i="12" s="1"/>
  <c r="BW394" i="12" s="1"/>
  <c r="BW393" i="12" s="1"/>
  <c r="BW391" i="12" s="1"/>
  <c r="BX404" i="12"/>
  <c r="BW254" i="6"/>
  <c r="BW253" i="6" s="1"/>
  <c r="BW296" i="12"/>
  <c r="BW276" i="6" s="1"/>
  <c r="BY244" i="12"/>
  <c r="BY376" i="12" s="1"/>
  <c r="BY375" i="12" s="1"/>
  <c r="BY395" i="12" s="1"/>
  <c r="BY394" i="12" s="1"/>
  <c r="BY393" i="12" s="1"/>
  <c r="BY391" i="12" s="1"/>
  <c r="BX254" i="6"/>
  <c r="BX253" i="6" s="1"/>
  <c r="BU377" i="12"/>
  <c r="BY254" i="6"/>
  <c r="BY253" i="6" s="1"/>
  <c r="BZ375" i="12"/>
  <c r="BZ395" i="12" s="1"/>
  <c r="BZ394" i="12" s="1"/>
  <c r="BZ393" i="12" s="1"/>
  <c r="BZ391" i="12" s="1"/>
  <c r="BY290" i="12"/>
  <c r="BY298" i="12"/>
  <c r="BY297" i="12"/>
  <c r="BY289" i="12"/>
  <c r="BZ294" i="6"/>
  <c r="BZ249" i="6"/>
  <c r="BY205" i="6"/>
  <c r="BY204" i="6" s="1"/>
  <c r="BY119" i="6"/>
  <c r="BY121" i="6" s="1"/>
  <c r="BX245" i="2"/>
  <c r="BX142" i="2"/>
  <c r="BX170" i="2"/>
  <c r="BX175" i="2"/>
  <c r="BX287" i="12"/>
  <c r="BX296" i="12"/>
  <c r="BX289" i="12"/>
  <c r="BX297" i="12"/>
  <c r="BX298" i="12"/>
  <c r="BX290" i="12"/>
  <c r="CA218" i="6"/>
  <c r="CA217" i="6" s="1"/>
  <c r="CA294" i="6"/>
  <c r="BR92" i="2"/>
  <c r="BR120" i="2"/>
  <c r="BR117" i="2" s="1"/>
  <c r="CA298" i="6"/>
  <c r="CA295" i="12"/>
  <c r="CA412" i="12" s="1"/>
  <c r="CA286" i="12"/>
  <c r="CA418" i="12" s="1"/>
  <c r="BQ204" i="2"/>
  <c r="BP173" i="2"/>
  <c r="BQ147" i="2"/>
  <c r="BP206" i="2"/>
  <c r="BP141" i="2"/>
  <c r="BP137" i="2" s="1"/>
  <c r="BV167" i="2"/>
  <c r="BV253" i="2" s="1"/>
  <c r="BQ116" i="2"/>
  <c r="BQ94" i="2" s="1"/>
  <c r="BQ74" i="2"/>
  <c r="BQ71" i="2" s="1"/>
  <c r="BP205" i="2"/>
  <c r="BT168" i="2"/>
  <c r="BT304" i="6" s="1"/>
  <c r="BT173" i="2"/>
  <c r="BP169" i="2"/>
  <c r="BP174" i="2"/>
  <c r="BQ77" i="2"/>
  <c r="BQ88" i="2"/>
  <c r="BP20" i="2"/>
  <c r="BQ99" i="2"/>
  <c r="BQ93" i="2" s="1"/>
  <c r="BQ163" i="2"/>
  <c r="BQ154" i="2" s="1"/>
  <c r="BQ210" i="2"/>
  <c r="BR210" i="2"/>
  <c r="BR211" i="2"/>
  <c r="BQ104" i="2"/>
  <c r="BQ101" i="2" s="1"/>
  <c r="BS132" i="2"/>
  <c r="BQ136" i="2"/>
  <c r="BQ132" i="2" s="1"/>
  <c r="BP26" i="2"/>
  <c r="BQ209" i="2"/>
  <c r="BR209" i="2"/>
  <c r="BP168" i="2"/>
  <c r="BQ208" i="2"/>
  <c r="BR208" i="2"/>
  <c r="BR86" i="2"/>
  <c r="BR83" i="2" s="1"/>
  <c r="BS121" i="2"/>
  <c r="BQ187" i="2"/>
  <c r="BQ184" i="2" s="1"/>
  <c r="BQ162" i="2"/>
  <c r="BQ153" i="2" s="1"/>
  <c r="BQ130" i="2"/>
  <c r="BQ127" i="2" s="1"/>
  <c r="BR147" i="2"/>
  <c r="BV278" i="6"/>
  <c r="BY303" i="6"/>
  <c r="BX297" i="6"/>
  <c r="BX418" i="12"/>
  <c r="BW142" i="2"/>
  <c r="BZ278" i="6"/>
  <c r="BZ414" i="12"/>
  <c r="BZ222" i="2"/>
  <c r="BZ221" i="2" s="1"/>
  <c r="BZ236" i="2" s="1"/>
  <c r="BZ235" i="2" s="1"/>
  <c r="BZ234" i="2" s="1"/>
  <c r="BZ232" i="2" s="1"/>
  <c r="BZ300" i="6"/>
  <c r="BZ420" i="12"/>
  <c r="BZ301" i="6"/>
  <c r="BZ421" i="12"/>
  <c r="BW420" i="12"/>
  <c r="BZ306" i="6"/>
  <c r="BZ303" i="6" s="1"/>
  <c r="BZ256" i="2"/>
  <c r="BZ167" i="2"/>
  <c r="BZ253" i="2" s="1"/>
  <c r="BW170" i="2"/>
  <c r="BW175" i="2"/>
  <c r="BY172" i="2"/>
  <c r="BY249" i="2" s="1"/>
  <c r="BY281" i="6"/>
  <c r="BX172" i="2"/>
  <c r="BX249" i="2" s="1"/>
  <c r="BZ284" i="6"/>
  <c r="BZ281" i="6" s="1"/>
  <c r="BW414" i="12"/>
  <c r="BW119" i="6"/>
  <c r="BW121" i="6" s="1"/>
  <c r="BW205" i="6"/>
  <c r="BW204" i="6" s="1"/>
  <c r="BZ297" i="6"/>
  <c r="BZ284" i="12"/>
  <c r="BZ416" i="12" s="1"/>
  <c r="BZ293" i="12"/>
  <c r="BZ410" i="12" s="1"/>
  <c r="BZ275" i="6"/>
  <c r="BW275" i="6"/>
  <c r="BY286" i="12"/>
  <c r="BY418" i="12" s="1"/>
  <c r="BY295" i="12"/>
  <c r="BY412" i="12" s="1"/>
  <c r="BX275" i="6"/>
  <c r="BR85" i="6"/>
  <c r="BR100" i="6"/>
  <c r="BR114" i="6"/>
  <c r="BR87" i="6"/>
  <c r="BR103" i="6"/>
  <c r="BR116" i="6"/>
  <c r="BR90" i="6"/>
  <c r="BR105" i="6"/>
  <c r="BR117" i="6"/>
  <c r="BR94" i="6"/>
  <c r="BR106" i="6"/>
  <c r="BR169" i="6"/>
  <c r="BR95" i="6"/>
  <c r="BR107" i="6"/>
  <c r="BR109" i="6"/>
  <c r="BR172" i="6"/>
  <c r="BR98" i="6"/>
  <c r="BR110" i="6"/>
  <c r="BR173" i="6"/>
  <c r="BR99" i="6"/>
  <c r="BR175" i="6" s="1"/>
  <c r="BR111" i="6"/>
  <c r="BV272" i="6"/>
  <c r="BV122" i="6"/>
  <c r="BV248" i="6" s="1"/>
  <c r="BV256" i="2"/>
  <c r="BV421" i="12"/>
  <c r="BV420" i="12"/>
  <c r="BV298" i="6"/>
  <c r="BV295" i="12"/>
  <c r="BV412" i="12" s="1"/>
  <c r="BV286" i="12"/>
  <c r="BV418" i="12" s="1"/>
  <c r="BU244" i="12"/>
  <c r="BU290" i="12"/>
  <c r="BU301" i="6" s="1"/>
  <c r="BT175" i="6"/>
  <c r="BT207" i="6" s="1"/>
  <c r="BU254" i="6"/>
  <c r="BU253" i="6" s="1"/>
  <c r="BT342" i="12"/>
  <c r="BT378" i="12" s="1"/>
  <c r="BU287" i="12"/>
  <c r="BU419" i="12" s="1"/>
  <c r="BT336" i="12"/>
  <c r="BT339" i="12"/>
  <c r="BU363" i="12"/>
  <c r="BU362" i="12" s="1"/>
  <c r="BU384" i="12"/>
  <c r="BU390" i="12" s="1"/>
  <c r="BU387" i="12" s="1"/>
  <c r="BU297" i="12"/>
  <c r="BU414" i="12" s="1"/>
  <c r="BU289" i="12"/>
  <c r="BU300" i="6" s="1"/>
  <c r="BU119" i="6"/>
  <c r="BU121" i="6" s="1"/>
  <c r="BU245" i="2"/>
  <c r="BU142" i="2"/>
  <c r="BU167" i="2" s="1"/>
  <c r="BU170" i="2"/>
  <c r="BU279" i="6"/>
  <c r="BU415" i="12"/>
  <c r="BU276" i="6"/>
  <c r="BU413" i="12"/>
  <c r="BU295" i="12"/>
  <c r="BU286" i="12"/>
  <c r="BU418" i="12" s="1"/>
  <c r="BU122" i="6"/>
  <c r="BU248" i="6" s="1"/>
  <c r="BU236" i="6"/>
  <c r="BU235" i="6" s="1"/>
  <c r="BU234" i="6" s="1"/>
  <c r="BU232" i="6" s="1"/>
  <c r="BU272" i="6"/>
  <c r="BT303" i="12"/>
  <c r="BT302" i="12" s="1"/>
  <c r="BT238" i="6"/>
  <c r="BQ86" i="6"/>
  <c r="BT189" i="6"/>
  <c r="BQ192" i="6"/>
  <c r="BT204" i="12"/>
  <c r="BT230" i="6"/>
  <c r="BQ27" i="6"/>
  <c r="BT208" i="6"/>
  <c r="BT357" i="12"/>
  <c r="BQ180" i="6"/>
  <c r="BT389" i="12"/>
  <c r="BQ31" i="12"/>
  <c r="BT373" i="12"/>
  <c r="BQ75" i="12"/>
  <c r="BT265" i="12"/>
  <c r="BT215" i="2"/>
  <c r="BQ187" i="6"/>
  <c r="BQ215" i="2" s="1"/>
  <c r="BT229" i="6"/>
  <c r="BQ26" i="6"/>
  <c r="BT358" i="12"/>
  <c r="BQ181" i="6"/>
  <c r="BT268" i="12"/>
  <c r="BT359" i="12"/>
  <c r="BQ182" i="6"/>
  <c r="BT202" i="6"/>
  <c r="BQ71" i="6"/>
  <c r="BT168" i="6"/>
  <c r="BT206" i="6" s="1"/>
  <c r="BT216" i="2"/>
  <c r="BQ188" i="6"/>
  <c r="BQ216" i="2" s="1"/>
  <c r="BT425" i="12"/>
  <c r="CA431" i="12" s="1"/>
  <c r="BT170" i="12"/>
  <c r="BT89" i="12"/>
  <c r="BT323" i="12"/>
  <c r="BT397" i="12" s="1"/>
  <c r="BT89" i="2"/>
  <c r="BT91" i="12"/>
  <c r="BT144" i="12" s="1"/>
  <c r="BT192" i="12"/>
  <c r="BT124" i="12"/>
  <c r="BT381" i="12"/>
  <c r="BT208" i="12"/>
  <c r="BT322" i="12"/>
  <c r="BT330" i="12"/>
  <c r="BT184" i="12"/>
  <c r="BT274" i="12"/>
  <c r="BT253" i="12"/>
  <c r="BT235" i="12"/>
  <c r="BT226" i="12"/>
  <c r="BT217" i="12"/>
  <c r="BT201" i="12"/>
  <c r="BT151" i="12"/>
  <c r="BT251" i="12"/>
  <c r="BT291" i="12" s="1"/>
  <c r="BT302" i="6" s="1"/>
  <c r="BT176" i="12"/>
  <c r="BT149" i="12"/>
  <c r="BT152" i="12"/>
  <c r="BT150" i="12"/>
  <c r="BT155" i="12"/>
  <c r="BT171" i="6"/>
  <c r="BT88" i="12"/>
  <c r="BT141" i="12" s="1"/>
  <c r="BT90" i="12"/>
  <c r="BT143" i="12" s="1"/>
  <c r="BT184" i="6"/>
  <c r="AV92" i="12"/>
  <c r="BT21" i="12"/>
  <c r="BT116" i="12"/>
  <c r="BT131" i="12"/>
  <c r="BT348" i="12"/>
  <c r="BT380" i="12" s="1"/>
  <c r="BT163" i="12"/>
  <c r="BT426" i="12"/>
  <c r="CA432" i="12" s="1"/>
  <c r="BT427" i="12"/>
  <c r="CA433" i="12" s="1"/>
  <c r="BT71" i="12"/>
  <c r="BT372" i="12" s="1"/>
  <c r="BT55" i="12"/>
  <c r="BT38" i="12"/>
  <c r="BT7" i="12"/>
  <c r="BT108" i="6"/>
  <c r="BR108" i="6" s="1"/>
  <c r="BT178" i="6"/>
  <c r="BT84" i="6"/>
  <c r="BT96" i="6" s="1"/>
  <c r="BT115" i="6"/>
  <c r="BR115" i="6" s="1"/>
  <c r="BT97" i="6"/>
  <c r="BT67" i="6"/>
  <c r="BT201" i="6" s="1"/>
  <c r="BT49" i="6"/>
  <c r="BT31" i="6"/>
  <c r="BT227" i="6" s="1"/>
  <c r="BT7" i="6"/>
  <c r="BT226" i="6" s="1"/>
  <c r="BT207" i="2"/>
  <c r="BT224" i="2" s="1"/>
  <c r="BT146" i="2"/>
  <c r="BT264" i="6"/>
  <c r="BT6" i="2"/>
  <c r="BT226" i="2"/>
  <c r="BT217" i="2"/>
  <c r="BT117" i="2"/>
  <c r="BT83" i="2"/>
  <c r="BT145" i="2"/>
  <c r="BT175" i="2" s="1"/>
  <c r="BT248" i="2"/>
  <c r="BT263" i="6"/>
  <c r="BT169" i="2"/>
  <c r="BT305" i="6" s="1"/>
  <c r="BT174" i="2"/>
  <c r="BT189" i="2"/>
  <c r="BT25" i="2"/>
  <c r="BT227" i="2"/>
  <c r="BT77" i="2"/>
  <c r="BT161" i="2"/>
  <c r="BT152" i="2" s="1"/>
  <c r="BT71" i="2"/>
  <c r="BT255" i="6"/>
  <c r="BT366" i="12"/>
  <c r="BT245" i="12"/>
  <c r="BT285" i="12" s="1"/>
  <c r="BT327" i="12"/>
  <c r="BT142" i="12"/>
  <c r="BT94" i="12"/>
  <c r="BT202" i="12"/>
  <c r="BT424" i="12"/>
  <c r="CA430" i="12" s="1"/>
  <c r="BT109" i="12"/>
  <c r="BT364" i="12" s="1"/>
  <c r="BT198" i="6"/>
  <c r="BT23" i="6"/>
  <c r="BP56" i="2"/>
  <c r="BP218" i="2" s="1"/>
  <c r="BP217" i="2" s="1"/>
  <c r="BP7" i="2"/>
  <c r="BP24" i="2"/>
  <c r="BP230" i="2" s="1"/>
  <c r="BO199" i="2"/>
  <c r="BP23" i="2"/>
  <c r="BP229" i="2" s="1"/>
  <c r="BP136" i="2"/>
  <c r="BP132" i="2" s="1"/>
  <c r="BO200" i="2"/>
  <c r="BP40" i="2"/>
  <c r="BS211" i="2"/>
  <c r="BS207" i="2" s="1"/>
  <c r="BS224" i="2" s="1"/>
  <c r="BS120" i="2"/>
  <c r="BS198" i="2"/>
  <c r="BS147" i="2"/>
  <c r="BS40" i="2"/>
  <c r="BS77" i="2"/>
  <c r="BR212" i="2"/>
  <c r="BS173" i="2"/>
  <c r="BQ173" i="2"/>
  <c r="BQ189" i="2"/>
  <c r="BQ237" i="2" s="1"/>
  <c r="BP189" i="2"/>
  <c r="BP237" i="2" s="1"/>
  <c r="BQ174" i="2"/>
  <c r="BQ169" i="2"/>
  <c r="BS189" i="2"/>
  <c r="BS237" i="2" s="1"/>
  <c r="BR174" i="2"/>
  <c r="BR173" i="2"/>
  <c r="BR189" i="2"/>
  <c r="BR237" i="2" s="1"/>
  <c r="BS92" i="2"/>
  <c r="BS89" i="2" s="1"/>
  <c r="BS88" i="2"/>
  <c r="BS56" i="2"/>
  <c r="BS218" i="2" s="1"/>
  <c r="BS217" i="2" s="1"/>
  <c r="BS26" i="2"/>
  <c r="BS227" i="2" s="1"/>
  <c r="BS20" i="2"/>
  <c r="BS7" i="2"/>
  <c r="BS226" i="2" s="1"/>
  <c r="BQ25" i="2"/>
  <c r="BQ227" i="2"/>
  <c r="BQ6" i="2"/>
  <c r="BQ226" i="2"/>
  <c r="BR146" i="2"/>
  <c r="BR25" i="2"/>
  <c r="BR227" i="2"/>
  <c r="BR6" i="2"/>
  <c r="BR226" i="2"/>
  <c r="BQ217" i="2"/>
  <c r="BP227" i="2"/>
  <c r="BR217" i="2"/>
  <c r="BR89" i="2"/>
  <c r="BP226" i="2"/>
  <c r="BS95" i="2"/>
  <c r="BR161" i="2"/>
  <c r="BR152" i="2" s="1"/>
  <c r="BR95" i="2"/>
  <c r="BQ95" i="2"/>
  <c r="BS161" i="2"/>
  <c r="BS152" i="2" s="1"/>
  <c r="BS144" i="2"/>
  <c r="BS122" i="2"/>
  <c r="BS111" i="2"/>
  <c r="BS86" i="2"/>
  <c r="BR122" i="2"/>
  <c r="BR111" i="2"/>
  <c r="BQ122" i="2"/>
  <c r="AV241" i="12"/>
  <c r="AV238" i="12"/>
  <c r="BW421" i="12" l="1"/>
  <c r="BW301" i="6"/>
  <c r="BW284" i="12"/>
  <c r="BW416" i="12" s="1"/>
  <c r="BW297" i="6"/>
  <c r="BW295" i="6" s="1"/>
  <c r="BW293" i="12"/>
  <c r="BW410" i="12" s="1"/>
  <c r="BW413" i="12"/>
  <c r="BX284" i="12"/>
  <c r="BX416" i="12" s="1"/>
  <c r="BX293" i="12"/>
  <c r="BX410" i="12" s="1"/>
  <c r="BW273" i="6"/>
  <c r="BY300" i="6"/>
  <c r="BY420" i="12"/>
  <c r="BY278" i="6"/>
  <c r="BY414" i="12"/>
  <c r="BY279" i="6"/>
  <c r="BY415" i="12"/>
  <c r="BY301" i="6"/>
  <c r="BY421" i="12"/>
  <c r="BY218" i="6"/>
  <c r="BY217" i="6" s="1"/>
  <c r="BY249" i="6"/>
  <c r="BY294" i="6"/>
  <c r="BR84" i="6"/>
  <c r="BY122" i="6"/>
  <c r="BY248" i="6" s="1"/>
  <c r="BY272" i="6"/>
  <c r="BY236" i="6"/>
  <c r="BY235" i="6" s="1"/>
  <c r="BY234" i="6" s="1"/>
  <c r="BY232" i="6" s="1"/>
  <c r="BX252" i="2"/>
  <c r="BX284" i="6"/>
  <c r="BX281" i="6" s="1"/>
  <c r="BX256" i="2"/>
  <c r="BX306" i="6"/>
  <c r="BX303" i="6" s="1"/>
  <c r="BX167" i="2"/>
  <c r="BX253" i="2" s="1"/>
  <c r="BX222" i="2"/>
  <c r="BX221" i="2" s="1"/>
  <c r="BX236" i="2" s="1"/>
  <c r="BX235" i="2" s="1"/>
  <c r="BX234" i="2" s="1"/>
  <c r="BX232" i="2" s="1"/>
  <c r="BX301" i="6"/>
  <c r="BX421" i="12"/>
  <c r="BX279" i="6"/>
  <c r="BX415" i="12"/>
  <c r="BX278" i="6"/>
  <c r="BX414" i="12"/>
  <c r="BX300" i="6"/>
  <c r="BX420" i="12"/>
  <c r="BX413" i="12"/>
  <c r="BX276" i="6"/>
  <c r="BX298" i="6"/>
  <c r="BX419" i="12"/>
  <c r="BQ161" i="2"/>
  <c r="BQ152" i="2" s="1"/>
  <c r="BZ273" i="6"/>
  <c r="CA297" i="6"/>
  <c r="CA295" i="6" s="1"/>
  <c r="CA315" i="6" s="1"/>
  <c r="CA284" i="12"/>
  <c r="CA293" i="12"/>
  <c r="CA410" i="12" s="1"/>
  <c r="CA275" i="6"/>
  <c r="CA273" i="6" s="1"/>
  <c r="BQ86" i="2"/>
  <c r="BQ121" i="2"/>
  <c r="BQ146" i="2" s="1"/>
  <c r="BP6" i="2"/>
  <c r="BP25" i="2"/>
  <c r="BQ111" i="2"/>
  <c r="BR248" i="2"/>
  <c r="BP204" i="2"/>
  <c r="BQ211" i="2"/>
  <c r="BQ207" i="2" s="1"/>
  <c r="BQ224" i="2" s="1"/>
  <c r="BR145" i="2"/>
  <c r="BR175" i="2" s="1"/>
  <c r="BQ120" i="2"/>
  <c r="BR207" i="2"/>
  <c r="BR224" i="2" s="1"/>
  <c r="BQ92" i="2"/>
  <c r="BQ89" i="2" s="1"/>
  <c r="BZ295" i="6"/>
  <c r="BZ315" i="6" s="1"/>
  <c r="BW222" i="2"/>
  <c r="BW221" i="2" s="1"/>
  <c r="BW236" i="2" s="1"/>
  <c r="BW235" i="2" s="1"/>
  <c r="BW234" i="2" s="1"/>
  <c r="BW232" i="2" s="1"/>
  <c r="BW167" i="2"/>
  <c r="BW253" i="2" s="1"/>
  <c r="BW252" i="2"/>
  <c r="BW172" i="2"/>
  <c r="BW249" i="2" s="1"/>
  <c r="BW284" i="6"/>
  <c r="BW281" i="6" s="1"/>
  <c r="BW306" i="6"/>
  <c r="BW303" i="6" s="1"/>
  <c r="BW256" i="2"/>
  <c r="BW272" i="6"/>
  <c r="BW122" i="6"/>
  <c r="BW248" i="6" s="1"/>
  <c r="BW236" i="6"/>
  <c r="BW235" i="6" s="1"/>
  <c r="BW234" i="6" s="1"/>
  <c r="BW232" i="6" s="1"/>
  <c r="BW218" i="6"/>
  <c r="BW217" i="6" s="1"/>
  <c r="BW249" i="6"/>
  <c r="BW294" i="6"/>
  <c r="BY293" i="12"/>
  <c r="BY410" i="12" s="1"/>
  <c r="BY275" i="6"/>
  <c r="BY297" i="6"/>
  <c r="BY284" i="12"/>
  <c r="BY416" i="12" s="1"/>
  <c r="BT212" i="2"/>
  <c r="BR142" i="2"/>
  <c r="BR167" i="2" s="1"/>
  <c r="BV293" i="12"/>
  <c r="BV410" i="12" s="1"/>
  <c r="BV275" i="6"/>
  <c r="BV273" i="6" s="1"/>
  <c r="BV297" i="6"/>
  <c r="BV295" i="6" s="1"/>
  <c r="BV315" i="6" s="1"/>
  <c r="BV284" i="12"/>
  <c r="BV416" i="12" s="1"/>
  <c r="BT422" i="12"/>
  <c r="CA428" i="12" s="1"/>
  <c r="BU249" i="6"/>
  <c r="BT177" i="6"/>
  <c r="BU298" i="6"/>
  <c r="BQ212" i="2"/>
  <c r="BT355" i="12"/>
  <c r="BU421" i="12"/>
  <c r="BU278" i="6"/>
  <c r="BT200" i="6"/>
  <c r="BT261" i="12"/>
  <c r="BT199" i="12"/>
  <c r="BU420" i="12"/>
  <c r="BU412" i="12"/>
  <c r="BU293" i="12"/>
  <c r="BU410" i="12" s="1"/>
  <c r="BU294" i="6"/>
  <c r="BU218" i="6"/>
  <c r="BU217" i="6" s="1"/>
  <c r="BU306" i="6"/>
  <c r="BU303" i="6" s="1"/>
  <c r="BU256" i="2"/>
  <c r="BU252" i="2"/>
  <c r="BU284" i="6"/>
  <c r="BU281" i="6" s="1"/>
  <c r="BU172" i="2"/>
  <c r="BU249" i="2" s="1"/>
  <c r="BU222" i="2"/>
  <c r="BU221" i="2" s="1"/>
  <c r="BU236" i="2" s="1"/>
  <c r="BU235" i="2" s="1"/>
  <c r="BU234" i="2" s="1"/>
  <c r="BU232" i="2" s="1"/>
  <c r="BU253" i="2"/>
  <c r="BU297" i="6"/>
  <c r="BU284" i="12"/>
  <c r="BU416" i="12" s="1"/>
  <c r="BU275" i="6"/>
  <c r="BT237" i="6"/>
  <c r="BT371" i="12"/>
  <c r="BT250" i="12"/>
  <c r="BT290" i="12" s="1"/>
  <c r="BT6" i="12"/>
  <c r="BT260" i="6"/>
  <c r="BT225" i="2"/>
  <c r="BT231" i="2" s="1"/>
  <c r="BT228" i="2" s="1"/>
  <c r="BT321" i="12"/>
  <c r="BT396" i="12" s="1"/>
  <c r="BT367" i="12"/>
  <c r="BT406" i="12" s="1"/>
  <c r="BT256" i="6"/>
  <c r="BT249" i="12"/>
  <c r="BT297" i="12" s="1"/>
  <c r="BT147" i="12"/>
  <c r="BT385" i="12"/>
  <c r="BT258" i="6"/>
  <c r="BT369" i="12"/>
  <c r="BT408" i="12" s="1"/>
  <c r="BT370" i="12"/>
  <c r="BT409" i="12" s="1"/>
  <c r="BT259" i="6"/>
  <c r="BT37" i="12"/>
  <c r="BT386" i="12"/>
  <c r="BT112" i="6"/>
  <c r="BT197" i="6"/>
  <c r="BT196" i="6" s="1"/>
  <c r="BT247" i="6" s="1"/>
  <c r="BT30" i="6"/>
  <c r="BT6" i="6"/>
  <c r="BT225" i="6"/>
  <c r="BT231" i="6" s="1"/>
  <c r="BT228" i="6" s="1"/>
  <c r="BT237" i="2"/>
  <c r="BT223" i="2"/>
  <c r="BT171" i="2"/>
  <c r="BT307" i="6" s="1"/>
  <c r="BT176" i="2"/>
  <c r="BT170" i="2"/>
  <c r="BT142" i="2"/>
  <c r="BT245" i="2"/>
  <c r="BT246" i="12"/>
  <c r="BT296" i="6"/>
  <c r="BT368" i="12"/>
  <c r="BT407" i="12" s="1"/>
  <c r="BT257" i="6"/>
  <c r="BT247" i="12"/>
  <c r="BT86" i="12"/>
  <c r="BT139" i="12" s="1"/>
  <c r="BQ223" i="2"/>
  <c r="BS146" i="2"/>
  <c r="BS171" i="2" s="1"/>
  <c r="BS117" i="2"/>
  <c r="BP223" i="2"/>
  <c r="BR223" i="2"/>
  <c r="BS223" i="2"/>
  <c r="BS25" i="2"/>
  <c r="BS6" i="2"/>
  <c r="BS225" i="2"/>
  <c r="BS231" i="2" s="1"/>
  <c r="BS228" i="2" s="1"/>
  <c r="BQ225" i="2"/>
  <c r="BQ231" i="2" s="1"/>
  <c r="BQ228" i="2" s="1"/>
  <c r="BS145" i="2"/>
  <c r="BS83" i="2"/>
  <c r="BS248" i="2"/>
  <c r="BR245" i="2"/>
  <c r="BP225" i="2"/>
  <c r="BP231" i="2" s="1"/>
  <c r="BP228" i="2" s="1"/>
  <c r="BR225" i="2"/>
  <c r="BR231" i="2" s="1"/>
  <c r="BR228" i="2" s="1"/>
  <c r="BR176" i="2"/>
  <c r="BR171" i="2"/>
  <c r="BS174" i="2"/>
  <c r="BS169" i="2"/>
  <c r="AY235" i="12"/>
  <c r="AW236" i="12"/>
  <c r="AW241" i="12"/>
  <c r="AW240" i="12"/>
  <c r="AW238" i="12"/>
  <c r="AW237" i="12"/>
  <c r="BA235" i="12"/>
  <c r="BB241" i="12"/>
  <c r="BB240" i="12"/>
  <c r="BB238" i="12"/>
  <c r="BP238" i="12"/>
  <c r="A293" i="12"/>
  <c r="B293" i="12"/>
  <c r="C293" i="12"/>
  <c r="D293" i="12"/>
  <c r="E293" i="12"/>
  <c r="F293" i="12"/>
  <c r="G293" i="12"/>
  <c r="H293" i="12"/>
  <c r="I293" i="12"/>
  <c r="J293" i="12"/>
  <c r="K293" i="12"/>
  <c r="L293" i="12"/>
  <c r="M293" i="12"/>
  <c r="N293" i="12"/>
  <c r="O293" i="12"/>
  <c r="P293" i="12"/>
  <c r="Q293" i="12"/>
  <c r="R293" i="12"/>
  <c r="S293" i="12"/>
  <c r="T293" i="12"/>
  <c r="U293" i="12"/>
  <c r="V293" i="12"/>
  <c r="W293" i="12"/>
  <c r="X293" i="12"/>
  <c r="Y293" i="12"/>
  <c r="Z293" i="12"/>
  <c r="AA293" i="12"/>
  <c r="AB293" i="12"/>
  <c r="AC293" i="12"/>
  <c r="AD293" i="12"/>
  <c r="AE293" i="12"/>
  <c r="AF293" i="12"/>
  <c r="AJ293" i="12"/>
  <c r="AK293" i="12"/>
  <c r="AL293" i="12"/>
  <c r="A294" i="12"/>
  <c r="A295" i="12"/>
  <c r="A296" i="12"/>
  <c r="A297" i="12"/>
  <c r="A298" i="12"/>
  <c r="AU240" i="12"/>
  <c r="AU236" i="12"/>
  <c r="AT235" i="12"/>
  <c r="BI154" i="12"/>
  <c r="BI207" i="12"/>
  <c r="BI93" i="12"/>
  <c r="BD241" i="12" l="1"/>
  <c r="BY273" i="6"/>
  <c r="BY295" i="6"/>
  <c r="BY315" i="6" s="1"/>
  <c r="BX273" i="6"/>
  <c r="BX295" i="6"/>
  <c r="BX315" i="6" s="1"/>
  <c r="BQ248" i="2"/>
  <c r="BQ145" i="2"/>
  <c r="BQ83" i="2"/>
  <c r="BQ176" i="2"/>
  <c r="BQ171" i="2"/>
  <c r="BQ117" i="2"/>
  <c r="CA416" i="12"/>
  <c r="BR172" i="2"/>
  <c r="BR249" i="2" s="1"/>
  <c r="BR170" i="2"/>
  <c r="BR256" i="2" s="1"/>
  <c r="BW315" i="6"/>
  <c r="BR222" i="2"/>
  <c r="BR221" i="2" s="1"/>
  <c r="BR236" i="2" s="1"/>
  <c r="BR235" i="2" s="1"/>
  <c r="BR234" i="2" s="1"/>
  <c r="BR232" i="2" s="1"/>
  <c r="BU295" i="6"/>
  <c r="BU315" i="6" s="1"/>
  <c r="BU273" i="6"/>
  <c r="BT298" i="12"/>
  <c r="BT415" i="12" s="1"/>
  <c r="BT377" i="12"/>
  <c r="BT285" i="6"/>
  <c r="BT172" i="2"/>
  <c r="BT249" i="2" s="1"/>
  <c r="BT384" i="12"/>
  <c r="BT390" i="12" s="1"/>
  <c r="BT387" i="12" s="1"/>
  <c r="BT289" i="12"/>
  <c r="BT300" i="6" s="1"/>
  <c r="BT244" i="12"/>
  <c r="BT376" i="12" s="1"/>
  <c r="BC238" i="12"/>
  <c r="AG293" i="12"/>
  <c r="BC240" i="12"/>
  <c r="AH293" i="12"/>
  <c r="BD237" i="12"/>
  <c r="BD238" i="12"/>
  <c r="BD240" i="12"/>
  <c r="BT254" i="6"/>
  <c r="BT253" i="6" s="1"/>
  <c r="BT119" i="6"/>
  <c r="BT121" i="6" s="1"/>
  <c r="BT205" i="6"/>
  <c r="BT204" i="6" s="1"/>
  <c r="BT252" i="2"/>
  <c r="BT284" i="6"/>
  <c r="BT306" i="6"/>
  <c r="BT303" i="6" s="1"/>
  <c r="BT256" i="2"/>
  <c r="BT222" i="2"/>
  <c r="BT221" i="2" s="1"/>
  <c r="BT236" i="2" s="1"/>
  <c r="BT235" i="2" s="1"/>
  <c r="BT234" i="2" s="1"/>
  <c r="BT232" i="2" s="1"/>
  <c r="BT167" i="2"/>
  <c r="BT253" i="2" s="1"/>
  <c r="BT296" i="12"/>
  <c r="BT287" i="12"/>
  <c r="BT286" i="12"/>
  <c r="BT295" i="12"/>
  <c r="BT363" i="12"/>
  <c r="BT362" i="12" s="1"/>
  <c r="BT404" i="12" s="1"/>
  <c r="BT414" i="12"/>
  <c r="BT278" i="6"/>
  <c r="BT421" i="12"/>
  <c r="BT301" i="6"/>
  <c r="BS142" i="2"/>
  <c r="BS176" i="2"/>
  <c r="BR253" i="2"/>
  <c r="BQ170" i="2"/>
  <c r="BQ256" i="2" s="1"/>
  <c r="BQ175" i="2"/>
  <c r="BS175" i="2"/>
  <c r="BS252" i="2" s="1"/>
  <c r="BS170" i="2"/>
  <c r="BS256" i="2" s="1"/>
  <c r="BQ142" i="2"/>
  <c r="BQ167" i="2" s="1"/>
  <c r="BQ245" i="2"/>
  <c r="BS245" i="2"/>
  <c r="BR252" i="2"/>
  <c r="BK241" i="12"/>
  <c r="BK237" i="12"/>
  <c r="BK238" i="12"/>
  <c r="BC241" i="12"/>
  <c r="AI293" i="12"/>
  <c r="BB237" i="12"/>
  <c r="BB235" i="12" s="1"/>
  <c r="AU237" i="12"/>
  <c r="AU235" i="12" s="1"/>
  <c r="AV240" i="12"/>
  <c r="AW235" i="12"/>
  <c r="BC237" i="12"/>
  <c r="AV236" i="12"/>
  <c r="AV237" i="12"/>
  <c r="AZ235" i="12"/>
  <c r="BE235" i="12"/>
  <c r="BF235" i="12"/>
  <c r="BG235" i="12"/>
  <c r="BH235" i="12"/>
  <c r="BO235" i="12"/>
  <c r="BN235" i="12"/>
  <c r="BM235" i="12"/>
  <c r="AX235" i="12"/>
  <c r="BT122" i="6" l="1"/>
  <c r="BT248" i="6" s="1"/>
  <c r="BT236" i="6"/>
  <c r="BT235" i="6" s="1"/>
  <c r="BT234" i="6" s="1"/>
  <c r="BT232" i="6" s="1"/>
  <c r="BT272" i="6"/>
  <c r="BT218" i="6"/>
  <c r="BT217" i="6" s="1"/>
  <c r="BR121" i="6"/>
  <c r="BT279" i="6"/>
  <c r="BT375" i="12"/>
  <c r="BT395" i="12" s="1"/>
  <c r="BT394" i="12" s="1"/>
  <c r="BT393" i="12" s="1"/>
  <c r="BT391" i="12" s="1"/>
  <c r="BT293" i="12"/>
  <c r="BT410" i="12" s="1"/>
  <c r="BT281" i="6"/>
  <c r="BT294" i="6"/>
  <c r="BT249" i="6"/>
  <c r="BT420" i="12"/>
  <c r="BC235" i="12"/>
  <c r="BT419" i="12"/>
  <c r="BT298" i="6"/>
  <c r="BT297" i="6"/>
  <c r="BT418" i="12"/>
  <c r="BT284" i="12"/>
  <c r="BT413" i="12"/>
  <c r="BT276" i="6"/>
  <c r="BT412" i="12"/>
  <c r="BT275" i="6"/>
  <c r="BS172" i="2"/>
  <c r="BS249" i="2" s="1"/>
  <c r="BQ252" i="2"/>
  <c r="BQ172" i="2"/>
  <c r="BQ249" i="2" s="1"/>
  <c r="BQ222" i="2"/>
  <c r="BQ221" i="2" s="1"/>
  <c r="BQ236" i="2" s="1"/>
  <c r="BQ235" i="2" s="1"/>
  <c r="BQ234" i="2" s="1"/>
  <c r="BQ232" i="2" s="1"/>
  <c r="BQ253" i="2"/>
  <c r="BS167" i="2"/>
  <c r="BS253" i="2" s="1"/>
  <c r="BS222" i="2"/>
  <c r="BS221" i="2" s="1"/>
  <c r="BS236" i="2" s="1"/>
  <c r="BS235" i="2" s="1"/>
  <c r="BS234" i="2" s="1"/>
  <c r="BS232" i="2" s="1"/>
  <c r="BK235" i="12"/>
  <c r="AV235" i="12"/>
  <c r="BS381" i="12"/>
  <c r="BQ381" i="12" s="1"/>
  <c r="BT416" i="12" l="1"/>
  <c r="BT273" i="6"/>
  <c r="BT295" i="6"/>
  <c r="BT315" i="6" s="1"/>
  <c r="BQ351" i="12"/>
  <c r="BQ353" i="12"/>
  <c r="BQ352" i="12"/>
  <c r="BQ350" i="12"/>
  <c r="BQ347" i="12"/>
  <c r="BQ346" i="12"/>
  <c r="BQ345" i="12"/>
  <c r="BQ341" i="12"/>
  <c r="BQ340" i="12"/>
  <c r="BQ338" i="12"/>
  <c r="BQ337" i="12"/>
  <c r="BQ334" i="12"/>
  <c r="BQ331" i="12"/>
  <c r="BQ328" i="12"/>
  <c r="BQ308" i="12"/>
  <c r="BQ307" i="12"/>
  <c r="BQ305" i="12"/>
  <c r="BQ276" i="12" l="1"/>
  <c r="BQ275" i="12"/>
  <c r="BQ273" i="12"/>
  <c r="BQ271" i="12" s="1"/>
  <c r="BQ269" i="12"/>
  <c r="BQ268" i="12" s="1"/>
  <c r="BQ267" i="12"/>
  <c r="BQ265" i="12" s="1"/>
  <c r="BQ258" i="12"/>
  <c r="BQ257" i="12"/>
  <c r="BQ256" i="12"/>
  <c r="BQ255" i="12"/>
  <c r="BQ232" i="12"/>
  <c r="BQ231" i="12"/>
  <c r="BQ229" i="12"/>
  <c r="BQ228" i="12"/>
  <c r="BQ223" i="12"/>
  <c r="BQ222" i="12"/>
  <c r="BQ220" i="12"/>
  <c r="BQ219" i="12"/>
  <c r="BQ216" i="12"/>
  <c r="BQ207" i="12" s="1"/>
  <c r="BQ214" i="12"/>
  <c r="BQ213" i="12"/>
  <c r="BQ211" i="12"/>
  <c r="BQ210" i="12"/>
  <c r="BQ197" i="12"/>
  <c r="BQ196" i="12"/>
  <c r="BQ195" i="12"/>
  <c r="BQ194" i="12"/>
  <c r="BQ191" i="12"/>
  <c r="BQ189" i="12"/>
  <c r="BQ188" i="12"/>
  <c r="BQ187" i="12"/>
  <c r="BQ186" i="12"/>
  <c r="BQ181" i="12"/>
  <c r="BQ180" i="12"/>
  <c r="BQ179" i="12"/>
  <c r="BQ178" i="12"/>
  <c r="BQ175" i="12"/>
  <c r="BQ174" i="12"/>
  <c r="BQ173" i="12"/>
  <c r="BQ172" i="12"/>
  <c r="BQ168" i="12"/>
  <c r="BQ167" i="12"/>
  <c r="BQ166" i="12"/>
  <c r="BQ165" i="12"/>
  <c r="BQ160" i="12"/>
  <c r="BQ159" i="12"/>
  <c r="BQ158" i="12"/>
  <c r="BQ157" i="12"/>
  <c r="BQ133" i="12"/>
  <c r="BQ136" i="12"/>
  <c r="BQ135" i="12"/>
  <c r="BQ134" i="12"/>
  <c r="BQ121" i="12"/>
  <c r="BQ119" i="12"/>
  <c r="BQ118" i="12"/>
  <c r="BQ114" i="12"/>
  <c r="BQ113" i="12"/>
  <c r="BQ112" i="12"/>
  <c r="BQ111" i="12"/>
  <c r="BP81" i="12"/>
  <c r="BP80" i="12"/>
  <c r="BP79" i="12"/>
  <c r="BP78" i="12"/>
  <c r="BP74" i="12"/>
  <c r="BP73" i="12"/>
  <c r="BP72" i="12"/>
  <c r="BP70" i="12"/>
  <c r="BP68" i="12"/>
  <c r="BP66" i="12"/>
  <c r="BP64" i="12"/>
  <c r="BP63" i="12"/>
  <c r="BP62" i="12"/>
  <c r="BP60" i="12"/>
  <c r="BP59" i="12"/>
  <c r="BP58" i="12"/>
  <c r="BP57" i="12"/>
  <c r="BP56" i="12"/>
  <c r="BP54" i="12"/>
  <c r="BP53" i="12"/>
  <c r="BP50" i="12"/>
  <c r="BP49" i="12"/>
  <c r="BP48" i="12"/>
  <c r="BP47" i="12"/>
  <c r="BP46" i="12"/>
  <c r="BP45" i="12"/>
  <c r="BP44" i="12"/>
  <c r="BP43" i="12"/>
  <c r="BP41" i="12"/>
  <c r="BP40" i="12"/>
  <c r="BP39" i="12"/>
  <c r="BP36" i="12"/>
  <c r="BP35" i="12"/>
  <c r="BP34" i="12"/>
  <c r="BP33" i="12"/>
  <c r="BP29" i="12"/>
  <c r="BP28" i="12"/>
  <c r="BP27" i="12"/>
  <c r="BP26" i="12"/>
  <c r="BP23" i="12"/>
  <c r="BP22" i="12"/>
  <c r="BP20" i="12"/>
  <c r="BP19" i="12"/>
  <c r="BP14" i="12"/>
  <c r="BP13" i="12"/>
  <c r="BP11" i="12"/>
  <c r="BP10" i="12"/>
  <c r="BP9" i="12"/>
  <c r="BP8" i="12"/>
  <c r="BP85" i="12"/>
  <c r="BQ85" i="12"/>
  <c r="BR85" i="12"/>
  <c r="BS85" i="12"/>
  <c r="BP87" i="12"/>
  <c r="BP140" i="12" s="1"/>
  <c r="BQ140" i="12"/>
  <c r="BR87" i="12"/>
  <c r="BR140" i="12" s="1"/>
  <c r="BS140" i="12"/>
  <c r="BP92" i="12"/>
  <c r="BR92" i="12"/>
  <c r="BR94" i="12"/>
  <c r="BR89" i="12"/>
  <c r="BR142" i="12" s="1"/>
  <c r="BR91" i="12"/>
  <c r="BR144" i="12" s="1"/>
  <c r="BP101" i="12"/>
  <c r="BQ101" i="12"/>
  <c r="BR101" i="12"/>
  <c r="BS101" i="12"/>
  <c r="BR109" i="12"/>
  <c r="BR364" i="12" s="1"/>
  <c r="BR116" i="12"/>
  <c r="BR131" i="12"/>
  <c r="BP148" i="12"/>
  <c r="BQ148" i="12"/>
  <c r="BR148" i="12"/>
  <c r="BS148" i="12"/>
  <c r="BP153" i="12"/>
  <c r="BQ153" i="12"/>
  <c r="BR153" i="12"/>
  <c r="BS153" i="12"/>
  <c r="BR155" i="12"/>
  <c r="BR150" i="12"/>
  <c r="BR151" i="12"/>
  <c r="BR152" i="12"/>
  <c r="BR163" i="12"/>
  <c r="BR149" i="12"/>
  <c r="BR176" i="12"/>
  <c r="BR184" i="12"/>
  <c r="BR192" i="12"/>
  <c r="BP200" i="12"/>
  <c r="BQ200" i="12"/>
  <c r="BR200" i="12"/>
  <c r="BS200" i="12"/>
  <c r="BP203" i="12"/>
  <c r="BP248" i="12" s="1"/>
  <c r="BP288" i="12" s="1"/>
  <c r="BQ203" i="12"/>
  <c r="BR203" i="12"/>
  <c r="BR248" i="12" s="1"/>
  <c r="BR288" i="12" s="1"/>
  <c r="BS203" i="12"/>
  <c r="BP206" i="12"/>
  <c r="BQ206" i="12"/>
  <c r="BR206" i="12"/>
  <c r="BS206" i="12"/>
  <c r="BR208" i="12"/>
  <c r="BR204" i="12"/>
  <c r="BR205" i="12"/>
  <c r="BR217" i="12"/>
  <c r="BR226" i="12"/>
  <c r="BR253" i="12"/>
  <c r="BP262" i="12"/>
  <c r="BQ262" i="12"/>
  <c r="BR262" i="12"/>
  <c r="BS262" i="12"/>
  <c r="BR265" i="12"/>
  <c r="BR268" i="12"/>
  <c r="BR271" i="12"/>
  <c r="BR274" i="12"/>
  <c r="BR303" i="12"/>
  <c r="BQ303" i="12"/>
  <c r="BS303" i="12"/>
  <c r="BP324" i="12"/>
  <c r="BQ324" i="12"/>
  <c r="BR324" i="12"/>
  <c r="BS324" i="12"/>
  <c r="BQ327" i="12"/>
  <c r="BR322" i="12"/>
  <c r="BS327" i="12"/>
  <c r="BQ330" i="12"/>
  <c r="BR330" i="12"/>
  <c r="BS330" i="12"/>
  <c r="BQ333" i="12"/>
  <c r="BR333" i="12"/>
  <c r="BS333" i="12"/>
  <c r="BQ336" i="12"/>
  <c r="BR336" i="12"/>
  <c r="BS336" i="12"/>
  <c r="BQ323" i="12"/>
  <c r="BQ397" i="12" s="1"/>
  <c r="BR323" i="12"/>
  <c r="BR397" i="12" s="1"/>
  <c r="BS323" i="12"/>
  <c r="BS397" i="12" s="1"/>
  <c r="BR339" i="12"/>
  <c r="BQ339" i="12"/>
  <c r="BS339" i="12"/>
  <c r="BQ342" i="12"/>
  <c r="BQ378" i="12" s="1"/>
  <c r="BR342" i="12"/>
  <c r="BR378" i="12" s="1"/>
  <c r="BS342" i="12"/>
  <c r="BS378" i="12" s="1"/>
  <c r="BQ348" i="12"/>
  <c r="BQ380" i="12" s="1"/>
  <c r="BR348" i="12"/>
  <c r="BR380" i="12" s="1"/>
  <c r="BS348" i="12"/>
  <c r="BS380" i="12" s="1"/>
  <c r="BP356" i="12"/>
  <c r="BQ356" i="12"/>
  <c r="BR356" i="12"/>
  <c r="BS356" i="12"/>
  <c r="BQ357" i="12"/>
  <c r="BR357" i="12"/>
  <c r="BQ358" i="12"/>
  <c r="BR358" i="12"/>
  <c r="BQ359" i="12"/>
  <c r="BR359" i="12"/>
  <c r="BQ360" i="12"/>
  <c r="BR360" i="12"/>
  <c r="BQ373" i="12"/>
  <c r="BR373" i="12"/>
  <c r="BP374" i="12"/>
  <c r="BQ374" i="12"/>
  <c r="BR374" i="12"/>
  <c r="BS374" i="12"/>
  <c r="BQ388" i="12"/>
  <c r="BR388" i="12"/>
  <c r="BQ389" i="12"/>
  <c r="BR389" i="12"/>
  <c r="BR425" i="12"/>
  <c r="BY431" i="12" s="1"/>
  <c r="BR427" i="12"/>
  <c r="BY433" i="12" s="1"/>
  <c r="BQ7" i="12"/>
  <c r="BQ385" i="12" s="1"/>
  <c r="BR7" i="12"/>
  <c r="BR21" i="12"/>
  <c r="BQ21" i="12"/>
  <c r="BQ38" i="12"/>
  <c r="BQ386" i="12" s="1"/>
  <c r="BR38" i="12"/>
  <c r="BQ55" i="12"/>
  <c r="BR55" i="12"/>
  <c r="BQ71" i="12"/>
  <c r="BR71" i="12"/>
  <c r="BR372" i="12" s="1"/>
  <c r="BQ109" i="12" l="1"/>
  <c r="BQ364" i="12" s="1"/>
  <c r="BQ163" i="12"/>
  <c r="BQ176" i="12"/>
  <c r="BQ274" i="12"/>
  <c r="BQ151" i="12"/>
  <c r="BQ149" i="12"/>
  <c r="BQ150" i="12"/>
  <c r="BQ201" i="12"/>
  <c r="BQ205" i="12"/>
  <c r="BQ152" i="12"/>
  <c r="BQ202" i="12"/>
  <c r="BQ170" i="12"/>
  <c r="BQ184" i="12"/>
  <c r="BQ192" i="12"/>
  <c r="BQ217" i="12"/>
  <c r="BQ253" i="12"/>
  <c r="BQ226" i="12"/>
  <c r="BQ204" i="12"/>
  <c r="BS89" i="12"/>
  <c r="BS142" i="12" s="1"/>
  <c r="BQ97" i="12"/>
  <c r="BP154" i="12"/>
  <c r="BQ154" i="12"/>
  <c r="BQ251" i="12"/>
  <c r="BQ291" i="12" s="1"/>
  <c r="BQ302" i="6" s="1"/>
  <c r="BS90" i="12"/>
  <c r="BS143" i="12" s="1"/>
  <c r="BQ98" i="12"/>
  <c r="BP237" i="12"/>
  <c r="BQ237" i="12"/>
  <c r="BS91" i="12"/>
  <c r="BS144" i="12" s="1"/>
  <c r="BQ99" i="12"/>
  <c r="BP123" i="12"/>
  <c r="BQ123" i="12"/>
  <c r="BQ116" i="12" s="1"/>
  <c r="BP241" i="12"/>
  <c r="BQ241" i="12"/>
  <c r="BS366" i="12"/>
  <c r="BS245" i="12"/>
  <c r="BP240" i="12"/>
  <c r="BQ240" i="12"/>
  <c r="BS248" i="12"/>
  <c r="BS288" i="12" s="1"/>
  <c r="BS299" i="6" s="1"/>
  <c r="BQ366" i="12"/>
  <c r="BQ245" i="12"/>
  <c r="BQ285" i="12" s="1"/>
  <c r="BQ248" i="12"/>
  <c r="BQ288" i="12" s="1"/>
  <c r="BQ299" i="6" s="1"/>
  <c r="BS251" i="12"/>
  <c r="BS291" i="12" s="1"/>
  <c r="BS302" i="6" s="1"/>
  <c r="BS88" i="12"/>
  <c r="BS141" i="12" s="1"/>
  <c r="BQ96" i="12"/>
  <c r="BP138" i="12"/>
  <c r="BQ138" i="12"/>
  <c r="BQ131" i="12" s="1"/>
  <c r="BP93" i="12"/>
  <c r="BQ93" i="12"/>
  <c r="BP21" i="12"/>
  <c r="BP366" i="12"/>
  <c r="BP245" i="12"/>
  <c r="BP285" i="12" s="1"/>
  <c r="BP296" i="6" s="1"/>
  <c r="BP7" i="12"/>
  <c r="BP385" i="12" s="1"/>
  <c r="BP38" i="12"/>
  <c r="BP386" i="12" s="1"/>
  <c r="BP55" i="12"/>
  <c r="BS426" i="12"/>
  <c r="BZ432" i="12" s="1"/>
  <c r="BS268" i="12"/>
  <c r="BS388" i="12"/>
  <c r="BP24" i="12"/>
  <c r="BP388" i="12" s="1"/>
  <c r="BS271" i="12"/>
  <c r="BS389" i="12"/>
  <c r="BP31" i="12"/>
  <c r="BP389" i="12" s="1"/>
  <c r="BS373" i="12"/>
  <c r="BP75" i="12"/>
  <c r="BS427" i="12"/>
  <c r="BZ433" i="12" s="1"/>
  <c r="BS265" i="12"/>
  <c r="BS425" i="12"/>
  <c r="BZ431" i="12" s="1"/>
  <c r="BI237" i="12"/>
  <c r="BJ237" i="12"/>
  <c r="BI238" i="12"/>
  <c r="BJ238" i="12"/>
  <c r="BJ240" i="12"/>
  <c r="BI240" i="12"/>
  <c r="BI241" i="12"/>
  <c r="BJ241" i="12"/>
  <c r="BS321" i="12"/>
  <c r="BL235" i="12"/>
  <c r="BS235" i="12"/>
  <c r="BS274" i="12"/>
  <c r="BR6" i="12"/>
  <c r="BQ37" i="12"/>
  <c r="BR355" i="12"/>
  <c r="BR385" i="12"/>
  <c r="BQ355" i="12"/>
  <c r="BS21" i="12"/>
  <c r="BS192" i="12"/>
  <c r="BS253" i="12"/>
  <c r="BS226" i="12"/>
  <c r="BS202" i="12"/>
  <c r="BS205" i="12"/>
  <c r="BS204" i="12"/>
  <c r="BS217" i="12"/>
  <c r="BS201" i="12"/>
  <c r="BS152" i="12"/>
  <c r="BS184" i="12"/>
  <c r="BS176" i="12"/>
  <c r="BS151" i="12"/>
  <c r="BS170" i="12"/>
  <c r="BS150" i="12"/>
  <c r="BS149" i="12"/>
  <c r="BS163" i="12"/>
  <c r="BS131" i="12"/>
  <c r="BS116" i="12"/>
  <c r="BS109" i="12"/>
  <c r="BS364" i="12" s="1"/>
  <c r="BS94" i="12"/>
  <c r="BS424" i="12"/>
  <c r="BZ430" i="12" s="1"/>
  <c r="BS71" i="12"/>
  <c r="BS372" i="12" s="1"/>
  <c r="BR37" i="12"/>
  <c r="BQ372" i="12"/>
  <c r="BQ371" i="12" s="1"/>
  <c r="BS55" i="12"/>
  <c r="BS38" i="12"/>
  <c r="BS7" i="12"/>
  <c r="BS385" i="12" s="1"/>
  <c r="BS285" i="12"/>
  <c r="BS296" i="6" s="1"/>
  <c r="BR251" i="12"/>
  <c r="BR291" i="12" s="1"/>
  <c r="BR302" i="6" s="1"/>
  <c r="BP251" i="12"/>
  <c r="BP291" i="12" s="1"/>
  <c r="BP302" i="6" s="1"/>
  <c r="BR147" i="12"/>
  <c r="BS274" i="6"/>
  <c r="BQ274" i="6"/>
  <c r="BP274" i="6"/>
  <c r="BR245" i="12"/>
  <c r="BR285" i="12" s="1"/>
  <c r="BR366" i="12"/>
  <c r="BR371" i="12"/>
  <c r="BR386" i="12"/>
  <c r="BQ384" i="12"/>
  <c r="BQ390" i="12" s="1"/>
  <c r="BQ387" i="12" s="1"/>
  <c r="BQ302" i="12"/>
  <c r="BR369" i="12"/>
  <c r="BR408" i="12" s="1"/>
  <c r="BR249" i="12"/>
  <c r="BR289" i="12" s="1"/>
  <c r="BR297" i="12" s="1"/>
  <c r="BR261" i="12"/>
  <c r="BQ261" i="12"/>
  <c r="BR370" i="12"/>
  <c r="BR409" i="12" s="1"/>
  <c r="BR250" i="12"/>
  <c r="BR290" i="12" s="1"/>
  <c r="BR301" i="6" s="1"/>
  <c r="BR368" i="12"/>
  <c r="BR407" i="12" s="1"/>
  <c r="BS302" i="12"/>
  <c r="BS422" i="12"/>
  <c r="BZ428" i="12" s="1"/>
  <c r="BR302" i="12"/>
  <c r="BR422" i="12"/>
  <c r="BY428" i="12" s="1"/>
  <c r="BS322" i="12"/>
  <c r="BS208" i="12"/>
  <c r="BQ322" i="12"/>
  <c r="BQ208" i="12"/>
  <c r="BR201" i="12"/>
  <c r="BR88" i="12"/>
  <c r="BS155" i="12"/>
  <c r="BR426" i="12"/>
  <c r="BY432" i="12" s="1"/>
  <c r="BR424" i="12"/>
  <c r="BY430" i="12" s="1"/>
  <c r="BR327" i="12"/>
  <c r="BR321" i="12" s="1"/>
  <c r="BR202" i="12"/>
  <c r="BR247" i="12" s="1"/>
  <c r="BR287" i="12" s="1"/>
  <c r="BR296" i="12" s="1"/>
  <c r="BR170" i="12"/>
  <c r="BQ321" i="12"/>
  <c r="BQ155" i="12"/>
  <c r="BQ6" i="12"/>
  <c r="BP8" i="6"/>
  <c r="BP9" i="6"/>
  <c r="BP10" i="6"/>
  <c r="BP11" i="6"/>
  <c r="BP12" i="6"/>
  <c r="BP13" i="6"/>
  <c r="BP14" i="6"/>
  <c r="BP19" i="6"/>
  <c r="BP22" i="6"/>
  <c r="BP24" i="6"/>
  <c r="BP25" i="6"/>
  <c r="BP32" i="6"/>
  <c r="BP33" i="6"/>
  <c r="BP36" i="6"/>
  <c r="BP37" i="6"/>
  <c r="BP38" i="6"/>
  <c r="BP39" i="6"/>
  <c r="BP40" i="6"/>
  <c r="BP41" i="6"/>
  <c r="BP42" i="6"/>
  <c r="BP43" i="6"/>
  <c r="BP47" i="6"/>
  <c r="BP48" i="6"/>
  <c r="BP50" i="6"/>
  <c r="BP51" i="6"/>
  <c r="BP52" i="6"/>
  <c r="BP53" i="6"/>
  <c r="BP54" i="6"/>
  <c r="BP56" i="6"/>
  <c r="BP57" i="6"/>
  <c r="BP58" i="6"/>
  <c r="BP59" i="6"/>
  <c r="BP60" i="6"/>
  <c r="BP61" i="6"/>
  <c r="BP64" i="6"/>
  <c r="BP65" i="6"/>
  <c r="BP66" i="6"/>
  <c r="BP68" i="6"/>
  <c r="BP70" i="6"/>
  <c r="BP75" i="6"/>
  <c r="BP76" i="6"/>
  <c r="BP78" i="6"/>
  <c r="BS83" i="6"/>
  <c r="BQ85" i="6"/>
  <c r="BQ87" i="6"/>
  <c r="BQ198" i="6" s="1"/>
  <c r="BQ90" i="6"/>
  <c r="BQ94" i="6"/>
  <c r="BQ95" i="6"/>
  <c r="BQ98" i="6"/>
  <c r="BQ99" i="6"/>
  <c r="BQ175" i="6" s="1"/>
  <c r="BQ207" i="6" s="1"/>
  <c r="BQ100" i="6"/>
  <c r="BQ103" i="6"/>
  <c r="BQ105" i="6"/>
  <c r="BQ106" i="6"/>
  <c r="BQ107" i="6"/>
  <c r="BQ109" i="6"/>
  <c r="BQ110" i="6"/>
  <c r="BQ111" i="6"/>
  <c r="BQ114" i="6"/>
  <c r="BQ116" i="6"/>
  <c r="BQ117" i="6"/>
  <c r="BQ169" i="6"/>
  <c r="BQ170" i="6"/>
  <c r="BQ238" i="6" s="1"/>
  <c r="BQ172" i="6"/>
  <c r="BQ173" i="6"/>
  <c r="BS175" i="6"/>
  <c r="BS207" i="6" s="1"/>
  <c r="BQ176" i="6"/>
  <c r="BQ208" i="6" s="1"/>
  <c r="BP195" i="6"/>
  <c r="BS199" i="6"/>
  <c r="BS203" i="6"/>
  <c r="BS255" i="6"/>
  <c r="BS261" i="6"/>
  <c r="BS262" i="6"/>
  <c r="BS263" i="6"/>
  <c r="BS264" i="6"/>
  <c r="BS284" i="6"/>
  <c r="BS285" i="6"/>
  <c r="BS304" i="6"/>
  <c r="BS305" i="6"/>
  <c r="BS306" i="6"/>
  <c r="BS307" i="6"/>
  <c r="BQ7" i="6"/>
  <c r="BR7" i="6"/>
  <c r="BQ230" i="6"/>
  <c r="BR230" i="6"/>
  <c r="BQ31" i="6"/>
  <c r="BR31" i="6"/>
  <c r="BQ49" i="6"/>
  <c r="BR49" i="6"/>
  <c r="BQ67" i="6"/>
  <c r="BQ201" i="6" s="1"/>
  <c r="BR67" i="6"/>
  <c r="BR201" i="6" s="1"/>
  <c r="BQ83" i="6"/>
  <c r="BR83" i="6"/>
  <c r="BR96" i="6"/>
  <c r="BR97" i="6"/>
  <c r="BR168" i="6"/>
  <c r="BR206" i="6" s="1"/>
  <c r="BR171" i="6"/>
  <c r="BR207" i="6"/>
  <c r="BQ184" i="6"/>
  <c r="BQ189" i="6"/>
  <c r="BR189" i="6"/>
  <c r="BQ199" i="6"/>
  <c r="BR199" i="6"/>
  <c r="BQ202" i="6"/>
  <c r="BR202" i="6"/>
  <c r="BQ203" i="6"/>
  <c r="BR203" i="6"/>
  <c r="BQ229" i="6"/>
  <c r="BR229" i="6"/>
  <c r="BR238" i="6"/>
  <c r="BQ255" i="6"/>
  <c r="BR255" i="6"/>
  <c r="BR257" i="6"/>
  <c r="BR258" i="6"/>
  <c r="BR259" i="6"/>
  <c r="BQ261" i="6"/>
  <c r="BR261" i="6"/>
  <c r="BQ262" i="6"/>
  <c r="BR262" i="6"/>
  <c r="BQ263" i="6"/>
  <c r="BR263" i="6"/>
  <c r="BQ264" i="6"/>
  <c r="BR264" i="6"/>
  <c r="BQ284" i="6"/>
  <c r="BR284" i="6"/>
  <c r="BQ285" i="6"/>
  <c r="BR285" i="6"/>
  <c r="BR299" i="6"/>
  <c r="BQ304" i="6"/>
  <c r="BR304" i="6"/>
  <c r="BQ305" i="6"/>
  <c r="BR305" i="6"/>
  <c r="BQ306" i="6"/>
  <c r="BR306" i="6"/>
  <c r="BQ307" i="6"/>
  <c r="BR307" i="6"/>
  <c r="BP83" i="6"/>
  <c r="BP199" i="6"/>
  <c r="BP203" i="6"/>
  <c r="BP255" i="6"/>
  <c r="BP261" i="6"/>
  <c r="BP262" i="6"/>
  <c r="BP299" i="6"/>
  <c r="BP304" i="6"/>
  <c r="BP305" i="6"/>
  <c r="BP26" i="16"/>
  <c r="BP163" i="2"/>
  <c r="BP154" i="2" s="1"/>
  <c r="BP162" i="2"/>
  <c r="BP151" i="2"/>
  <c r="BP150" i="2"/>
  <c r="BP130" i="2"/>
  <c r="BP127" i="2" s="1"/>
  <c r="BP126" i="2"/>
  <c r="BP121" i="2" s="1"/>
  <c r="BP125" i="2"/>
  <c r="BP116" i="2"/>
  <c r="BP114" i="2"/>
  <c r="BP109" i="2"/>
  <c r="BP106" i="2" s="1"/>
  <c r="BP104" i="2"/>
  <c r="BP101" i="2" s="1"/>
  <c r="BP99" i="2"/>
  <c r="BP93" i="2" s="1"/>
  <c r="BP98" i="2"/>
  <c r="BP82" i="2"/>
  <c r="BP80" i="2"/>
  <c r="BP74" i="2"/>
  <c r="BQ199" i="12" l="1"/>
  <c r="BQ147" i="12"/>
  <c r="BQ171" i="6"/>
  <c r="BQ168" i="6"/>
  <c r="BQ237" i="6" s="1"/>
  <c r="BQ97" i="6"/>
  <c r="BQ108" i="6"/>
  <c r="BP6" i="12"/>
  <c r="BP235" i="12"/>
  <c r="BQ84" i="6"/>
  <c r="BQ96" i="6" s="1"/>
  <c r="BQ197" i="6" s="1"/>
  <c r="BQ196" i="6" s="1"/>
  <c r="BQ115" i="6"/>
  <c r="BP147" i="2"/>
  <c r="BS257" i="6"/>
  <c r="BS247" i="12"/>
  <c r="BS296" i="12" s="1"/>
  <c r="BQ90" i="12"/>
  <c r="BQ143" i="12" s="1"/>
  <c r="BQ426" i="12"/>
  <c r="BX432" i="12" s="1"/>
  <c r="BQ422" i="12"/>
  <c r="BX428" i="12" s="1"/>
  <c r="BQ88" i="12"/>
  <c r="BQ141" i="12" s="1"/>
  <c r="BQ246" i="12" s="1"/>
  <c r="BQ295" i="12" s="1"/>
  <c r="BQ424" i="12"/>
  <c r="BX430" i="12" s="1"/>
  <c r="BQ94" i="12"/>
  <c r="BS256" i="6"/>
  <c r="BS246" i="12"/>
  <c r="BS295" i="12" s="1"/>
  <c r="BS259" i="6"/>
  <c r="BS250" i="12"/>
  <c r="BS298" i="12" s="1"/>
  <c r="BQ91" i="12"/>
  <c r="BQ144" i="12" s="1"/>
  <c r="BQ427" i="12"/>
  <c r="BX433" i="12" s="1"/>
  <c r="BQ89" i="12"/>
  <c r="BQ142" i="12" s="1"/>
  <c r="BQ425" i="12"/>
  <c r="BX431" i="12" s="1"/>
  <c r="BS369" i="12"/>
  <c r="BS249" i="12"/>
  <c r="BS297" i="12" s="1"/>
  <c r="BQ235" i="12"/>
  <c r="BQ296" i="6"/>
  <c r="BP384" i="12"/>
  <c r="BP390" i="12" s="1"/>
  <c r="BP387" i="12" s="1"/>
  <c r="BI235" i="12"/>
  <c r="BP153" i="2"/>
  <c r="BP161" i="2"/>
  <c r="BP152" i="2" s="1"/>
  <c r="BP88" i="2"/>
  <c r="BP77" i="2"/>
  <c r="BP95" i="2"/>
  <c r="BP92" i="2"/>
  <c r="BP86" i="2"/>
  <c r="BP71" i="2"/>
  <c r="BP94" i="2"/>
  <c r="BP111" i="2"/>
  <c r="BP122" i="2"/>
  <c r="BP120" i="2"/>
  <c r="BP117" i="2" s="1"/>
  <c r="BP373" i="12"/>
  <c r="BP71" i="12"/>
  <c r="BS371" i="12"/>
  <c r="BS261" i="12"/>
  <c r="BS215" i="2"/>
  <c r="BP187" i="6"/>
  <c r="BP215" i="2" s="1"/>
  <c r="BS360" i="12"/>
  <c r="BP183" i="6"/>
  <c r="BP360" i="12" s="1"/>
  <c r="BS238" i="6"/>
  <c r="BS202" i="6"/>
  <c r="BP71" i="6"/>
  <c r="BP202" i="6" s="1"/>
  <c r="BS359" i="12"/>
  <c r="BP182" i="6"/>
  <c r="BP359" i="12" s="1"/>
  <c r="BS358" i="12"/>
  <c r="BP181" i="6"/>
  <c r="BP358" i="12" s="1"/>
  <c r="BS198" i="6"/>
  <c r="BS357" i="12"/>
  <c r="BP180" i="6"/>
  <c r="BP357" i="12" s="1"/>
  <c r="BS208" i="6"/>
  <c r="BS189" i="6"/>
  <c r="BP192" i="6"/>
  <c r="BP189" i="6" s="1"/>
  <c r="BS230" i="6"/>
  <c r="BP27" i="6"/>
  <c r="BP230" i="6" s="1"/>
  <c r="BS216" i="2"/>
  <c r="BS229" i="6"/>
  <c r="BP26" i="6"/>
  <c r="BP229" i="6" s="1"/>
  <c r="BJ235" i="12"/>
  <c r="BS281" i="6"/>
  <c r="BR298" i="12"/>
  <c r="BS171" i="6"/>
  <c r="BS370" i="12"/>
  <c r="BS409" i="12" s="1"/>
  <c r="BR384" i="12"/>
  <c r="BR390" i="12" s="1"/>
  <c r="BR387" i="12" s="1"/>
  <c r="BS258" i="6"/>
  <c r="BR420" i="12"/>
  <c r="BS408" i="12"/>
  <c r="BS199" i="12"/>
  <c r="BS147" i="12"/>
  <c r="BS368" i="12"/>
  <c r="BS407" i="12" s="1"/>
  <c r="BS115" i="6"/>
  <c r="BS37" i="12"/>
  <c r="BS386" i="12"/>
  <c r="BS384" i="12" s="1"/>
  <c r="BS390" i="12" s="1"/>
  <c r="BS387" i="12" s="1"/>
  <c r="BS6" i="12"/>
  <c r="BR199" i="12"/>
  <c r="BR413" i="12"/>
  <c r="BR300" i="6"/>
  <c r="BR421" i="12"/>
  <c r="BS86" i="12"/>
  <c r="BR414" i="12"/>
  <c r="BR419" i="12"/>
  <c r="BR274" i="6"/>
  <c r="BR396" i="12"/>
  <c r="BR377" i="12"/>
  <c r="BR298" i="6"/>
  <c r="BR276" i="6"/>
  <c r="BR86" i="12"/>
  <c r="BR139" i="12" s="1"/>
  <c r="BR141" i="12"/>
  <c r="BR296" i="6"/>
  <c r="BQ396" i="12"/>
  <c r="BQ377" i="12"/>
  <c r="BS396" i="12"/>
  <c r="BS377" i="12"/>
  <c r="BS367" i="12"/>
  <c r="BS406" i="12" s="1"/>
  <c r="BQ303" i="6"/>
  <c r="BS260" i="6"/>
  <c r="BS168" i="6"/>
  <c r="BS237" i="6" s="1"/>
  <c r="BR237" i="6"/>
  <c r="BS23" i="6"/>
  <c r="BR303" i="6"/>
  <c r="BR281" i="6"/>
  <c r="BQ281" i="6"/>
  <c r="BS178" i="6"/>
  <c r="BS67" i="6"/>
  <c r="BS201" i="6" s="1"/>
  <c r="BS49" i="6"/>
  <c r="BS184" i="6"/>
  <c r="BQ260" i="6"/>
  <c r="BS84" i="6"/>
  <c r="BS96" i="6" s="1"/>
  <c r="BS197" i="6" s="1"/>
  <c r="BS196" i="6" s="1"/>
  <c r="BS31" i="6"/>
  <c r="BS227" i="6" s="1"/>
  <c r="BR184" i="6"/>
  <c r="BS97" i="6"/>
  <c r="BS108" i="6"/>
  <c r="BR178" i="6"/>
  <c r="BS303" i="6"/>
  <c r="BQ178" i="6"/>
  <c r="BQ177" i="6" s="1"/>
  <c r="BR260" i="6"/>
  <c r="BS7" i="6"/>
  <c r="BS226" i="6" s="1"/>
  <c r="BR112" i="6"/>
  <c r="BR197" i="6"/>
  <c r="BR200" i="6"/>
  <c r="BR30" i="6"/>
  <c r="BR227" i="6"/>
  <c r="BQ30" i="6"/>
  <c r="BQ227" i="6"/>
  <c r="BQ200" i="6"/>
  <c r="BR226" i="6"/>
  <c r="BQ226" i="6"/>
  <c r="BR198" i="6"/>
  <c r="BR23" i="6"/>
  <c r="BR6" i="6" s="1"/>
  <c r="BQ23" i="6"/>
  <c r="BQ6" i="6" s="1"/>
  <c r="BP49" i="6"/>
  <c r="BP31" i="6"/>
  <c r="BP7" i="6"/>
  <c r="BP226" i="6" s="1"/>
  <c r="BO230" i="2"/>
  <c r="BO229" i="2"/>
  <c r="BP337" i="12"/>
  <c r="BP353" i="12"/>
  <c r="BP352" i="12"/>
  <c r="BP351" i="12"/>
  <c r="BP350" i="12"/>
  <c r="BP347" i="12"/>
  <c r="BP346" i="12"/>
  <c r="BP345" i="12"/>
  <c r="BP341" i="12"/>
  <c r="BP340" i="12"/>
  <c r="BP331" i="12"/>
  <c r="BP330" i="12" s="1"/>
  <c r="BP328" i="12"/>
  <c r="BP308" i="12"/>
  <c r="BP307" i="12"/>
  <c r="BP306" i="12"/>
  <c r="BP305" i="12"/>
  <c r="BP276" i="12"/>
  <c r="BP275" i="12"/>
  <c r="BP269" i="12"/>
  <c r="BP268" i="12" s="1"/>
  <c r="BP258" i="12"/>
  <c r="BP257" i="12"/>
  <c r="BP256" i="12"/>
  <c r="BP255" i="12"/>
  <c r="BP232" i="12"/>
  <c r="BP231" i="12"/>
  <c r="BP229" i="12"/>
  <c r="BP228" i="12"/>
  <c r="BP223" i="12"/>
  <c r="BP222" i="12"/>
  <c r="BP220" i="12"/>
  <c r="BP219" i="12"/>
  <c r="BP216" i="12"/>
  <c r="BP207" i="12" s="1"/>
  <c r="BP214" i="12"/>
  <c r="BP213" i="12"/>
  <c r="BP211" i="12"/>
  <c r="BP210" i="12"/>
  <c r="BP197" i="12"/>
  <c r="BP196" i="12"/>
  <c r="BP195" i="12"/>
  <c r="BP194" i="12"/>
  <c r="BP191" i="12"/>
  <c r="BP189" i="12"/>
  <c r="BP188" i="12"/>
  <c r="BP187" i="12"/>
  <c r="BP186" i="12"/>
  <c r="BP181" i="12"/>
  <c r="BP180" i="12"/>
  <c r="BP179" i="12"/>
  <c r="BP178" i="12"/>
  <c r="BP175" i="12"/>
  <c r="BP174" i="12"/>
  <c r="BP173" i="12"/>
  <c r="BP172" i="12"/>
  <c r="BP168" i="12"/>
  <c r="BP167" i="12"/>
  <c r="BP166" i="12"/>
  <c r="BP165" i="12"/>
  <c r="BP160" i="12"/>
  <c r="BP159" i="12"/>
  <c r="BP158" i="12"/>
  <c r="BP157" i="12"/>
  <c r="BP136" i="12"/>
  <c r="BP135" i="12"/>
  <c r="BP134" i="12"/>
  <c r="BP133" i="12"/>
  <c r="BP121" i="12"/>
  <c r="BP120" i="12"/>
  <c r="BP119" i="12"/>
  <c r="BP118" i="12"/>
  <c r="BP114" i="12"/>
  <c r="BP113" i="12"/>
  <c r="BP112" i="12"/>
  <c r="BP111" i="12"/>
  <c r="BP99" i="12"/>
  <c r="BP98" i="12"/>
  <c r="BP97" i="12"/>
  <c r="BP96" i="12"/>
  <c r="BO373" i="12"/>
  <c r="BO389" i="12"/>
  <c r="BO388" i="12"/>
  <c r="BO189" i="6"/>
  <c r="BO216" i="2"/>
  <c r="BO215" i="2"/>
  <c r="BO360" i="12"/>
  <c r="BO359" i="12"/>
  <c r="BO358" i="12"/>
  <c r="BO357" i="12"/>
  <c r="BO208" i="6"/>
  <c r="BP173" i="6"/>
  <c r="BP172" i="6"/>
  <c r="BP170" i="6"/>
  <c r="BP238" i="6" s="1"/>
  <c r="BP169" i="6"/>
  <c r="BP117" i="6"/>
  <c r="BP116" i="6"/>
  <c r="BP114" i="6"/>
  <c r="BP111" i="6"/>
  <c r="BP110" i="6"/>
  <c r="BP107" i="6"/>
  <c r="BP106" i="6"/>
  <c r="BP105" i="6"/>
  <c r="BP103" i="6"/>
  <c r="BP100" i="6"/>
  <c r="BO175" i="6"/>
  <c r="BO207" i="6" s="1"/>
  <c r="BP98" i="6"/>
  <c r="BP95" i="6"/>
  <c r="BP94" i="6"/>
  <c r="BP90" i="6"/>
  <c r="BO198" i="6"/>
  <c r="BP85" i="6"/>
  <c r="BO202" i="6"/>
  <c r="BO230" i="6"/>
  <c r="BO229" i="6"/>
  <c r="BO47" i="16"/>
  <c r="BO70" i="2"/>
  <c r="BO71" i="2"/>
  <c r="BO86" i="2"/>
  <c r="BO77" i="2"/>
  <c r="BO87" i="2"/>
  <c r="BO88" i="2"/>
  <c r="BO93" i="2"/>
  <c r="BO94" i="2"/>
  <c r="BO95" i="2"/>
  <c r="BO101" i="2"/>
  <c r="BO92" i="2"/>
  <c r="BO106" i="2"/>
  <c r="BO111" i="2"/>
  <c r="BO118" i="2"/>
  <c r="BO143" i="2" s="1"/>
  <c r="BO119" i="2"/>
  <c r="BO144" i="2" s="1"/>
  <c r="BO169" i="2" s="1"/>
  <c r="BO305" i="6" s="1"/>
  <c r="BO121" i="2"/>
  <c r="BO122" i="2"/>
  <c r="BO127" i="2"/>
  <c r="BO132" i="2"/>
  <c r="BO147" i="2"/>
  <c r="BO153" i="2"/>
  <c r="BO154" i="2"/>
  <c r="BO161" i="2"/>
  <c r="BO164" i="2"/>
  <c r="BO184" i="2"/>
  <c r="BO192" i="2"/>
  <c r="BO190" i="2"/>
  <c r="BO191" i="2"/>
  <c r="BO238" i="2" s="1"/>
  <c r="BO201" i="2"/>
  <c r="BO204" i="2"/>
  <c r="BO207" i="2"/>
  <c r="BO224" i="2" s="1"/>
  <c r="BO219" i="2"/>
  <c r="BO220" i="2"/>
  <c r="BO85" i="12"/>
  <c r="BO87" i="12"/>
  <c r="BO140" i="12" s="1"/>
  <c r="BO92" i="12"/>
  <c r="BO101" i="12"/>
  <c r="BO148" i="12"/>
  <c r="BO153" i="12"/>
  <c r="BO200" i="12"/>
  <c r="BO203" i="12"/>
  <c r="BO248" i="12" s="1"/>
  <c r="BO288" i="12" s="1"/>
  <c r="BO299" i="6" s="1"/>
  <c r="BO206" i="12"/>
  <c r="BO262" i="12"/>
  <c r="BO268" i="12"/>
  <c r="BO324" i="12"/>
  <c r="BO356" i="12"/>
  <c r="BO374" i="12"/>
  <c r="BO199" i="6"/>
  <c r="BO203" i="6"/>
  <c r="BO261" i="6"/>
  <c r="BO262" i="6"/>
  <c r="BO83" i="6"/>
  <c r="BK202" i="2"/>
  <c r="BK188" i="2"/>
  <c r="BK110" i="2"/>
  <c r="BK115" i="2"/>
  <c r="BK105" i="2"/>
  <c r="BK100" i="2"/>
  <c r="BK81" i="2"/>
  <c r="BK75" i="2"/>
  <c r="BK76" i="2"/>
  <c r="BK59" i="2"/>
  <c r="BK60" i="2"/>
  <c r="BK61" i="2"/>
  <c r="BK62" i="2"/>
  <c r="BK58" i="2"/>
  <c r="BK43" i="2"/>
  <c r="BK46" i="2"/>
  <c r="BK47" i="2"/>
  <c r="BK48" i="2"/>
  <c r="BK49" i="2"/>
  <c r="BK52" i="2"/>
  <c r="BK53" i="2"/>
  <c r="BK54" i="2"/>
  <c r="BK42" i="2"/>
  <c r="BK28" i="2"/>
  <c r="BK29" i="2"/>
  <c r="BK30" i="2"/>
  <c r="BK37" i="2"/>
  <c r="BK11" i="2"/>
  <c r="BK14" i="2"/>
  <c r="BK15" i="2"/>
  <c r="BK17" i="2"/>
  <c r="BK18" i="2"/>
  <c r="BK292" i="12"/>
  <c r="BK259" i="12"/>
  <c r="BK93" i="12"/>
  <c r="BK154" i="12"/>
  <c r="BK207" i="12"/>
  <c r="BK230" i="12"/>
  <c r="BK224" i="12"/>
  <c r="BK221" i="12"/>
  <c r="BK215" i="12"/>
  <c r="BK212" i="12"/>
  <c r="BK190" i="12"/>
  <c r="BK182" i="12"/>
  <c r="BK137" i="12"/>
  <c r="BK122" i="12"/>
  <c r="BK117" i="12"/>
  <c r="BK76" i="12"/>
  <c r="BK77" i="12"/>
  <c r="BK61" i="12"/>
  <c r="BK65" i="12"/>
  <c r="BK67" i="12"/>
  <c r="BK69" i="12"/>
  <c r="BK42" i="12"/>
  <c r="BK51" i="12"/>
  <c r="BK52" i="12"/>
  <c r="BK32" i="12"/>
  <c r="BK30" i="12"/>
  <c r="BK25" i="12"/>
  <c r="BK12" i="12"/>
  <c r="BK15" i="12"/>
  <c r="BK16" i="12"/>
  <c r="BK17" i="12"/>
  <c r="BK18" i="12"/>
  <c r="BS247" i="6" l="1"/>
  <c r="BS200" i="6"/>
  <c r="BQ247" i="6"/>
  <c r="BQ367" i="12"/>
  <c r="BQ406" i="12" s="1"/>
  <c r="BQ286" i="12"/>
  <c r="BQ297" i="6" s="1"/>
  <c r="BQ206" i="6"/>
  <c r="BS254" i="6"/>
  <c r="BS253" i="6" s="1"/>
  <c r="BQ112" i="6"/>
  <c r="BQ119" i="6" s="1"/>
  <c r="BP89" i="2"/>
  <c r="BP168" i="6"/>
  <c r="BP206" i="6" s="1"/>
  <c r="BR177" i="6"/>
  <c r="BQ256" i="6"/>
  <c r="BQ86" i="12"/>
  <c r="BQ139" i="12" s="1"/>
  <c r="BQ247" i="12"/>
  <c r="BQ257" i="6"/>
  <c r="BQ368" i="12"/>
  <c r="BQ407" i="12" s="1"/>
  <c r="BQ250" i="12"/>
  <c r="BQ370" i="12"/>
  <c r="BQ409" i="12" s="1"/>
  <c r="BQ259" i="6"/>
  <c r="BQ249" i="12"/>
  <c r="BQ369" i="12"/>
  <c r="BQ408" i="12" s="1"/>
  <c r="BQ258" i="6"/>
  <c r="BS293" i="12"/>
  <c r="BP90" i="12"/>
  <c r="BP143" i="12" s="1"/>
  <c r="BP369" i="12" s="1"/>
  <c r="BS139" i="12"/>
  <c r="BP151" i="12"/>
  <c r="BP152" i="12"/>
  <c r="BP204" i="12"/>
  <c r="BP202" i="12"/>
  <c r="BO330" i="12"/>
  <c r="BP425" i="12"/>
  <c r="BW431" i="12" s="1"/>
  <c r="BP170" i="12"/>
  <c r="BP184" i="12"/>
  <c r="BP253" i="12"/>
  <c r="BP116" i="12"/>
  <c r="BP192" i="12"/>
  <c r="BP274" i="12"/>
  <c r="BP342" i="12"/>
  <c r="BP378" i="12" s="1"/>
  <c r="BP303" i="12"/>
  <c r="BP302" i="12" s="1"/>
  <c r="BP67" i="6"/>
  <c r="BP201" i="6" s="1"/>
  <c r="BP200" i="6" s="1"/>
  <c r="BP424" i="12"/>
  <c r="BW430" i="12" s="1"/>
  <c r="BP88" i="12"/>
  <c r="BP149" i="12"/>
  <c r="BP155" i="12"/>
  <c r="BP91" i="12"/>
  <c r="BP144" i="12" s="1"/>
  <c r="BP259" i="6" s="1"/>
  <c r="BP150" i="12"/>
  <c r="BP201" i="12"/>
  <c r="BP208" i="12"/>
  <c r="BP205" i="12"/>
  <c r="BO333" i="12"/>
  <c r="BP334" i="12"/>
  <c r="BP333" i="12" s="1"/>
  <c r="BP427" i="12"/>
  <c r="BW433" i="12" s="1"/>
  <c r="BP145" i="2"/>
  <c r="BP83" i="2"/>
  <c r="BP248" i="2"/>
  <c r="BP263" i="6"/>
  <c r="BP226" i="12"/>
  <c r="BO265" i="12"/>
  <c r="BP267" i="12"/>
  <c r="BP265" i="12" s="1"/>
  <c r="BO323" i="12"/>
  <c r="BO397" i="12" s="1"/>
  <c r="BP338" i="12"/>
  <c r="BP323" i="12" s="1"/>
  <c r="BP397" i="12" s="1"/>
  <c r="BP426" i="12"/>
  <c r="BW432" i="12" s="1"/>
  <c r="BP339" i="12"/>
  <c r="BP109" i="12"/>
  <c r="BP364" i="12" s="1"/>
  <c r="BP131" i="12"/>
  <c r="BP163" i="12"/>
  <c r="BP176" i="12"/>
  <c r="BO271" i="12"/>
  <c r="BP273" i="12"/>
  <c r="BP271" i="12" s="1"/>
  <c r="BP89" i="12"/>
  <c r="BP142" i="12" s="1"/>
  <c r="BP257" i="6" s="1"/>
  <c r="BP146" i="2"/>
  <c r="BP264" i="6"/>
  <c r="BP217" i="12"/>
  <c r="BP94" i="12"/>
  <c r="BP327" i="12"/>
  <c r="BP115" i="6"/>
  <c r="BS355" i="12"/>
  <c r="BP37" i="12"/>
  <c r="BP372" i="12"/>
  <c r="BP371" i="12" s="1"/>
  <c r="BP171" i="6"/>
  <c r="BP176" i="6"/>
  <c r="BP208" i="6" s="1"/>
  <c r="BP99" i="6"/>
  <c r="BP175" i="6" s="1"/>
  <c r="BP207" i="6" s="1"/>
  <c r="BP23" i="6"/>
  <c r="BP6" i="6" s="1"/>
  <c r="BP355" i="12"/>
  <c r="BP216" i="2"/>
  <c r="BP212" i="2" s="1"/>
  <c r="BP184" i="6"/>
  <c r="BP178" i="6"/>
  <c r="BP87" i="6"/>
  <c r="BP198" i="6" s="1"/>
  <c r="BS212" i="2"/>
  <c r="BO152" i="2"/>
  <c r="BO173" i="2"/>
  <c r="BO174" i="2"/>
  <c r="BS206" i="6"/>
  <c r="BP348" i="12"/>
  <c r="BP380" i="12" s="1"/>
  <c r="BO40" i="2"/>
  <c r="BO425" i="12"/>
  <c r="BV431" i="12" s="1"/>
  <c r="BS287" i="12"/>
  <c r="BS419" i="12" s="1"/>
  <c r="BS413" i="12"/>
  <c r="BS286" i="12"/>
  <c r="BS418" i="12" s="1"/>
  <c r="BS290" i="12"/>
  <c r="BS421" i="12" s="1"/>
  <c r="BS415" i="12"/>
  <c r="BS289" i="12"/>
  <c r="BS300" i="6" s="1"/>
  <c r="BS414" i="12"/>
  <c r="BO424" i="12"/>
  <c r="BV430" i="12" s="1"/>
  <c r="BO303" i="12"/>
  <c r="BO302" i="12" s="1"/>
  <c r="BO427" i="12"/>
  <c r="BV433" i="12" s="1"/>
  <c r="BO201" i="12"/>
  <c r="BS30" i="6"/>
  <c r="BS177" i="6"/>
  <c r="BR278" i="6"/>
  <c r="BR363" i="12"/>
  <c r="BR244" i="12"/>
  <c r="BR376" i="12" s="1"/>
  <c r="BR415" i="12"/>
  <c r="BR279" i="6"/>
  <c r="BR246" i="12"/>
  <c r="BR286" i="12" s="1"/>
  <c r="BR295" i="12" s="1"/>
  <c r="BR293" i="12" s="1"/>
  <c r="BR367" i="12"/>
  <c r="BR406" i="12" s="1"/>
  <c r="BR256" i="6"/>
  <c r="BR254" i="6" s="1"/>
  <c r="BR253" i="6" s="1"/>
  <c r="BS6" i="6"/>
  <c r="BR196" i="6"/>
  <c r="BR247" i="6" s="1"/>
  <c r="BS225" i="6"/>
  <c r="BS231" i="6" s="1"/>
  <c r="BS228" i="6" s="1"/>
  <c r="BS112" i="6"/>
  <c r="BS119" i="6" s="1"/>
  <c r="BS121" i="6" s="1"/>
  <c r="BQ121" i="6" s="1"/>
  <c r="BQ294" i="6" s="1"/>
  <c r="BQ225" i="6"/>
  <c r="BQ231" i="6" s="1"/>
  <c r="BQ228" i="6" s="1"/>
  <c r="BR225" i="6"/>
  <c r="BR231" i="6" s="1"/>
  <c r="BR228" i="6" s="1"/>
  <c r="BR119" i="6"/>
  <c r="BR205" i="6"/>
  <c r="BR204" i="6" s="1"/>
  <c r="BR122" i="6" s="1"/>
  <c r="BO168" i="6"/>
  <c r="BO237" i="6" s="1"/>
  <c r="BP227" i="6"/>
  <c r="BP225" i="6" s="1"/>
  <c r="BP231" i="6" s="1"/>
  <c r="BP228" i="6" s="1"/>
  <c r="BO171" i="6"/>
  <c r="BO184" i="6"/>
  <c r="BO274" i="12"/>
  <c r="BO339" i="12"/>
  <c r="BO67" i="6"/>
  <c r="BO201" i="6" s="1"/>
  <c r="BO200" i="6" s="1"/>
  <c r="BO21" i="12"/>
  <c r="BO56" i="2"/>
  <c r="BO218" i="2" s="1"/>
  <c r="BO217" i="2" s="1"/>
  <c r="BO26" i="2"/>
  <c r="BO227" i="2" s="1"/>
  <c r="BO20" i="2"/>
  <c r="BO7" i="2"/>
  <c r="BO348" i="12"/>
  <c r="BO380" i="12" s="1"/>
  <c r="BO342" i="12"/>
  <c r="BO378" i="12" s="1"/>
  <c r="BO322" i="12"/>
  <c r="BO178" i="6"/>
  <c r="BO55" i="12"/>
  <c r="BO253" i="12"/>
  <c r="BO205" i="12"/>
  <c r="BO226" i="12"/>
  <c r="BO202" i="12"/>
  <c r="BO208" i="12"/>
  <c r="BO204" i="12"/>
  <c r="BO192" i="12"/>
  <c r="BO184" i="12"/>
  <c r="BO149" i="12"/>
  <c r="BO176" i="12"/>
  <c r="BO170" i="12"/>
  <c r="BO152" i="12"/>
  <c r="BO151" i="12"/>
  <c r="BO163" i="12"/>
  <c r="BO150" i="12"/>
  <c r="BO131" i="12"/>
  <c r="BO91" i="12"/>
  <c r="BO144" i="12" s="1"/>
  <c r="BO370" i="12" s="1"/>
  <c r="BO116" i="12"/>
  <c r="BO90" i="12"/>
  <c r="BO143" i="12" s="1"/>
  <c r="BO369" i="12" s="1"/>
  <c r="BO89" i="12"/>
  <c r="BO142" i="12" s="1"/>
  <c r="BO257" i="6" s="1"/>
  <c r="BO109" i="12"/>
  <c r="BO364" i="12" s="1"/>
  <c r="BO88" i="12"/>
  <c r="BO94" i="12"/>
  <c r="BO38" i="12"/>
  <c r="BO7" i="12"/>
  <c r="BO212" i="2"/>
  <c r="BO84" i="6"/>
  <c r="BO96" i="6" s="1"/>
  <c r="BO197" i="6" s="1"/>
  <c r="BO196" i="6" s="1"/>
  <c r="BO115" i="6"/>
  <c r="BO355" i="12"/>
  <c r="BO238" i="6"/>
  <c r="BO97" i="6"/>
  <c r="BO49" i="6"/>
  <c r="BO31" i="6"/>
  <c r="BO23" i="6"/>
  <c r="BO7" i="6"/>
  <c r="BO189" i="2"/>
  <c r="BO223" i="2" s="1"/>
  <c r="BO146" i="2"/>
  <c r="BO176" i="2" s="1"/>
  <c r="BO285" i="6" s="1"/>
  <c r="BO89" i="2"/>
  <c r="BO83" i="2"/>
  <c r="BO263" i="6"/>
  <c r="BO248" i="2"/>
  <c r="BO264" i="6"/>
  <c r="BO168" i="2"/>
  <c r="BO304" i="6" s="1"/>
  <c r="BO120" i="2"/>
  <c r="BO145" i="2" s="1"/>
  <c r="BO198" i="2"/>
  <c r="BO251" i="12"/>
  <c r="BO291" i="12" s="1"/>
  <c r="BO302" i="6" s="1"/>
  <c r="BO366" i="12"/>
  <c r="BO245" i="12"/>
  <c r="BO285" i="12" s="1"/>
  <c r="BO294" i="12" s="1"/>
  <c r="BO255" i="6"/>
  <c r="BO155" i="12"/>
  <c r="BO217" i="12"/>
  <c r="BO327" i="12"/>
  <c r="BO336" i="12"/>
  <c r="BO71" i="12"/>
  <c r="BO372" i="12" s="1"/>
  <c r="BO371" i="12" s="1"/>
  <c r="BO426" i="12"/>
  <c r="BV432" i="12" s="1"/>
  <c r="BK101" i="6"/>
  <c r="BK102" i="6"/>
  <c r="BK104" i="6"/>
  <c r="BK88" i="6"/>
  <c r="BK89" i="6"/>
  <c r="BK91" i="6"/>
  <c r="BK92" i="6"/>
  <c r="BK93" i="6"/>
  <c r="BK69" i="6"/>
  <c r="BK72" i="6"/>
  <c r="BK73" i="6"/>
  <c r="BK74" i="6"/>
  <c r="BK77" i="6"/>
  <c r="BK55" i="6"/>
  <c r="BK62" i="6"/>
  <c r="BK63" i="6"/>
  <c r="BK44" i="6"/>
  <c r="BK45" i="6"/>
  <c r="BK46" i="6"/>
  <c r="BK15" i="6"/>
  <c r="BK16" i="6"/>
  <c r="BK17" i="6"/>
  <c r="BK18" i="6"/>
  <c r="BK20" i="6"/>
  <c r="BK200" i="2"/>
  <c r="BP258" i="6" l="1"/>
  <c r="BQ205" i="6"/>
  <c r="BQ204" i="6" s="1"/>
  <c r="BQ418" i="12"/>
  <c r="BP30" i="6"/>
  <c r="BP237" i="6"/>
  <c r="BR362" i="12"/>
  <c r="BR404" i="12" s="1"/>
  <c r="BQ254" i="6"/>
  <c r="BQ253" i="6" s="1"/>
  <c r="BQ244" i="12"/>
  <c r="BQ376" i="12" s="1"/>
  <c r="BQ375" i="12" s="1"/>
  <c r="BQ395" i="12" s="1"/>
  <c r="BQ394" i="12" s="1"/>
  <c r="BQ393" i="12" s="1"/>
  <c r="BQ391" i="12" s="1"/>
  <c r="BQ363" i="12"/>
  <c r="BQ296" i="12"/>
  <c r="BQ287" i="12"/>
  <c r="BQ298" i="12"/>
  <c r="BQ290" i="12"/>
  <c r="BS244" i="12"/>
  <c r="BS376" i="12" s="1"/>
  <c r="BS375" i="12" s="1"/>
  <c r="BQ297" i="12"/>
  <c r="BQ289" i="12"/>
  <c r="BS363" i="12"/>
  <c r="BS362" i="12" s="1"/>
  <c r="BS404" i="12" s="1"/>
  <c r="BP408" i="12"/>
  <c r="BP368" i="12"/>
  <c r="BP407" i="12" s="1"/>
  <c r="BP249" i="12"/>
  <c r="BP289" i="12" s="1"/>
  <c r="BP247" i="12"/>
  <c r="BP287" i="12" s="1"/>
  <c r="BP296" i="12" s="1"/>
  <c r="BP276" i="6" s="1"/>
  <c r="BP422" i="12"/>
  <c r="BW428" i="12" s="1"/>
  <c r="BO261" i="12"/>
  <c r="BP322" i="12"/>
  <c r="BP370" i="12"/>
  <c r="BP409" i="12" s="1"/>
  <c r="BP199" i="12"/>
  <c r="BP260" i="6"/>
  <c r="BP336" i="12"/>
  <c r="BP321" i="12" s="1"/>
  <c r="BP245" i="2"/>
  <c r="BP142" i="2"/>
  <c r="BP175" i="2"/>
  <c r="BP170" i="2"/>
  <c r="BP250" i="12"/>
  <c r="BP298" i="12" s="1"/>
  <c r="BP261" i="12"/>
  <c r="BP147" i="12"/>
  <c r="BP141" i="12"/>
  <c r="BP86" i="12"/>
  <c r="BP139" i="12" s="1"/>
  <c r="BP176" i="2"/>
  <c r="BP285" i="6" s="1"/>
  <c r="BP171" i="2"/>
  <c r="BP307" i="6" s="1"/>
  <c r="BP97" i="6"/>
  <c r="BP177" i="6"/>
  <c r="BP84" i="6"/>
  <c r="BP96" i="6" s="1"/>
  <c r="BN191" i="2"/>
  <c r="BN238" i="2" s="1"/>
  <c r="BS298" i="6"/>
  <c r="BS301" i="6"/>
  <c r="BR375" i="12"/>
  <c r="BR395" i="12" s="1"/>
  <c r="BR394" i="12" s="1"/>
  <c r="BR393" i="12" s="1"/>
  <c r="BR391" i="12" s="1"/>
  <c r="BS297" i="6"/>
  <c r="BS284" i="12"/>
  <c r="BS278" i="6"/>
  <c r="BS420" i="12"/>
  <c r="BO422" i="12"/>
  <c r="BV428" i="12" s="1"/>
  <c r="BO6" i="12"/>
  <c r="BO259" i="6"/>
  <c r="BS276" i="6"/>
  <c r="BS279" i="6"/>
  <c r="BO258" i="6"/>
  <c r="BQ412" i="12"/>
  <c r="BQ275" i="6"/>
  <c r="BS412" i="12"/>
  <c r="BS275" i="6"/>
  <c r="BR418" i="12"/>
  <c r="BR297" i="6"/>
  <c r="BR295" i="6" s="1"/>
  <c r="BR284" i="12"/>
  <c r="BS205" i="6"/>
  <c r="BO206" i="6"/>
  <c r="BS218" i="6"/>
  <c r="BS217" i="6" s="1"/>
  <c r="BS249" i="6"/>
  <c r="BS294" i="6"/>
  <c r="BR236" i="6"/>
  <c r="BR235" i="6" s="1"/>
  <c r="BR234" i="6" s="1"/>
  <c r="BR232" i="6" s="1"/>
  <c r="BR248" i="6"/>
  <c r="BR272" i="6"/>
  <c r="BR218" i="6"/>
  <c r="BR217" i="6" s="1"/>
  <c r="BR249" i="6"/>
  <c r="BR294" i="6"/>
  <c r="BQ218" i="6"/>
  <c r="BQ217" i="6" s="1"/>
  <c r="BQ249" i="6"/>
  <c r="BO177" i="6"/>
  <c r="BO86" i="12"/>
  <c r="BO139" i="12" s="1"/>
  <c r="BO363" i="12" s="1"/>
  <c r="BO362" i="12" s="1"/>
  <c r="BO199" i="12"/>
  <c r="BO250" i="12"/>
  <c r="BO298" i="12" s="1"/>
  <c r="BO6" i="2"/>
  <c r="BO25" i="2"/>
  <c r="BO226" i="2"/>
  <c r="BO225" i="2" s="1"/>
  <c r="BO231" i="2" s="1"/>
  <c r="BO228" i="2" s="1"/>
  <c r="BO321" i="12"/>
  <c r="BO377" i="12" s="1"/>
  <c r="BO386" i="12"/>
  <c r="BO37" i="12"/>
  <c r="BO247" i="12"/>
  <c r="BO296" i="12" s="1"/>
  <c r="BO249" i="12"/>
  <c r="BO297" i="12" s="1"/>
  <c r="BO409" i="12"/>
  <c r="BO408" i="12"/>
  <c r="BO147" i="12"/>
  <c r="BO368" i="12"/>
  <c r="BO407" i="12" s="1"/>
  <c r="BO141" i="12"/>
  <c r="BO256" i="6" s="1"/>
  <c r="BO385" i="12"/>
  <c r="BO247" i="6"/>
  <c r="BO30" i="6"/>
  <c r="BO227" i="6"/>
  <c r="BO6" i="6"/>
  <c r="BO226" i="6"/>
  <c r="BO237" i="2"/>
  <c r="BO171" i="2"/>
  <c r="BO307" i="6" s="1"/>
  <c r="BO117" i="2"/>
  <c r="BO142" i="2" s="1"/>
  <c r="BO260" i="6"/>
  <c r="BO170" i="2"/>
  <c r="BO175" i="2"/>
  <c r="BO245" i="2"/>
  <c r="BO296" i="6"/>
  <c r="BN154" i="2"/>
  <c r="BN153" i="2"/>
  <c r="BN101" i="2"/>
  <c r="BN71" i="2"/>
  <c r="BK39" i="2"/>
  <c r="BK35" i="2"/>
  <c r="BK66" i="2"/>
  <c r="BK65" i="2"/>
  <c r="BK64" i="2"/>
  <c r="BK63" i="2"/>
  <c r="BK50" i="2"/>
  <c r="BK38" i="2"/>
  <c r="BK36" i="2"/>
  <c r="BK34" i="2"/>
  <c r="BK33" i="2"/>
  <c r="BK32" i="2"/>
  <c r="BK31" i="2"/>
  <c r="BK27" i="2"/>
  <c r="BK23" i="2"/>
  <c r="BK22" i="2"/>
  <c r="BK21" i="2"/>
  <c r="BK12" i="2"/>
  <c r="BK19" i="2"/>
  <c r="BK16" i="2"/>
  <c r="BK13" i="2"/>
  <c r="BK10" i="2"/>
  <c r="BK9" i="2"/>
  <c r="BK8" i="2"/>
  <c r="BN323" i="12"/>
  <c r="BN397" i="12" s="1"/>
  <c r="BN271" i="12"/>
  <c r="BK81" i="12"/>
  <c r="BK80" i="12"/>
  <c r="BK79" i="12"/>
  <c r="BK78" i="12"/>
  <c r="BK75" i="12"/>
  <c r="BK74" i="12"/>
  <c r="BK73" i="12"/>
  <c r="BK72" i="12"/>
  <c r="BK70" i="12"/>
  <c r="BK68" i="12"/>
  <c r="BK66" i="12"/>
  <c r="BK64" i="12"/>
  <c r="BK63" i="12"/>
  <c r="BK62" i="12"/>
  <c r="BK60" i="12"/>
  <c r="BK59" i="12"/>
  <c r="BK58" i="12"/>
  <c r="BK57" i="12"/>
  <c r="BK56" i="12"/>
  <c r="BK54" i="12"/>
  <c r="BK53" i="12"/>
  <c r="BK50" i="12"/>
  <c r="BK49" i="12"/>
  <c r="BK48" i="12"/>
  <c r="BK47" i="12"/>
  <c r="BK46" i="12"/>
  <c r="BK45" i="12"/>
  <c r="BK44" i="12"/>
  <c r="BK43" i="12"/>
  <c r="BK41" i="12"/>
  <c r="BK40" i="12"/>
  <c r="BK39" i="12"/>
  <c r="BK36" i="12"/>
  <c r="BK35" i="12"/>
  <c r="BK34" i="12"/>
  <c r="BK33" i="12"/>
  <c r="BK29" i="12"/>
  <c r="BK28" i="12"/>
  <c r="BK27" i="12"/>
  <c r="BK26" i="12"/>
  <c r="BK23" i="12"/>
  <c r="BK20" i="12"/>
  <c r="BK19" i="12"/>
  <c r="BK14" i="12"/>
  <c r="BK13" i="12"/>
  <c r="BK11" i="12"/>
  <c r="BK10" i="12"/>
  <c r="BK9" i="12"/>
  <c r="BK8" i="12"/>
  <c r="BK195" i="6"/>
  <c r="BK187" i="6"/>
  <c r="BN238" i="6"/>
  <c r="BK78" i="6"/>
  <c r="BK76" i="6"/>
  <c r="BK75" i="6"/>
  <c r="BK70" i="6"/>
  <c r="BK68" i="6"/>
  <c r="BK66" i="6"/>
  <c r="BK65" i="6"/>
  <c r="BK64" i="6"/>
  <c r="BK61" i="6"/>
  <c r="BK60" i="6"/>
  <c r="BK59" i="6"/>
  <c r="BK58" i="6"/>
  <c r="BK57" i="6"/>
  <c r="BK56" i="6"/>
  <c r="BK54" i="6"/>
  <c r="BK53" i="6"/>
  <c r="BK52" i="6"/>
  <c r="BK51" i="6"/>
  <c r="BK50" i="6"/>
  <c r="BK48" i="6"/>
  <c r="BK47" i="6"/>
  <c r="BK43" i="6"/>
  <c r="BK42" i="6"/>
  <c r="BK41" i="6"/>
  <c r="BK40" i="6"/>
  <c r="BK39" i="6"/>
  <c r="BK38" i="6"/>
  <c r="BK37" i="6"/>
  <c r="BK36" i="6"/>
  <c r="BK35" i="6"/>
  <c r="BK34" i="6"/>
  <c r="BK33" i="6"/>
  <c r="BK32" i="6"/>
  <c r="BK25" i="6"/>
  <c r="BK24" i="6"/>
  <c r="BK22" i="6"/>
  <c r="BK19" i="6"/>
  <c r="BK14" i="6"/>
  <c r="BK13" i="6"/>
  <c r="BK12" i="6"/>
  <c r="BK11" i="6"/>
  <c r="BK10" i="6"/>
  <c r="BK9" i="6"/>
  <c r="BK8" i="6"/>
  <c r="BN47" i="16"/>
  <c r="BN184" i="2"/>
  <c r="BN192" i="2"/>
  <c r="BN190" i="2"/>
  <c r="BN201" i="2"/>
  <c r="BN204" i="2"/>
  <c r="BN207" i="2"/>
  <c r="BN224" i="2" s="1"/>
  <c r="BN219" i="2"/>
  <c r="BN220" i="2"/>
  <c r="BN70" i="2"/>
  <c r="BN87" i="2"/>
  <c r="BN118" i="2"/>
  <c r="BN143" i="2" s="1"/>
  <c r="BN119" i="2"/>
  <c r="BN144" i="2" s="1"/>
  <c r="BN121" i="2"/>
  <c r="BN132" i="2"/>
  <c r="BN164" i="2"/>
  <c r="BN324" i="12"/>
  <c r="BN356" i="12"/>
  <c r="BN374" i="12"/>
  <c r="BN85" i="12"/>
  <c r="BN87" i="12"/>
  <c r="BN140" i="12" s="1"/>
  <c r="BN366" i="12" s="1"/>
  <c r="BN92" i="12"/>
  <c r="BN101" i="12"/>
  <c r="BN148" i="12"/>
  <c r="BN153" i="12"/>
  <c r="BN200" i="12"/>
  <c r="BN203" i="12"/>
  <c r="BN248" i="12" s="1"/>
  <c r="BN288" i="12" s="1"/>
  <c r="BN299" i="6" s="1"/>
  <c r="BN206" i="12"/>
  <c r="BN262" i="12"/>
  <c r="BN83" i="6"/>
  <c r="BN199" i="6"/>
  <c r="BN203" i="6"/>
  <c r="BN261" i="6"/>
  <c r="BN262" i="6"/>
  <c r="BJ202" i="2"/>
  <c r="BJ188" i="2"/>
  <c r="BK187" i="2"/>
  <c r="BJ115" i="2"/>
  <c r="BJ110" i="2"/>
  <c r="BJ105" i="2"/>
  <c r="BJ100" i="2"/>
  <c r="BJ81" i="2"/>
  <c r="BJ75" i="2"/>
  <c r="BJ76" i="2"/>
  <c r="BJ58" i="2"/>
  <c r="BJ59" i="2"/>
  <c r="BJ60" i="2"/>
  <c r="BJ61" i="2"/>
  <c r="BJ62" i="2"/>
  <c r="BJ43" i="2"/>
  <c r="BJ46" i="2"/>
  <c r="BJ47" i="2"/>
  <c r="BJ48" i="2"/>
  <c r="BJ49" i="2"/>
  <c r="BJ52" i="2"/>
  <c r="BJ53" i="2"/>
  <c r="BJ54" i="2"/>
  <c r="BJ42" i="2"/>
  <c r="BJ28" i="2"/>
  <c r="BJ29" i="2"/>
  <c r="BJ30" i="2"/>
  <c r="BJ37" i="2"/>
  <c r="BJ39" i="2"/>
  <c r="BJ11" i="2"/>
  <c r="BJ12" i="2"/>
  <c r="BJ14" i="2"/>
  <c r="BJ15" i="2"/>
  <c r="BJ17" i="2"/>
  <c r="BJ18" i="2"/>
  <c r="BJ137" i="12"/>
  <c r="BJ122" i="12"/>
  <c r="BJ117" i="12"/>
  <c r="BJ93" i="12"/>
  <c r="BJ154" i="12"/>
  <c r="BJ207" i="12"/>
  <c r="BJ292" i="12"/>
  <c r="BJ259" i="12"/>
  <c r="BJ230" i="12"/>
  <c r="BJ221" i="12"/>
  <c r="BJ224" i="12"/>
  <c r="BJ212" i="12"/>
  <c r="BJ215" i="12"/>
  <c r="BJ190" i="12"/>
  <c r="BJ76" i="12"/>
  <c r="BJ77" i="12"/>
  <c r="BJ61" i="12"/>
  <c r="BJ65" i="12"/>
  <c r="BJ67" i="12"/>
  <c r="BJ69" i="12"/>
  <c r="BJ42" i="12"/>
  <c r="BJ51" i="12"/>
  <c r="BJ52" i="12"/>
  <c r="BJ32" i="12"/>
  <c r="BJ30" i="12"/>
  <c r="BJ25" i="12"/>
  <c r="BJ12" i="12"/>
  <c r="BJ15" i="12"/>
  <c r="BJ16" i="12"/>
  <c r="BJ17" i="12"/>
  <c r="BJ18" i="12"/>
  <c r="BJ101" i="6"/>
  <c r="BJ102" i="6"/>
  <c r="BJ104" i="6"/>
  <c r="BJ88" i="6"/>
  <c r="BJ89" i="6"/>
  <c r="BJ91" i="6"/>
  <c r="BJ92" i="6"/>
  <c r="BJ93" i="6"/>
  <c r="BJ69" i="6"/>
  <c r="BJ72" i="6"/>
  <c r="BJ73" i="6"/>
  <c r="BJ74" i="6"/>
  <c r="BJ77" i="6"/>
  <c r="BJ55" i="6"/>
  <c r="BJ62" i="6"/>
  <c r="BJ63" i="6"/>
  <c r="BJ44" i="6"/>
  <c r="BJ45" i="6"/>
  <c r="BJ46" i="6"/>
  <c r="BJ15" i="6"/>
  <c r="BJ16" i="6"/>
  <c r="BJ17" i="6"/>
  <c r="BJ18" i="6"/>
  <c r="BJ20" i="6"/>
  <c r="BK26" i="16"/>
  <c r="BS410" i="12" l="1"/>
  <c r="BQ272" i="6"/>
  <c r="BQ236" i="6"/>
  <c r="BQ235" i="6" s="1"/>
  <c r="BQ234" i="6" s="1"/>
  <c r="BQ232" i="6" s="1"/>
  <c r="BQ122" i="6"/>
  <c r="BQ248" i="6" s="1"/>
  <c r="BQ362" i="12"/>
  <c r="BQ404" i="12" s="1"/>
  <c r="BP172" i="2"/>
  <c r="BP249" i="2" s="1"/>
  <c r="BP298" i="6"/>
  <c r="BR416" i="12"/>
  <c r="BQ421" i="12"/>
  <c r="BQ301" i="6"/>
  <c r="BQ415" i="12"/>
  <c r="BQ279" i="6"/>
  <c r="BQ419" i="12"/>
  <c r="BQ298" i="6"/>
  <c r="BQ284" i="12"/>
  <c r="BQ300" i="6"/>
  <c r="BQ420" i="12"/>
  <c r="BQ276" i="6"/>
  <c r="BQ293" i="12"/>
  <c r="BQ413" i="12"/>
  <c r="BQ414" i="12"/>
  <c r="BQ278" i="6"/>
  <c r="BS395" i="12"/>
  <c r="BS394" i="12" s="1"/>
  <c r="BS393" i="12" s="1"/>
  <c r="BS391" i="12" s="1"/>
  <c r="BS416" i="12"/>
  <c r="BP419" i="12"/>
  <c r="BP297" i="12"/>
  <c r="BP414" i="12" s="1"/>
  <c r="BP413" i="12"/>
  <c r="BP290" i="12"/>
  <c r="BP301" i="6" s="1"/>
  <c r="BP377" i="12"/>
  <c r="BP396" i="12"/>
  <c r="BP256" i="2"/>
  <c r="BP306" i="6"/>
  <c r="BP303" i="6" s="1"/>
  <c r="BP252" i="2"/>
  <c r="BP284" i="6"/>
  <c r="BP281" i="6" s="1"/>
  <c r="BP244" i="12"/>
  <c r="BP376" i="12" s="1"/>
  <c r="BP363" i="12"/>
  <c r="BP362" i="12" s="1"/>
  <c r="BP404" i="12" s="1"/>
  <c r="BP222" i="2"/>
  <c r="BP221" i="2" s="1"/>
  <c r="BP236" i="2" s="1"/>
  <c r="BP235" i="2" s="1"/>
  <c r="BP234" i="2" s="1"/>
  <c r="BP232" i="2" s="1"/>
  <c r="BP167" i="2"/>
  <c r="BP253" i="2" s="1"/>
  <c r="BP256" i="6"/>
  <c r="BP254" i="6" s="1"/>
  <c r="BP253" i="6" s="1"/>
  <c r="BP246" i="12"/>
  <c r="BP286" i="12" s="1"/>
  <c r="BP367" i="12"/>
  <c r="BP406" i="12" s="1"/>
  <c r="BP300" i="6"/>
  <c r="BP420" i="12"/>
  <c r="BP415" i="12"/>
  <c r="BP279" i="6"/>
  <c r="BP197" i="6"/>
  <c r="BP196" i="6" s="1"/>
  <c r="BP247" i="6" s="1"/>
  <c r="BN229" i="2"/>
  <c r="BN169" i="2"/>
  <c r="BN305" i="6" s="1"/>
  <c r="BN174" i="2"/>
  <c r="BN173" i="2"/>
  <c r="BN168" i="2"/>
  <c r="BN304" i="6" s="1"/>
  <c r="BN20" i="2"/>
  <c r="BN189" i="2"/>
  <c r="BN237" i="2" s="1"/>
  <c r="BJ34" i="16"/>
  <c r="BK34" i="16"/>
  <c r="BS295" i="6"/>
  <c r="BS315" i="6" s="1"/>
  <c r="BO289" i="12"/>
  <c r="BO300" i="6" s="1"/>
  <c r="BO278" i="6"/>
  <c r="BO290" i="12"/>
  <c r="BO421" i="12" s="1"/>
  <c r="BO287" i="12"/>
  <c r="BO419" i="12" s="1"/>
  <c r="BO413" i="12"/>
  <c r="BN327" i="12"/>
  <c r="BO254" i="6"/>
  <c r="BO253" i="6" s="1"/>
  <c r="BS273" i="6"/>
  <c r="BS204" i="6"/>
  <c r="BS236" i="6" s="1"/>
  <c r="BS235" i="6" s="1"/>
  <c r="BS234" i="6" s="1"/>
  <c r="BS232" i="6" s="1"/>
  <c r="BR412" i="12"/>
  <c r="BR275" i="6"/>
  <c r="BR273" i="6" s="1"/>
  <c r="BR410" i="12"/>
  <c r="BR315" i="6"/>
  <c r="BO384" i="12"/>
  <c r="BO390" i="12" s="1"/>
  <c r="BO387" i="12" s="1"/>
  <c r="BO244" i="12"/>
  <c r="BO376" i="12" s="1"/>
  <c r="BO396" i="12"/>
  <c r="BO404" i="12"/>
  <c r="BO367" i="12"/>
  <c r="BO406" i="12" s="1"/>
  <c r="BO246" i="12"/>
  <c r="BO295" i="12" s="1"/>
  <c r="BO293" i="12" s="1"/>
  <c r="BO225" i="6"/>
  <c r="BO231" i="6" s="1"/>
  <c r="BO228" i="6" s="1"/>
  <c r="BO167" i="2"/>
  <c r="BO253" i="2" s="1"/>
  <c r="BO222" i="2"/>
  <c r="BO221" i="2" s="1"/>
  <c r="BO236" i="2" s="1"/>
  <c r="BO235" i="2" s="1"/>
  <c r="BO234" i="2" s="1"/>
  <c r="BO232" i="2" s="1"/>
  <c r="BO252" i="2"/>
  <c r="BO284" i="6"/>
  <c r="BO281" i="6" s="1"/>
  <c r="BO172" i="2"/>
  <c r="BO249" i="2" s="1"/>
  <c r="BO256" i="2"/>
  <c r="BO306" i="6"/>
  <c r="BO303" i="6" s="1"/>
  <c r="BO415" i="12"/>
  <c r="BO274" i="6"/>
  <c r="BN373" i="12"/>
  <c r="BN21" i="12"/>
  <c r="BK22" i="12"/>
  <c r="BN170" i="12"/>
  <c r="BN358" i="12"/>
  <c r="BK181" i="6"/>
  <c r="BN389" i="12"/>
  <c r="BK31" i="12"/>
  <c r="BN330" i="12"/>
  <c r="BN40" i="2"/>
  <c r="BK55" i="2"/>
  <c r="BN94" i="2"/>
  <c r="BN333" i="12"/>
  <c r="BN115" i="6"/>
  <c r="BN120" i="2"/>
  <c r="BN117" i="2" s="1"/>
  <c r="BN268" i="12"/>
  <c r="BN388" i="12"/>
  <c r="BK24" i="12"/>
  <c r="BN127" i="2"/>
  <c r="BN229" i="6"/>
  <c r="BK26" i="6"/>
  <c r="BN202" i="6"/>
  <c r="BK71" i="6"/>
  <c r="BN216" i="2"/>
  <c r="BK188" i="6"/>
  <c r="BN93" i="2"/>
  <c r="BN348" i="12"/>
  <c r="BN380" i="12" s="1"/>
  <c r="BN360" i="12"/>
  <c r="BK183" i="6"/>
  <c r="BN230" i="6"/>
  <c r="BK27" i="6"/>
  <c r="BN189" i="6"/>
  <c r="BK192" i="6"/>
  <c r="BN424" i="12"/>
  <c r="BU430" i="12" s="1"/>
  <c r="BN274" i="12"/>
  <c r="BN339" i="12"/>
  <c r="BN147" i="2"/>
  <c r="BN359" i="12"/>
  <c r="BK182" i="6"/>
  <c r="BN265" i="12"/>
  <c r="BN175" i="6"/>
  <c r="BN207" i="6" s="1"/>
  <c r="BN208" i="6"/>
  <c r="BN198" i="6"/>
  <c r="BN357" i="12"/>
  <c r="BK180" i="6"/>
  <c r="BN426" i="12"/>
  <c r="BU432" i="12" s="1"/>
  <c r="BN230" i="2"/>
  <c r="BK24" i="2"/>
  <c r="BN77" i="2"/>
  <c r="BN336" i="12"/>
  <c r="BN56" i="2"/>
  <c r="BN218" i="2" s="1"/>
  <c r="BN217" i="2" s="1"/>
  <c r="BN88" i="2"/>
  <c r="BN264" i="6" s="1"/>
  <c r="BN86" i="2"/>
  <c r="BN263" i="6" s="1"/>
  <c r="BN171" i="6"/>
  <c r="BN427" i="12"/>
  <c r="BU433" i="12" s="1"/>
  <c r="BN92" i="2"/>
  <c r="BN342" i="12"/>
  <c r="BN378" i="12" s="1"/>
  <c r="BN106" i="2"/>
  <c r="BN26" i="2"/>
  <c r="BN227" i="2" s="1"/>
  <c r="BN7" i="2"/>
  <c r="BN226" i="2" s="1"/>
  <c r="BN322" i="12"/>
  <c r="BN303" i="12"/>
  <c r="BN302" i="12" s="1"/>
  <c r="BN425" i="12"/>
  <c r="BU431" i="12" s="1"/>
  <c r="BN90" i="12"/>
  <c r="BN143" i="12" s="1"/>
  <c r="BN369" i="12" s="1"/>
  <c r="BN149" i="12"/>
  <c r="BN253" i="12"/>
  <c r="BN204" i="12"/>
  <c r="BN226" i="12"/>
  <c r="BN205" i="12"/>
  <c r="BN217" i="12"/>
  <c r="BN251" i="12"/>
  <c r="BN291" i="12" s="1"/>
  <c r="BN302" i="6" s="1"/>
  <c r="BN208" i="12"/>
  <c r="BN202" i="12"/>
  <c r="BN192" i="12"/>
  <c r="BN184" i="12"/>
  <c r="BN176" i="12"/>
  <c r="BN152" i="12"/>
  <c r="BN163" i="12"/>
  <c r="BN151" i="12"/>
  <c r="BN150" i="12"/>
  <c r="BN131" i="12"/>
  <c r="BN116" i="12"/>
  <c r="BN89" i="12"/>
  <c r="BN142" i="12" s="1"/>
  <c r="BN368" i="12" s="1"/>
  <c r="BN91" i="12"/>
  <c r="BN144" i="12" s="1"/>
  <c r="BN370" i="12" s="1"/>
  <c r="BN109" i="12"/>
  <c r="BN364" i="12" s="1"/>
  <c r="BN88" i="12"/>
  <c r="BN141" i="12" s="1"/>
  <c r="BN94" i="12"/>
  <c r="BN71" i="12"/>
  <c r="BN372" i="12" s="1"/>
  <c r="BN55" i="12"/>
  <c r="BN38" i="12"/>
  <c r="BN386" i="12" s="1"/>
  <c r="BN84" i="6"/>
  <c r="BN96" i="6" s="1"/>
  <c r="BN168" i="6"/>
  <c r="BN206" i="6" s="1"/>
  <c r="BN184" i="6"/>
  <c r="BN7" i="12"/>
  <c r="BN385" i="12" s="1"/>
  <c r="BN215" i="2"/>
  <c r="BN178" i="6"/>
  <c r="BN97" i="6"/>
  <c r="BN67" i="6"/>
  <c r="BN201" i="6" s="1"/>
  <c r="BN49" i="6"/>
  <c r="BN31" i="6"/>
  <c r="BN227" i="6" s="1"/>
  <c r="BN23" i="6"/>
  <c r="BN7" i="6"/>
  <c r="BN226" i="6" s="1"/>
  <c r="BN198" i="2"/>
  <c r="BN161" i="2"/>
  <c r="BN152" i="2" s="1"/>
  <c r="BN95" i="2"/>
  <c r="BN122" i="2"/>
  <c r="BN111" i="2"/>
  <c r="BN245" i="12"/>
  <c r="BN285" i="12" s="1"/>
  <c r="BN296" i="6" s="1"/>
  <c r="BN255" i="6"/>
  <c r="BN201" i="12"/>
  <c r="BN155" i="12"/>
  <c r="BM47" i="16"/>
  <c r="BK206" i="2"/>
  <c r="BK205" i="2"/>
  <c r="BK199" i="2"/>
  <c r="BM154" i="2"/>
  <c r="BM153" i="2"/>
  <c r="BK130" i="2"/>
  <c r="BK126" i="2"/>
  <c r="BK116" i="2"/>
  <c r="BM101" i="2"/>
  <c r="BK99" i="2"/>
  <c r="BK98" i="2"/>
  <c r="BK82" i="2"/>
  <c r="BK74" i="2"/>
  <c r="BJ66" i="2"/>
  <c r="BJ65" i="2"/>
  <c r="BJ64" i="2"/>
  <c r="BJ63" i="2"/>
  <c r="BJ57" i="2"/>
  <c r="BJ55" i="2"/>
  <c r="BJ50" i="2"/>
  <c r="BJ38" i="2"/>
  <c r="BJ36" i="2"/>
  <c r="BJ35" i="2"/>
  <c r="BJ34" i="2"/>
  <c r="BJ33" i="2"/>
  <c r="BJ32" i="2"/>
  <c r="BJ31" i="2"/>
  <c r="BJ27" i="2"/>
  <c r="BJ24" i="2"/>
  <c r="BJ23" i="2"/>
  <c r="BJ22" i="2"/>
  <c r="BJ21" i="2"/>
  <c r="BJ19" i="2"/>
  <c r="BJ16" i="2"/>
  <c r="BJ13" i="2"/>
  <c r="BJ10" i="2"/>
  <c r="BJ9" i="2"/>
  <c r="BJ8" i="2"/>
  <c r="BM184" i="2"/>
  <c r="BM192" i="2"/>
  <c r="BM201" i="2"/>
  <c r="BM207" i="2"/>
  <c r="BM224" i="2" s="1"/>
  <c r="BM219" i="2"/>
  <c r="BM220" i="2"/>
  <c r="BM238" i="2"/>
  <c r="BM70" i="2"/>
  <c r="BM87" i="2"/>
  <c r="BM106" i="2"/>
  <c r="BM118" i="2"/>
  <c r="BM143" i="2" s="1"/>
  <c r="BM119" i="2"/>
  <c r="BM144" i="2" s="1"/>
  <c r="BM132" i="2"/>
  <c r="BM164" i="2"/>
  <c r="BK352" i="12"/>
  <c r="BK350" i="12"/>
  <c r="BK347" i="12"/>
  <c r="BK338" i="12"/>
  <c r="BK331" i="12"/>
  <c r="BK308" i="12"/>
  <c r="BK269" i="12"/>
  <c r="BK267" i="12"/>
  <c r="BK186" i="12"/>
  <c r="BK165" i="12"/>
  <c r="BK160" i="12"/>
  <c r="BJ73" i="12"/>
  <c r="BJ72" i="12"/>
  <c r="BJ80" i="12"/>
  <c r="BJ79" i="12"/>
  <c r="BJ78" i="12"/>
  <c r="BJ74" i="12"/>
  <c r="BJ70" i="12"/>
  <c r="BJ68" i="12"/>
  <c r="BJ66" i="12"/>
  <c r="BJ64" i="12"/>
  <c r="BJ63" i="12"/>
  <c r="BJ62" i="12"/>
  <c r="BJ60" i="12"/>
  <c r="BJ59" i="12"/>
  <c r="BJ58" i="12"/>
  <c r="BJ57" i="12"/>
  <c r="BJ56" i="12"/>
  <c r="BJ54" i="12"/>
  <c r="BJ53" i="12"/>
  <c r="BJ50" i="12"/>
  <c r="BJ49" i="12"/>
  <c r="BJ48" i="12"/>
  <c r="BJ47" i="12"/>
  <c r="BJ46" i="12"/>
  <c r="BJ45" i="12"/>
  <c r="BJ44" i="12"/>
  <c r="BJ43" i="12"/>
  <c r="BJ41" i="12"/>
  <c r="BJ40" i="12"/>
  <c r="BJ39" i="12"/>
  <c r="BJ36" i="12"/>
  <c r="BJ35" i="12"/>
  <c r="BJ34" i="12"/>
  <c r="BJ33" i="12"/>
  <c r="BJ29" i="12"/>
  <c r="BJ28" i="12"/>
  <c r="BJ27" i="12"/>
  <c r="BJ26" i="12"/>
  <c r="BJ22" i="12"/>
  <c r="BJ20" i="12"/>
  <c r="BJ19" i="12"/>
  <c r="BJ14" i="12"/>
  <c r="BJ13" i="12"/>
  <c r="BJ11" i="12"/>
  <c r="BJ10" i="12"/>
  <c r="BJ9" i="12"/>
  <c r="BJ8" i="12"/>
  <c r="BM324" i="12"/>
  <c r="BM333" i="12"/>
  <c r="BM356" i="12"/>
  <c r="BM374" i="12"/>
  <c r="BM85" i="12"/>
  <c r="BM87" i="12"/>
  <c r="BM140" i="12" s="1"/>
  <c r="BM92" i="12"/>
  <c r="BM101" i="12"/>
  <c r="BM148" i="12"/>
  <c r="BM153" i="12"/>
  <c r="BM200" i="12"/>
  <c r="BM203" i="12"/>
  <c r="BM248" i="12" s="1"/>
  <c r="BM288" i="12" s="1"/>
  <c r="BM299" i="6" s="1"/>
  <c r="BM206" i="12"/>
  <c r="BM262" i="12"/>
  <c r="BJ81" i="12"/>
  <c r="BJ195" i="6"/>
  <c r="BK176" i="6"/>
  <c r="BK172" i="6"/>
  <c r="BK99" i="6"/>
  <c r="BM199" i="6"/>
  <c r="BJ78" i="6"/>
  <c r="BJ76" i="6"/>
  <c r="BJ75" i="6"/>
  <c r="BJ70" i="6"/>
  <c r="BJ68" i="6"/>
  <c r="BJ66" i="6"/>
  <c r="BJ65" i="6"/>
  <c r="BJ64" i="6"/>
  <c r="BJ61" i="6"/>
  <c r="BJ60" i="6"/>
  <c r="BJ59" i="6"/>
  <c r="BJ58" i="6"/>
  <c r="BJ57" i="6"/>
  <c r="BJ56" i="6"/>
  <c r="BJ54" i="6"/>
  <c r="BJ53" i="6"/>
  <c r="BJ52" i="6"/>
  <c r="BJ51" i="6"/>
  <c r="BJ50" i="6"/>
  <c r="BJ48" i="6"/>
  <c r="BJ47" i="6"/>
  <c r="BJ43" i="6"/>
  <c r="BJ42" i="6"/>
  <c r="BJ41" i="6"/>
  <c r="BJ40" i="6"/>
  <c r="BJ39" i="6"/>
  <c r="BJ38" i="6"/>
  <c r="BJ37" i="6"/>
  <c r="BJ36" i="6"/>
  <c r="BJ35" i="6"/>
  <c r="BJ34" i="6"/>
  <c r="BJ33" i="6"/>
  <c r="BJ32" i="6"/>
  <c r="BJ25" i="6"/>
  <c r="BJ24" i="6"/>
  <c r="BJ22" i="6"/>
  <c r="BJ19" i="6"/>
  <c r="BJ14" i="6"/>
  <c r="BJ13" i="6"/>
  <c r="BJ12" i="6"/>
  <c r="BJ11" i="6"/>
  <c r="BJ10" i="6"/>
  <c r="BJ9" i="6"/>
  <c r="BJ8" i="6"/>
  <c r="BM83" i="6"/>
  <c r="BM203" i="6"/>
  <c r="BM261" i="6"/>
  <c r="BM262" i="6"/>
  <c r="BI188" i="2"/>
  <c r="BI115" i="2"/>
  <c r="BI110" i="2"/>
  <c r="BI105" i="2"/>
  <c r="BI100" i="2"/>
  <c r="BI81" i="2"/>
  <c r="BI75" i="2"/>
  <c r="BI76" i="2"/>
  <c r="BI58" i="2"/>
  <c r="BI59" i="2"/>
  <c r="BI60" i="2"/>
  <c r="BI61" i="2"/>
  <c r="BI62" i="2"/>
  <c r="BI43" i="2"/>
  <c r="BI46" i="2"/>
  <c r="BI47" i="2"/>
  <c r="BI48" i="2"/>
  <c r="BI49" i="2"/>
  <c r="BI52" i="2"/>
  <c r="BI53" i="2"/>
  <c r="BI54" i="2"/>
  <c r="BI42" i="2"/>
  <c r="BI28" i="2"/>
  <c r="BI29" i="2"/>
  <c r="BI30" i="2"/>
  <c r="BI37" i="2"/>
  <c r="BI39" i="2"/>
  <c r="BI11" i="2"/>
  <c r="BI12" i="2"/>
  <c r="BI14" i="2"/>
  <c r="BI15" i="2"/>
  <c r="BI17" i="2"/>
  <c r="BI18" i="2"/>
  <c r="BI292" i="12"/>
  <c r="BI259" i="12"/>
  <c r="BI212" i="12"/>
  <c r="BI215" i="12"/>
  <c r="BI190" i="12"/>
  <c r="BI137" i="12"/>
  <c r="BI122" i="12"/>
  <c r="BI117" i="12"/>
  <c r="BI76" i="12"/>
  <c r="BI77" i="12"/>
  <c r="BI59" i="12"/>
  <c r="BI61" i="12"/>
  <c r="BI65" i="12"/>
  <c r="BI67" i="12"/>
  <c r="BI69" i="12"/>
  <c r="BI42" i="12"/>
  <c r="BI51" i="12"/>
  <c r="BI52" i="12"/>
  <c r="BI32" i="12"/>
  <c r="BI30" i="12"/>
  <c r="BI25" i="12"/>
  <c r="BI12" i="12"/>
  <c r="BI15" i="12"/>
  <c r="BI16" i="12"/>
  <c r="BI17" i="12"/>
  <c r="BI18" i="12"/>
  <c r="BI101" i="6"/>
  <c r="BI102" i="6"/>
  <c r="BI104" i="6"/>
  <c r="BI88" i="6"/>
  <c r="BI89" i="6"/>
  <c r="BI91" i="6"/>
  <c r="BI92" i="6"/>
  <c r="BI93" i="6"/>
  <c r="BI69" i="6"/>
  <c r="BI72" i="6"/>
  <c r="BI73" i="6"/>
  <c r="BI74" i="6"/>
  <c r="BI77" i="6"/>
  <c r="BI55" i="6"/>
  <c r="BI62" i="6"/>
  <c r="BI63" i="6"/>
  <c r="BI44" i="6"/>
  <c r="BI45" i="6"/>
  <c r="BI46" i="6"/>
  <c r="BI15" i="6"/>
  <c r="BI16" i="6"/>
  <c r="BI17" i="6"/>
  <c r="BI18" i="6"/>
  <c r="BI20" i="6"/>
  <c r="BJ26" i="16"/>
  <c r="BI308" i="12"/>
  <c r="BI307" i="12"/>
  <c r="BI306" i="12"/>
  <c r="BI305" i="12"/>
  <c r="BQ410" i="12" l="1"/>
  <c r="BP421" i="12"/>
  <c r="BQ416" i="12"/>
  <c r="BQ273" i="6"/>
  <c r="BQ295" i="6"/>
  <c r="BQ315" i="6" s="1"/>
  <c r="BP278" i="6"/>
  <c r="BP284" i="12"/>
  <c r="BP416" i="12" s="1"/>
  <c r="BP375" i="12"/>
  <c r="BP395" i="12" s="1"/>
  <c r="BP394" i="12" s="1"/>
  <c r="BP393" i="12" s="1"/>
  <c r="BP391" i="12" s="1"/>
  <c r="BP418" i="12"/>
  <c r="BP295" i="12"/>
  <c r="BP297" i="6"/>
  <c r="BP295" i="6" s="1"/>
  <c r="BN200" i="6"/>
  <c r="BM229" i="2"/>
  <c r="BM173" i="2"/>
  <c r="BM168" i="2"/>
  <c r="BM304" i="6" s="1"/>
  <c r="BM169" i="2"/>
  <c r="BM305" i="6" s="1"/>
  <c r="BM174" i="2"/>
  <c r="BN260" i="6"/>
  <c r="BN223" i="2"/>
  <c r="BK353" i="12"/>
  <c r="BK351" i="12"/>
  <c r="BO420" i="12"/>
  <c r="BO301" i="6"/>
  <c r="BN294" i="12"/>
  <c r="BN274" i="6" s="1"/>
  <c r="BO375" i="12"/>
  <c r="BO395" i="12" s="1"/>
  <c r="BO394" i="12" s="1"/>
  <c r="BO393" i="12" s="1"/>
  <c r="BO391" i="12" s="1"/>
  <c r="BO276" i="6"/>
  <c r="BO279" i="6"/>
  <c r="BO298" i="6"/>
  <c r="BO414" i="12"/>
  <c r="BO286" i="12"/>
  <c r="BO297" i="6" s="1"/>
  <c r="BO275" i="6"/>
  <c r="BS122" i="6"/>
  <c r="BS248" i="6" s="1"/>
  <c r="BN409" i="12"/>
  <c r="BJ305" i="12"/>
  <c r="BJ306" i="12"/>
  <c r="BJ307" i="12"/>
  <c r="BK307" i="12"/>
  <c r="BJ308" i="12"/>
  <c r="BJ337" i="12"/>
  <c r="BK306" i="12"/>
  <c r="BN371" i="12"/>
  <c r="BK305" i="12"/>
  <c r="BS272" i="6"/>
  <c r="BN355" i="12"/>
  <c r="BN212" i="2"/>
  <c r="BN83" i="2"/>
  <c r="BN6" i="12"/>
  <c r="BN321" i="12"/>
  <c r="BN377" i="12" s="1"/>
  <c r="BM230" i="2"/>
  <c r="BK151" i="2"/>
  <c r="BK162" i="2"/>
  <c r="BK99" i="12"/>
  <c r="BK138" i="12"/>
  <c r="BK180" i="12"/>
  <c r="BM358" i="12"/>
  <c r="BJ181" i="6"/>
  <c r="BM357" i="12"/>
  <c r="BJ180" i="6"/>
  <c r="BM21" i="12"/>
  <c r="BJ23" i="12"/>
  <c r="BM271" i="12"/>
  <c r="BM127" i="2"/>
  <c r="BK117" i="6"/>
  <c r="BK197" i="12"/>
  <c r="BK188" i="12"/>
  <c r="BK168" i="12"/>
  <c r="BK195" i="12"/>
  <c r="BK123" i="12"/>
  <c r="BK179" i="12"/>
  <c r="BK159" i="12"/>
  <c r="BK178" i="12"/>
  <c r="BK175" i="12"/>
  <c r="BK121" i="12"/>
  <c r="BM388" i="12"/>
  <c r="BJ24" i="12"/>
  <c r="BM359" i="12"/>
  <c r="BJ182" i="6"/>
  <c r="BN146" i="2"/>
  <c r="BN171" i="2" s="1"/>
  <c r="BN307" i="6" s="1"/>
  <c r="BK334" i="12"/>
  <c r="BK163" i="2"/>
  <c r="BK172" i="12"/>
  <c r="BK345" i="12"/>
  <c r="BK119" i="12"/>
  <c r="BK167" i="12"/>
  <c r="BK135" i="12"/>
  <c r="BK134" i="12"/>
  <c r="BK133" i="12"/>
  <c r="BK258" i="12"/>
  <c r="BM198" i="6"/>
  <c r="BK150" i="2"/>
  <c r="BM360" i="12"/>
  <c r="BJ183" i="6"/>
  <c r="BM425" i="12"/>
  <c r="BT431" i="12" s="1"/>
  <c r="BK109" i="2"/>
  <c r="BK98" i="12"/>
  <c r="BK341" i="12"/>
  <c r="BK114" i="2"/>
  <c r="BK157" i="12"/>
  <c r="BK328" i="12"/>
  <c r="BK97" i="12"/>
  <c r="BK136" i="12"/>
  <c r="BK340" i="12"/>
  <c r="BK114" i="12"/>
  <c r="BK337" i="12"/>
  <c r="BK113" i="12"/>
  <c r="BK112" i="12"/>
  <c r="BK223" i="12"/>
  <c r="BK116" i="6"/>
  <c r="BM229" i="6"/>
  <c r="BJ26" i="6"/>
  <c r="BM202" i="6"/>
  <c r="BJ71" i="6"/>
  <c r="BM215" i="2"/>
  <c r="BJ187" i="6"/>
  <c r="BM373" i="12"/>
  <c r="BJ75" i="12"/>
  <c r="BM330" i="12"/>
  <c r="BJ331" i="12"/>
  <c r="BK346" i="12"/>
  <c r="BK120" i="12"/>
  <c r="BK256" i="12"/>
  <c r="BK111" i="6"/>
  <c r="BK118" i="12"/>
  <c r="BK275" i="12"/>
  <c r="BK273" i="12"/>
  <c r="BK170" i="6"/>
  <c r="BK169" i="6"/>
  <c r="BK210" i="12"/>
  <c r="BK103" i="6"/>
  <c r="BM230" i="6"/>
  <c r="BJ27" i="6"/>
  <c r="BM171" i="6"/>
  <c r="BM189" i="6"/>
  <c r="BJ192" i="6"/>
  <c r="BM71" i="2"/>
  <c r="BM94" i="2"/>
  <c r="BM198" i="2"/>
  <c r="BK276" i="12"/>
  <c r="BN261" i="12"/>
  <c r="BK329" i="12"/>
  <c r="BK220" i="12"/>
  <c r="BK104" i="2"/>
  <c r="BK173" i="6"/>
  <c r="BK232" i="12"/>
  <c r="BK109" i="6"/>
  <c r="BK231" i="12"/>
  <c r="BK107" i="6"/>
  <c r="BK229" i="12"/>
  <c r="BK106" i="6"/>
  <c r="BK187" i="12"/>
  <c r="BK85" i="6"/>
  <c r="BK166" i="12"/>
  <c r="BM389" i="12"/>
  <c r="BJ31" i="12"/>
  <c r="BM265" i="12"/>
  <c r="BK125" i="2"/>
  <c r="BK174" i="12"/>
  <c r="BK257" i="12"/>
  <c r="BK114" i="6"/>
  <c r="BK196" i="12"/>
  <c r="BK255" i="12"/>
  <c r="BK110" i="6"/>
  <c r="BK216" i="12"/>
  <c r="BK95" i="6"/>
  <c r="BK214" i="12"/>
  <c r="BK94" i="6"/>
  <c r="BK213" i="12"/>
  <c r="BK90" i="6"/>
  <c r="BK173" i="12"/>
  <c r="BK228" i="12"/>
  <c r="BM93" i="2"/>
  <c r="BM175" i="6"/>
  <c r="BM207" i="6" s="1"/>
  <c r="BM208" i="6"/>
  <c r="BM216" i="2"/>
  <c r="BJ188" i="6"/>
  <c r="BM268" i="12"/>
  <c r="BM336" i="12"/>
  <c r="BJ338" i="12"/>
  <c r="BM88" i="2"/>
  <c r="BM264" i="6" s="1"/>
  <c r="BM121" i="2"/>
  <c r="BK87" i="6"/>
  <c r="BK96" i="12"/>
  <c r="BK222" i="12"/>
  <c r="BK100" i="6"/>
  <c r="BK181" i="12"/>
  <c r="BK219" i="12"/>
  <c r="BK98" i="6"/>
  <c r="BK194" i="12"/>
  <c r="BK80" i="2"/>
  <c r="BK191" i="12"/>
  <c r="BK105" i="6"/>
  <c r="BK189" i="12"/>
  <c r="BK211" i="12"/>
  <c r="BK158" i="12"/>
  <c r="BK111" i="12"/>
  <c r="BN145" i="2"/>
  <c r="BN175" i="2" s="1"/>
  <c r="BN252" i="2" s="1"/>
  <c r="BN248" i="2"/>
  <c r="BN89" i="2"/>
  <c r="BN142" i="2" s="1"/>
  <c r="BN222" i="2" s="1"/>
  <c r="BN237" i="6"/>
  <c r="BN422" i="12"/>
  <c r="BU428" i="12" s="1"/>
  <c r="BN258" i="6"/>
  <c r="BN25" i="2"/>
  <c r="BN225" i="2"/>
  <c r="BN231" i="2" s="1"/>
  <c r="BN228" i="2" s="1"/>
  <c r="BN6" i="2"/>
  <c r="BN37" i="12"/>
  <c r="BN199" i="12"/>
  <c r="BN407" i="12"/>
  <c r="BN147" i="12"/>
  <c r="BN408" i="12"/>
  <c r="BN249" i="12"/>
  <c r="BN297" i="12" s="1"/>
  <c r="BN247" i="12"/>
  <c r="BN296" i="12" s="1"/>
  <c r="BN257" i="6"/>
  <c r="BN259" i="6"/>
  <c r="BN250" i="12"/>
  <c r="BN298" i="12" s="1"/>
  <c r="BN86" i="12"/>
  <c r="BN384" i="12"/>
  <c r="BN390" i="12" s="1"/>
  <c r="BN387" i="12" s="1"/>
  <c r="BN197" i="6"/>
  <c r="BN196" i="6" s="1"/>
  <c r="BN247" i="6" s="1"/>
  <c r="BN112" i="6"/>
  <c r="BN119" i="6" s="1"/>
  <c r="BN121" i="6" s="1"/>
  <c r="BN177" i="6"/>
  <c r="BN30" i="6"/>
  <c r="BN225" i="6"/>
  <c r="BN231" i="6" s="1"/>
  <c r="BN228" i="6" s="1"/>
  <c r="BN6" i="6"/>
  <c r="BN256" i="6"/>
  <c r="BN246" i="12"/>
  <c r="BN295" i="12" s="1"/>
  <c r="BM204" i="2"/>
  <c r="BM120" i="2"/>
  <c r="BM339" i="12"/>
  <c r="BM348" i="12"/>
  <c r="BM380" i="12" s="1"/>
  <c r="BM90" i="12"/>
  <c r="BM143" i="12" s="1"/>
  <c r="BM369" i="12" s="1"/>
  <c r="BM168" i="6"/>
  <c r="BM237" i="6" s="1"/>
  <c r="BM77" i="2"/>
  <c r="BM122" i="2"/>
  <c r="BM86" i="2"/>
  <c r="BM263" i="6" s="1"/>
  <c r="BM170" i="12"/>
  <c r="BM147" i="2"/>
  <c r="BM92" i="2"/>
  <c r="BM56" i="2"/>
  <c r="BM218" i="2" s="1"/>
  <c r="BM217" i="2" s="1"/>
  <c r="BM40" i="2"/>
  <c r="BM26" i="2"/>
  <c r="BM227" i="2" s="1"/>
  <c r="BM20" i="2"/>
  <c r="BM7" i="2"/>
  <c r="BM226" i="2" s="1"/>
  <c r="BM190" i="2"/>
  <c r="BM189" i="2" s="1"/>
  <c r="BM161" i="2"/>
  <c r="BM152" i="2" s="1"/>
  <c r="BM95" i="2"/>
  <c r="BM111" i="2"/>
  <c r="BM342" i="12"/>
  <c r="BM378" i="12" s="1"/>
  <c r="BM323" i="12"/>
  <c r="BM397" i="12" s="1"/>
  <c r="BM322" i="12"/>
  <c r="BM427" i="12"/>
  <c r="BT433" i="12" s="1"/>
  <c r="BM303" i="12"/>
  <c r="BM302" i="12" s="1"/>
  <c r="BM424" i="12"/>
  <c r="BT430" i="12" s="1"/>
  <c r="BM184" i="6"/>
  <c r="BM91" i="12"/>
  <c r="BM144" i="12" s="1"/>
  <c r="BM370" i="12" s="1"/>
  <c r="BM152" i="12"/>
  <c r="BM115" i="6"/>
  <c r="BM149" i="12"/>
  <c r="BM274" i="12"/>
  <c r="BM253" i="12"/>
  <c r="BM205" i="12"/>
  <c r="BM226" i="12"/>
  <c r="BM217" i="12"/>
  <c r="BM204" i="12"/>
  <c r="BM202" i="12"/>
  <c r="BM208" i="12"/>
  <c r="BM192" i="12"/>
  <c r="BM251" i="12"/>
  <c r="BM291" i="12" s="1"/>
  <c r="BM302" i="6" s="1"/>
  <c r="BM184" i="12"/>
  <c r="BM150" i="12"/>
  <c r="BM176" i="12"/>
  <c r="BM151" i="12"/>
  <c r="BM163" i="12"/>
  <c r="BM131" i="12"/>
  <c r="BM116" i="12"/>
  <c r="BM89" i="12"/>
  <c r="BM142" i="12" s="1"/>
  <c r="BM109" i="12"/>
  <c r="BM364" i="12" s="1"/>
  <c r="BM94" i="12"/>
  <c r="BM426" i="12"/>
  <c r="BT432" i="12" s="1"/>
  <c r="BM88" i="12"/>
  <c r="BM141" i="12" s="1"/>
  <c r="BM71" i="12"/>
  <c r="BM372" i="12" s="1"/>
  <c r="BM55" i="12"/>
  <c r="BM38" i="12"/>
  <c r="BM386" i="12" s="1"/>
  <c r="BM7" i="12"/>
  <c r="BM385" i="12" s="1"/>
  <c r="BM255" i="6"/>
  <c r="BM366" i="12"/>
  <c r="BM245" i="12"/>
  <c r="BM285" i="12" s="1"/>
  <c r="BM296" i="6" s="1"/>
  <c r="BM327" i="12"/>
  <c r="BM201" i="12"/>
  <c r="BM155" i="12"/>
  <c r="BM84" i="6"/>
  <c r="BM96" i="6" s="1"/>
  <c r="BM197" i="6" s="1"/>
  <c r="BM178" i="6"/>
  <c r="BM108" i="6"/>
  <c r="BM97" i="6"/>
  <c r="BM67" i="6"/>
  <c r="BM201" i="6" s="1"/>
  <c r="BM49" i="6"/>
  <c r="BM31" i="6"/>
  <c r="BM23" i="6"/>
  <c r="BM7" i="6"/>
  <c r="BM226" i="6" s="1"/>
  <c r="BM238" i="6"/>
  <c r="BM117" i="2" l="1"/>
  <c r="BK348" i="12"/>
  <c r="BP293" i="12"/>
  <c r="BP410" i="12" s="1"/>
  <c r="BP412" i="12"/>
  <c r="BP275" i="6"/>
  <c r="BP273" i="6" s="1"/>
  <c r="BO418" i="12"/>
  <c r="BN176" i="2"/>
  <c r="BN285" i="6" s="1"/>
  <c r="BN221" i="2"/>
  <c r="BN236" i="2" s="1"/>
  <c r="BN235" i="2" s="1"/>
  <c r="BN234" i="2" s="1"/>
  <c r="BN232" i="2" s="1"/>
  <c r="BJ187" i="2"/>
  <c r="BM196" i="6"/>
  <c r="BM247" i="6" s="1"/>
  <c r="BN293" i="12"/>
  <c r="BO273" i="6"/>
  <c r="BO295" i="6"/>
  <c r="BM294" i="12"/>
  <c r="BO284" i="12"/>
  <c r="BO416" i="12" s="1"/>
  <c r="BN289" i="12"/>
  <c r="BN300" i="6" s="1"/>
  <c r="BN290" i="12"/>
  <c r="BN301" i="6" s="1"/>
  <c r="BN286" i="12"/>
  <c r="BN287" i="12"/>
  <c r="BN298" i="6" s="1"/>
  <c r="BN276" i="6"/>
  <c r="BN396" i="12"/>
  <c r="BM371" i="12"/>
  <c r="BM355" i="12"/>
  <c r="BM177" i="6"/>
  <c r="BO410" i="12"/>
  <c r="BO412" i="12"/>
  <c r="BK97" i="6"/>
  <c r="BM200" i="6"/>
  <c r="BM261" i="12"/>
  <c r="BM212" i="2"/>
  <c r="BM146" i="2"/>
  <c r="BM176" i="2" s="1"/>
  <c r="BM285" i="6" s="1"/>
  <c r="BK226" i="12"/>
  <c r="BN170" i="2"/>
  <c r="BN306" i="6" s="1"/>
  <c r="BN303" i="6" s="1"/>
  <c r="BM259" i="6"/>
  <c r="BM248" i="2"/>
  <c r="BN245" i="2"/>
  <c r="BN254" i="6"/>
  <c r="BN253" i="6" s="1"/>
  <c r="BN167" i="2"/>
  <c r="BN253" i="2" s="1"/>
  <c r="BM250" i="12"/>
  <c r="BM298" i="12" s="1"/>
  <c r="BN139" i="12"/>
  <c r="BN363" i="12" s="1"/>
  <c r="BN279" i="6"/>
  <c r="BN278" i="6"/>
  <c r="BN414" i="12"/>
  <c r="BN205" i="6"/>
  <c r="BN204" i="6" s="1"/>
  <c r="BN122" i="6" s="1"/>
  <c r="BN248" i="6" s="1"/>
  <c r="BN284" i="6"/>
  <c r="BN218" i="6"/>
  <c r="BN217" i="6" s="1"/>
  <c r="BN249" i="6"/>
  <c r="BN294" i="6"/>
  <c r="BM258" i="6"/>
  <c r="BM83" i="2"/>
  <c r="BM206" i="6"/>
  <c r="BM6" i="12"/>
  <c r="BM409" i="12"/>
  <c r="BM260" i="6"/>
  <c r="BM145" i="2"/>
  <c r="BM175" i="2" s="1"/>
  <c r="BM252" i="2" s="1"/>
  <c r="BM89" i="2"/>
  <c r="BM25" i="2"/>
  <c r="BM225" i="2"/>
  <c r="BM231" i="2" s="1"/>
  <c r="BM228" i="2" s="1"/>
  <c r="BM6" i="2"/>
  <c r="BM223" i="2"/>
  <c r="BM237" i="2"/>
  <c r="BM422" i="12"/>
  <c r="BT428" i="12" s="1"/>
  <c r="BM147" i="12"/>
  <c r="BM247" i="12"/>
  <c r="BM296" i="12" s="1"/>
  <c r="BM249" i="12"/>
  <c r="BM297" i="12" s="1"/>
  <c r="BM408" i="12"/>
  <c r="BM368" i="12"/>
  <c r="BM407" i="12" s="1"/>
  <c r="BM257" i="6"/>
  <c r="BM86" i="12"/>
  <c r="BM256" i="6"/>
  <c r="BM246" i="12"/>
  <c r="BM295" i="12" s="1"/>
  <c r="BM384" i="12"/>
  <c r="BM390" i="12" s="1"/>
  <c r="BM387" i="12" s="1"/>
  <c r="BM37" i="12"/>
  <c r="BM321" i="12"/>
  <c r="BM396" i="12" s="1"/>
  <c r="BM199" i="12"/>
  <c r="BM112" i="6"/>
  <c r="BM205" i="6" s="1"/>
  <c r="BM30" i="6"/>
  <c r="BM227" i="6"/>
  <c r="BM225" i="6" s="1"/>
  <c r="BM231" i="6" s="1"/>
  <c r="BM228" i="6" s="1"/>
  <c r="BM6" i="6"/>
  <c r="BI34" i="16"/>
  <c r="BM274" i="6" l="1"/>
  <c r="BM293" i="12"/>
  <c r="BN281" i="6"/>
  <c r="BN172" i="2"/>
  <c r="BN249" i="2" s="1"/>
  <c r="BN420" i="12"/>
  <c r="BN297" i="6"/>
  <c r="BN295" i="6" s="1"/>
  <c r="BN315" i="6" s="1"/>
  <c r="BN421" i="12"/>
  <c r="BM289" i="12"/>
  <c r="BM420" i="12" s="1"/>
  <c r="BN419" i="12"/>
  <c r="BM286" i="12"/>
  <c r="BM287" i="12"/>
  <c r="BM298" i="6" s="1"/>
  <c r="BM276" i="6"/>
  <c r="BM290" i="12"/>
  <c r="BM421" i="12" s="1"/>
  <c r="BN284" i="12"/>
  <c r="BM142" i="2"/>
  <c r="BM167" i="2" s="1"/>
  <c r="BM253" i="2" s="1"/>
  <c r="BM171" i="2"/>
  <c r="BM307" i="6" s="1"/>
  <c r="BN256" i="2"/>
  <c r="BM204" i="6"/>
  <c r="BM236" i="6" s="1"/>
  <c r="BM235" i="6" s="1"/>
  <c r="BN244" i="12"/>
  <c r="BN376" i="12" s="1"/>
  <c r="BN413" i="12"/>
  <c r="BN415" i="12"/>
  <c r="BN272" i="6"/>
  <c r="BN236" i="6"/>
  <c r="BN235" i="6" s="1"/>
  <c r="BN234" i="6" s="1"/>
  <c r="BN232" i="6" s="1"/>
  <c r="BN275" i="6"/>
  <c r="BN273" i="6" s="1"/>
  <c r="BM245" i="2"/>
  <c r="BM119" i="6"/>
  <c r="BM121" i="6" s="1"/>
  <c r="BM218" i="6" s="1"/>
  <c r="BM217" i="6" s="1"/>
  <c r="BM170" i="2"/>
  <c r="BM306" i="6" s="1"/>
  <c r="BM284" i="6"/>
  <c r="BM281" i="6" s="1"/>
  <c r="BM172" i="2"/>
  <c r="BM249" i="2" s="1"/>
  <c r="BM139" i="12"/>
  <c r="BM363" i="12" s="1"/>
  <c r="BM278" i="6"/>
  <c r="BM254" i="6"/>
  <c r="BM253" i="6" s="1"/>
  <c r="BM377" i="12"/>
  <c r="BM279" i="6"/>
  <c r="BM415" i="12"/>
  <c r="BM300" i="6" l="1"/>
  <c r="BM303" i="6"/>
  <c r="BM272" i="6"/>
  <c r="BM122" i="6"/>
  <c r="BM248" i="6" s="1"/>
  <c r="BN375" i="12"/>
  <c r="BN395" i="12" s="1"/>
  <c r="BN394" i="12" s="1"/>
  <c r="BN393" i="12" s="1"/>
  <c r="BN391" i="12" s="1"/>
  <c r="BM297" i="6"/>
  <c r="BM419" i="12"/>
  <c r="BM301" i="6"/>
  <c r="BM284" i="12"/>
  <c r="BJ199" i="2"/>
  <c r="BJ190" i="2" s="1"/>
  <c r="BJ189" i="2" s="1"/>
  <c r="BJ205" i="2"/>
  <c r="BJ206" i="2"/>
  <c r="BJ204" i="2" s="1"/>
  <c r="BM222" i="2"/>
  <c r="BM221" i="2" s="1"/>
  <c r="BM236" i="2" s="1"/>
  <c r="BM235" i="2" s="1"/>
  <c r="BM234" i="2" s="1"/>
  <c r="BM232" i="2" s="1"/>
  <c r="BM249" i="6"/>
  <c r="BM294" i="6"/>
  <c r="BM256" i="2"/>
  <c r="BM244" i="12"/>
  <c r="BM376" i="12" s="1"/>
  <c r="BM414" i="12"/>
  <c r="BM413" i="12"/>
  <c r="BM275" i="6"/>
  <c r="BM273" i="6" s="1"/>
  <c r="BM234" i="6"/>
  <c r="BM232" i="6" s="1"/>
  <c r="BL154" i="2"/>
  <c r="BL94" i="2"/>
  <c r="BL88" i="2"/>
  <c r="BL71" i="2"/>
  <c r="BI65" i="2"/>
  <c r="BI63" i="2"/>
  <c r="BI57" i="2"/>
  <c r="BI66" i="2"/>
  <c r="BI64" i="2"/>
  <c r="BI55" i="2"/>
  <c r="BI50" i="2"/>
  <c r="BI38" i="2"/>
  <c r="BI36" i="2"/>
  <c r="BI35" i="2"/>
  <c r="BI34" i="2"/>
  <c r="BI33" i="2"/>
  <c r="BI32" i="2"/>
  <c r="BI31" i="2"/>
  <c r="BI27" i="2"/>
  <c r="BI24" i="2"/>
  <c r="BI230" i="2" s="1"/>
  <c r="BI23" i="2"/>
  <c r="BI229" i="2" s="1"/>
  <c r="BI22" i="2"/>
  <c r="BI21" i="2"/>
  <c r="BI19" i="2"/>
  <c r="BI16" i="2"/>
  <c r="BI13" i="2"/>
  <c r="BI10" i="2"/>
  <c r="BI9" i="2"/>
  <c r="BI8" i="2"/>
  <c r="BL333" i="12"/>
  <c r="BJ328" i="12"/>
  <c r="BL271" i="12"/>
  <c r="BL268" i="12"/>
  <c r="BJ256" i="12"/>
  <c r="BJ222" i="12"/>
  <c r="BJ196" i="12"/>
  <c r="BJ172" i="12"/>
  <c r="BJ168" i="12"/>
  <c r="BJ99" i="12"/>
  <c r="BJ427" i="12" s="1"/>
  <c r="BQ433" i="12" s="1"/>
  <c r="BJ97" i="12"/>
  <c r="BJ425" i="12" s="1"/>
  <c r="BQ431" i="12" s="1"/>
  <c r="BI81" i="12"/>
  <c r="BI80" i="12"/>
  <c r="BI79" i="12"/>
  <c r="BI78" i="12"/>
  <c r="BI74" i="12"/>
  <c r="BI73" i="12"/>
  <c r="BI72" i="12"/>
  <c r="BI58" i="12"/>
  <c r="BI70" i="12"/>
  <c r="BI68" i="12"/>
  <c r="BI66" i="12"/>
  <c r="BI64" i="12"/>
  <c r="BI63" i="12"/>
  <c r="BI62" i="12"/>
  <c r="BI60" i="12"/>
  <c r="BI57" i="12"/>
  <c r="BI56" i="12"/>
  <c r="BI43" i="6"/>
  <c r="BI54" i="12"/>
  <c r="BI53" i="12"/>
  <c r="BI50" i="12"/>
  <c r="BI49" i="12"/>
  <c r="BI48" i="12"/>
  <c r="BI47" i="12"/>
  <c r="BI46" i="12"/>
  <c r="BI45" i="12"/>
  <c r="BI44" i="12"/>
  <c r="BI43" i="12"/>
  <c r="BI41" i="12"/>
  <c r="BI40" i="12"/>
  <c r="BI39" i="12"/>
  <c r="BI36" i="12"/>
  <c r="BI35" i="12"/>
  <c r="BI34" i="12"/>
  <c r="BI33" i="12"/>
  <c r="BI29" i="12"/>
  <c r="BI28" i="12"/>
  <c r="BI27" i="12"/>
  <c r="BI26" i="12"/>
  <c r="BI24" i="12"/>
  <c r="BI388" i="12" s="1"/>
  <c r="BI23" i="12"/>
  <c r="BI22" i="12"/>
  <c r="BI20" i="12"/>
  <c r="BI19" i="12"/>
  <c r="BI14" i="12"/>
  <c r="BI13" i="12"/>
  <c r="BI11" i="12"/>
  <c r="BI10" i="12"/>
  <c r="BI9" i="12"/>
  <c r="BI8" i="12"/>
  <c r="BI195" i="6"/>
  <c r="BI192" i="6"/>
  <c r="BI189" i="6" s="1"/>
  <c r="BI187" i="6"/>
  <c r="BI215" i="2" s="1"/>
  <c r="BI182" i="6"/>
  <c r="BI359" i="12" s="1"/>
  <c r="BI181" i="6"/>
  <c r="BI358" i="12" s="1"/>
  <c r="BJ176" i="6"/>
  <c r="BJ99" i="6"/>
  <c r="BJ175" i="6" s="1"/>
  <c r="BJ207" i="6" s="1"/>
  <c r="BI78" i="6"/>
  <c r="BI76" i="6"/>
  <c r="BI75" i="6"/>
  <c r="BI71" i="6"/>
  <c r="BI202" i="6" s="1"/>
  <c r="BI70" i="6"/>
  <c r="BI68" i="6"/>
  <c r="BI66" i="6"/>
  <c r="BI65" i="6"/>
  <c r="BI64" i="6"/>
  <c r="BI61" i="6"/>
  <c r="BI60" i="6"/>
  <c r="BI59" i="6"/>
  <c r="BI58" i="6"/>
  <c r="BI57" i="6"/>
  <c r="BI56" i="6"/>
  <c r="BI54" i="6"/>
  <c r="BI53" i="6"/>
  <c r="BI52" i="6"/>
  <c r="BI51" i="6"/>
  <c r="BI50" i="6"/>
  <c r="BI48" i="6"/>
  <c r="BI47" i="6"/>
  <c r="BI42" i="6"/>
  <c r="BI41" i="6"/>
  <c r="BI40" i="6"/>
  <c r="BI39" i="6"/>
  <c r="BI38" i="6"/>
  <c r="BI37" i="6"/>
  <c r="BI36" i="6"/>
  <c r="BI35" i="6"/>
  <c r="BI34" i="6"/>
  <c r="BI33" i="6"/>
  <c r="BI32" i="6"/>
  <c r="BI26" i="6"/>
  <c r="BI229" i="6" s="1"/>
  <c r="BI25" i="6"/>
  <c r="BI24" i="6"/>
  <c r="BI22" i="6"/>
  <c r="BI19" i="6"/>
  <c r="BI14" i="6"/>
  <c r="BI13" i="6"/>
  <c r="BI12" i="6"/>
  <c r="BI11" i="6"/>
  <c r="BI10" i="6"/>
  <c r="BI9" i="6"/>
  <c r="BI8" i="6"/>
  <c r="BI20" i="16"/>
  <c r="BJ20" i="16"/>
  <c r="BI47" i="16"/>
  <c r="BJ47" i="16"/>
  <c r="BK47" i="16"/>
  <c r="BL47" i="16"/>
  <c r="BJ184" i="2"/>
  <c r="BK184" i="2"/>
  <c r="BL184" i="2"/>
  <c r="BL190" i="2"/>
  <c r="BL189" i="2" s="1"/>
  <c r="BI192" i="2"/>
  <c r="BJ192" i="2"/>
  <c r="BK192" i="2"/>
  <c r="BL192" i="2"/>
  <c r="BL198" i="2"/>
  <c r="BK190" i="2"/>
  <c r="BK189" i="2" s="1"/>
  <c r="BI201" i="2"/>
  <c r="BJ201" i="2"/>
  <c r="BK201" i="2"/>
  <c r="BL201" i="2"/>
  <c r="BK204" i="2"/>
  <c r="BL204" i="2"/>
  <c r="BI207" i="2"/>
  <c r="BJ207" i="2"/>
  <c r="BJ224" i="2" s="1"/>
  <c r="BK207" i="2"/>
  <c r="BK224" i="2" s="1"/>
  <c r="BL207" i="2"/>
  <c r="BL224" i="2" s="1"/>
  <c r="BJ215" i="2"/>
  <c r="BK215" i="2"/>
  <c r="BJ216" i="2"/>
  <c r="BK216" i="2"/>
  <c r="BI219" i="2"/>
  <c r="BJ219" i="2"/>
  <c r="BK219" i="2"/>
  <c r="BL219" i="2"/>
  <c r="BI220" i="2"/>
  <c r="BJ220" i="2"/>
  <c r="BK220" i="2"/>
  <c r="BL220" i="2"/>
  <c r="BI224" i="2"/>
  <c r="BJ229" i="2"/>
  <c r="BK229" i="2"/>
  <c r="BJ230" i="2"/>
  <c r="BK230" i="2"/>
  <c r="BL230" i="2"/>
  <c r="BI238" i="2"/>
  <c r="BJ238" i="2"/>
  <c r="BK238" i="2"/>
  <c r="BL238" i="2"/>
  <c r="BI70" i="2"/>
  <c r="BJ70" i="2"/>
  <c r="BK70" i="2"/>
  <c r="BL70" i="2"/>
  <c r="BK71" i="2"/>
  <c r="BK77" i="2"/>
  <c r="BK86" i="2"/>
  <c r="BI87" i="2"/>
  <c r="BJ87" i="2"/>
  <c r="BK87" i="2"/>
  <c r="BL87" i="2"/>
  <c r="BK88" i="2"/>
  <c r="BK92" i="2"/>
  <c r="BK93" i="2"/>
  <c r="BK101" i="2"/>
  <c r="BL101" i="2"/>
  <c r="BK106" i="2"/>
  <c r="BL106" i="2"/>
  <c r="BK111" i="2"/>
  <c r="BI118" i="2"/>
  <c r="BI143" i="2" s="1"/>
  <c r="BI168" i="2" s="1"/>
  <c r="BI304" i="6" s="1"/>
  <c r="BJ118" i="2"/>
  <c r="BJ143" i="2" s="1"/>
  <c r="BJ168" i="2" s="1"/>
  <c r="BJ304" i="6" s="1"/>
  <c r="BK118" i="2"/>
  <c r="BL118" i="2"/>
  <c r="BL143" i="2" s="1"/>
  <c r="BI119" i="2"/>
  <c r="BI144" i="2" s="1"/>
  <c r="BJ119" i="2"/>
  <c r="BJ144" i="2" s="1"/>
  <c r="BK119" i="2"/>
  <c r="BK144" i="2" s="1"/>
  <c r="BK174" i="2" s="1"/>
  <c r="BL119" i="2"/>
  <c r="BL144" i="2" s="1"/>
  <c r="BL169" i="2" s="1"/>
  <c r="BL305" i="6" s="1"/>
  <c r="BK122" i="2"/>
  <c r="BK120" i="2"/>
  <c r="BL127" i="2"/>
  <c r="BI132" i="2"/>
  <c r="BJ132" i="2"/>
  <c r="BK132" i="2"/>
  <c r="BL132" i="2"/>
  <c r="BK147" i="2"/>
  <c r="BK154" i="2"/>
  <c r="BK153" i="2"/>
  <c r="BI164" i="2"/>
  <c r="BJ164" i="2"/>
  <c r="BK164" i="2"/>
  <c r="BL164" i="2"/>
  <c r="BJ7" i="2"/>
  <c r="BJ226" i="2" s="1"/>
  <c r="BK7" i="2"/>
  <c r="BK226" i="2" s="1"/>
  <c r="BJ20" i="2"/>
  <c r="BK20" i="2"/>
  <c r="BJ26" i="2"/>
  <c r="BJ227" i="2" s="1"/>
  <c r="BK26" i="2"/>
  <c r="BK227" i="2" s="1"/>
  <c r="BJ40" i="2"/>
  <c r="BK40" i="2"/>
  <c r="BJ56" i="2"/>
  <c r="BJ218" i="2" s="1"/>
  <c r="BK56" i="2"/>
  <c r="BK218" i="2" s="1"/>
  <c r="BK424" i="12"/>
  <c r="BR430" i="12" s="1"/>
  <c r="BK425" i="12"/>
  <c r="BR431" i="12" s="1"/>
  <c r="BK426" i="12"/>
  <c r="BR432" i="12" s="1"/>
  <c r="BK427" i="12"/>
  <c r="BR433" i="12" s="1"/>
  <c r="BJ303" i="12"/>
  <c r="BJ302" i="12" s="1"/>
  <c r="BK303" i="12"/>
  <c r="BK302" i="12" s="1"/>
  <c r="BI303" i="12"/>
  <c r="BI302" i="12" s="1"/>
  <c r="BI324" i="12"/>
  <c r="BJ324" i="12"/>
  <c r="BK324" i="12"/>
  <c r="BL324" i="12"/>
  <c r="BK322" i="12"/>
  <c r="BK323" i="12"/>
  <c r="BK397" i="12" s="1"/>
  <c r="BJ330" i="12"/>
  <c r="BK330" i="12"/>
  <c r="BL330" i="12"/>
  <c r="BK333" i="12"/>
  <c r="BL336" i="12"/>
  <c r="BJ336" i="12"/>
  <c r="BK336" i="12"/>
  <c r="BK339" i="12"/>
  <c r="BK342" i="12"/>
  <c r="BK378" i="12" s="1"/>
  <c r="BK380" i="12"/>
  <c r="BI356" i="12"/>
  <c r="BJ356" i="12"/>
  <c r="BK356" i="12"/>
  <c r="BL356" i="12"/>
  <c r="BJ357" i="12"/>
  <c r="BK357" i="12"/>
  <c r="BJ358" i="12"/>
  <c r="BK358" i="12"/>
  <c r="BJ359" i="12"/>
  <c r="BK359" i="12"/>
  <c r="BL359" i="12"/>
  <c r="BJ360" i="12"/>
  <c r="BK360" i="12"/>
  <c r="BJ373" i="12"/>
  <c r="BK373" i="12"/>
  <c r="BI374" i="12"/>
  <c r="BJ374" i="12"/>
  <c r="BK374" i="12"/>
  <c r="BL374" i="12"/>
  <c r="BJ388" i="12"/>
  <c r="BK388" i="12"/>
  <c r="BJ389" i="12"/>
  <c r="BK389" i="12"/>
  <c r="BI85" i="12"/>
  <c r="BJ85" i="12"/>
  <c r="BK85" i="12"/>
  <c r="BL85" i="12"/>
  <c r="BI87" i="12"/>
  <c r="BI140" i="12" s="1"/>
  <c r="BJ87" i="12"/>
  <c r="BJ140" i="12" s="1"/>
  <c r="BK87" i="12"/>
  <c r="BK140" i="12" s="1"/>
  <c r="BL87" i="12"/>
  <c r="BL140" i="12" s="1"/>
  <c r="BL366" i="12" s="1"/>
  <c r="BI92" i="12"/>
  <c r="BJ92" i="12"/>
  <c r="BK92" i="12"/>
  <c r="BL92" i="12"/>
  <c r="BK88" i="12"/>
  <c r="BK141" i="12" s="1"/>
  <c r="BK367" i="12" s="1"/>
  <c r="BK89" i="12"/>
  <c r="BK142" i="12" s="1"/>
  <c r="BK368" i="12" s="1"/>
  <c r="BK90" i="12"/>
  <c r="BK143" i="12" s="1"/>
  <c r="BK369" i="12" s="1"/>
  <c r="BK91" i="12"/>
  <c r="BK144" i="12" s="1"/>
  <c r="BK370" i="12" s="1"/>
  <c r="BI101" i="12"/>
  <c r="BJ101" i="12"/>
  <c r="BK101" i="12"/>
  <c r="BL101" i="12"/>
  <c r="BK109" i="12"/>
  <c r="BK364" i="12" s="1"/>
  <c r="BK116" i="12"/>
  <c r="BK131" i="12"/>
  <c r="BI148" i="12"/>
  <c r="BJ148" i="12"/>
  <c r="BK148" i="12"/>
  <c r="BL148" i="12"/>
  <c r="BI153" i="12"/>
  <c r="BJ153" i="12"/>
  <c r="BK153" i="12"/>
  <c r="BL153" i="12"/>
  <c r="BK149" i="12"/>
  <c r="BK150" i="12"/>
  <c r="BK151" i="12"/>
  <c r="BK152" i="12"/>
  <c r="BK163" i="12"/>
  <c r="BK170" i="12"/>
  <c r="BK176" i="12"/>
  <c r="BK184" i="12"/>
  <c r="BK192" i="12"/>
  <c r="BI200" i="12"/>
  <c r="BJ200" i="12"/>
  <c r="BK200" i="12"/>
  <c r="BL200" i="12"/>
  <c r="BI203" i="12"/>
  <c r="BI248" i="12" s="1"/>
  <c r="BI288" i="12" s="1"/>
  <c r="BI299" i="6" s="1"/>
  <c r="BJ203" i="12"/>
  <c r="BJ248" i="12" s="1"/>
  <c r="BJ288" i="12" s="1"/>
  <c r="BJ299" i="6" s="1"/>
  <c r="BK203" i="12"/>
  <c r="BK248" i="12" s="1"/>
  <c r="BK288" i="12" s="1"/>
  <c r="BK299" i="6" s="1"/>
  <c r="BL203" i="12"/>
  <c r="BL248" i="12" s="1"/>
  <c r="BL288" i="12" s="1"/>
  <c r="BL299" i="6" s="1"/>
  <c r="BI206" i="12"/>
  <c r="BJ206" i="12"/>
  <c r="BK206" i="12"/>
  <c r="BL206" i="12"/>
  <c r="BK201" i="12"/>
  <c r="BK204" i="12"/>
  <c r="BK205" i="12"/>
  <c r="BK217" i="12"/>
  <c r="BK202" i="12"/>
  <c r="BK253" i="12"/>
  <c r="BI262" i="12"/>
  <c r="BJ262" i="12"/>
  <c r="BK262" i="12"/>
  <c r="BL262" i="12"/>
  <c r="BK265" i="12"/>
  <c r="BL265" i="12"/>
  <c r="BK268" i="12"/>
  <c r="BK271" i="12"/>
  <c r="BK274" i="12"/>
  <c r="BK7" i="12"/>
  <c r="BK385" i="12" s="1"/>
  <c r="BK55" i="12"/>
  <c r="BJ7" i="6"/>
  <c r="BK7" i="6"/>
  <c r="BJ23" i="6"/>
  <c r="BK23" i="6"/>
  <c r="BJ31" i="6"/>
  <c r="BK31" i="6"/>
  <c r="BJ49" i="6"/>
  <c r="BK49" i="6"/>
  <c r="BJ67" i="6"/>
  <c r="BJ201" i="6" s="1"/>
  <c r="BK67" i="6"/>
  <c r="BK201" i="6" s="1"/>
  <c r="BI83" i="6"/>
  <c r="BJ83" i="6"/>
  <c r="BK83" i="6"/>
  <c r="BL83" i="6"/>
  <c r="BK84" i="6"/>
  <c r="BK96" i="6" s="1"/>
  <c r="BK108" i="6"/>
  <c r="BK115" i="6"/>
  <c r="BK168" i="6"/>
  <c r="BK171" i="6"/>
  <c r="BK175" i="6"/>
  <c r="BK207" i="6" s="1"/>
  <c r="BK178" i="6"/>
  <c r="BJ178" i="6"/>
  <c r="BJ184" i="6"/>
  <c r="BK184" i="6"/>
  <c r="BJ189" i="6"/>
  <c r="BK189" i="6"/>
  <c r="BL189" i="6"/>
  <c r="BK198" i="6"/>
  <c r="BL198" i="6"/>
  <c r="BI199" i="6"/>
  <c r="BJ199" i="6"/>
  <c r="BK199" i="6"/>
  <c r="BL199" i="6"/>
  <c r="BJ202" i="6"/>
  <c r="BK202" i="6"/>
  <c r="BI203" i="6"/>
  <c r="BJ203" i="6"/>
  <c r="BK203" i="6"/>
  <c r="BL203" i="6"/>
  <c r="BJ208" i="6"/>
  <c r="BK208" i="6"/>
  <c r="BJ229" i="6"/>
  <c r="BK229" i="6"/>
  <c r="BL229" i="6"/>
  <c r="BJ230" i="6"/>
  <c r="BK230" i="6"/>
  <c r="BI261" i="6"/>
  <c r="BJ261" i="6"/>
  <c r="BK261" i="6"/>
  <c r="BL261" i="6"/>
  <c r="BI262" i="6"/>
  <c r="BJ262" i="6"/>
  <c r="BK262" i="6"/>
  <c r="BL262" i="6"/>
  <c r="BD34" i="16"/>
  <c r="BD188" i="2"/>
  <c r="BD115" i="2"/>
  <c r="BD100" i="2"/>
  <c r="BD76" i="2"/>
  <c r="BD58" i="2"/>
  <c r="BD59" i="2"/>
  <c r="BD60" i="2"/>
  <c r="BD61" i="2"/>
  <c r="BD62" i="2"/>
  <c r="BD63" i="2"/>
  <c r="BD64" i="2"/>
  <c r="BD65" i="2"/>
  <c r="BD66" i="2"/>
  <c r="BD57" i="2"/>
  <c r="BD43" i="2"/>
  <c r="BD46" i="2"/>
  <c r="BD47" i="2"/>
  <c r="BD48" i="2"/>
  <c r="BD49" i="2"/>
  <c r="BD50" i="2"/>
  <c r="BD52" i="2"/>
  <c r="BD53" i="2"/>
  <c r="BD54" i="2"/>
  <c r="BD55" i="2"/>
  <c r="BD42" i="2"/>
  <c r="BD28" i="2"/>
  <c r="BD29" i="2"/>
  <c r="BD30" i="2"/>
  <c r="BD31" i="2"/>
  <c r="BD32" i="2"/>
  <c r="BD33" i="2"/>
  <c r="BD34" i="2"/>
  <c r="BD35" i="2"/>
  <c r="BD36" i="2"/>
  <c r="BD37" i="2"/>
  <c r="BD38" i="2"/>
  <c r="BD39" i="2"/>
  <c r="BD27" i="2"/>
  <c r="BD22" i="2"/>
  <c r="BD23" i="2"/>
  <c r="BD24" i="2"/>
  <c r="BD21" i="2"/>
  <c r="BD9" i="2"/>
  <c r="BD10" i="2"/>
  <c r="BD11" i="2"/>
  <c r="BD12" i="2"/>
  <c r="BD13" i="2"/>
  <c r="BD14" i="2"/>
  <c r="BD15" i="2"/>
  <c r="BD16" i="2"/>
  <c r="BD17" i="2"/>
  <c r="BD18" i="2"/>
  <c r="BD19" i="2"/>
  <c r="BD8" i="2"/>
  <c r="BD344" i="12"/>
  <c r="BD343" i="12"/>
  <c r="BD207" i="12"/>
  <c r="BD292" i="12"/>
  <c r="BD272" i="12"/>
  <c r="BD259" i="12"/>
  <c r="BD254" i="12"/>
  <c r="BD230" i="12"/>
  <c r="BD233" i="12"/>
  <c r="BD227" i="12"/>
  <c r="BD221" i="12"/>
  <c r="BD224" i="12"/>
  <c r="BD218" i="12"/>
  <c r="BD212" i="12"/>
  <c r="BD215" i="12"/>
  <c r="BD209" i="12"/>
  <c r="BD190" i="12"/>
  <c r="BD185" i="12"/>
  <c r="BD182" i="12"/>
  <c r="BD177" i="12"/>
  <c r="BD171" i="12"/>
  <c r="BD164" i="12"/>
  <c r="BD156" i="12"/>
  <c r="BD137" i="12"/>
  <c r="BD122" i="12"/>
  <c r="BD117" i="12"/>
  <c r="BD76" i="12"/>
  <c r="BD77" i="12"/>
  <c r="BD79" i="12"/>
  <c r="BD58" i="12"/>
  <c r="BD59" i="12"/>
  <c r="BD61" i="12"/>
  <c r="BD65" i="12"/>
  <c r="BD67" i="12"/>
  <c r="BD69" i="12"/>
  <c r="BD42" i="12"/>
  <c r="BD51" i="12"/>
  <c r="BD52" i="12"/>
  <c r="BD53" i="12"/>
  <c r="BD25" i="12"/>
  <c r="BD28" i="12"/>
  <c r="BD30" i="12"/>
  <c r="BD32" i="12"/>
  <c r="BD36" i="12"/>
  <c r="BD12" i="12"/>
  <c r="BD15" i="12"/>
  <c r="BD16" i="12"/>
  <c r="BD17" i="12"/>
  <c r="BD18" i="12"/>
  <c r="BD219" i="6"/>
  <c r="BD191" i="6"/>
  <c r="BD190" i="6"/>
  <c r="BD181" i="6"/>
  <c r="BD182" i="6"/>
  <c r="BD180" i="6"/>
  <c r="BD179" i="6"/>
  <c r="BD174" i="6"/>
  <c r="BD101" i="6"/>
  <c r="BD102" i="6"/>
  <c r="BD104" i="6"/>
  <c r="BD88" i="6"/>
  <c r="BD89" i="6"/>
  <c r="BD91" i="6"/>
  <c r="BD92" i="6"/>
  <c r="BD93" i="6"/>
  <c r="BD69" i="6"/>
  <c r="BD72" i="6"/>
  <c r="BD73" i="6"/>
  <c r="BD74" i="6"/>
  <c r="BD75" i="6"/>
  <c r="BD77" i="6"/>
  <c r="BD78" i="6"/>
  <c r="BD68" i="6"/>
  <c r="BD51" i="6"/>
  <c r="BD53" i="6"/>
  <c r="BD55" i="6"/>
  <c r="BD59" i="6"/>
  <c r="BD62" i="6"/>
  <c r="BD63" i="6"/>
  <c r="BD50" i="6"/>
  <c r="BD39" i="6"/>
  <c r="BD44" i="6"/>
  <c r="BD45" i="6"/>
  <c r="BD46" i="6"/>
  <c r="BD47" i="6"/>
  <c r="BD48" i="6"/>
  <c r="BD25" i="6"/>
  <c r="BD11" i="6"/>
  <c r="BD13" i="6"/>
  <c r="BD15" i="6"/>
  <c r="BD16" i="6"/>
  <c r="BD19" i="6"/>
  <c r="BD20" i="6"/>
  <c r="BI26" i="16"/>
  <c r="BH20" i="16"/>
  <c r="BH47" i="16"/>
  <c r="BG216" i="2"/>
  <c r="BD216" i="2" s="1"/>
  <c r="BI206" i="2"/>
  <c r="BH204" i="2"/>
  <c r="BH190" i="2"/>
  <c r="BH189" i="2" s="1"/>
  <c r="BH153" i="2"/>
  <c r="BH147" i="2"/>
  <c r="BH127" i="2"/>
  <c r="BH94" i="2"/>
  <c r="BH106" i="2"/>
  <c r="BH101" i="2"/>
  <c r="BH93" i="2"/>
  <c r="BH71" i="2"/>
  <c r="BH230" i="2"/>
  <c r="BH229" i="2"/>
  <c r="BH192" i="2"/>
  <c r="BH201" i="2"/>
  <c r="BH207" i="2"/>
  <c r="BH224" i="2" s="1"/>
  <c r="BH219" i="2"/>
  <c r="BH220" i="2"/>
  <c r="BH238" i="2"/>
  <c r="BH70" i="2"/>
  <c r="BH87" i="2"/>
  <c r="BH88" i="2"/>
  <c r="BH118" i="2"/>
  <c r="BH143" i="2" s="1"/>
  <c r="BH119" i="2"/>
  <c r="BH144" i="2" s="1"/>
  <c r="BH169" i="2" s="1"/>
  <c r="BH305" i="6" s="1"/>
  <c r="BH121" i="2"/>
  <c r="BH132" i="2"/>
  <c r="BH164" i="2"/>
  <c r="BH154" i="2"/>
  <c r="BI337" i="12"/>
  <c r="BI338" i="12"/>
  <c r="BH333" i="12"/>
  <c r="BI331" i="12"/>
  <c r="BI330" i="12" s="1"/>
  <c r="BH271" i="12"/>
  <c r="BH268" i="12"/>
  <c r="BH265" i="12"/>
  <c r="BH90" i="12"/>
  <c r="BH143" i="12" s="1"/>
  <c r="BH369" i="12" s="1"/>
  <c r="BH424" i="12"/>
  <c r="BO430" i="12" s="1"/>
  <c r="BH373" i="12"/>
  <c r="BH389" i="12"/>
  <c r="BH388" i="12"/>
  <c r="BH21" i="12"/>
  <c r="BD9" i="12"/>
  <c r="BH324" i="12"/>
  <c r="BH356" i="12"/>
  <c r="BH374" i="12"/>
  <c r="BH200" i="12"/>
  <c r="BH85" i="12"/>
  <c r="BH87" i="12"/>
  <c r="BH140" i="12" s="1"/>
  <c r="BH366" i="12" s="1"/>
  <c r="BH92" i="12"/>
  <c r="BH101" i="12"/>
  <c r="BH148" i="12"/>
  <c r="BH153" i="12"/>
  <c r="BH203" i="12"/>
  <c r="BH248" i="12" s="1"/>
  <c r="BH288" i="12" s="1"/>
  <c r="BH299" i="6" s="1"/>
  <c r="BH206" i="12"/>
  <c r="BH262" i="12"/>
  <c r="BH189" i="6"/>
  <c r="BH216" i="2"/>
  <c r="BH215" i="2"/>
  <c r="BH360" i="12"/>
  <c r="BH359" i="12"/>
  <c r="BH358" i="12"/>
  <c r="BH357" i="12"/>
  <c r="BH208" i="6"/>
  <c r="BH175" i="6"/>
  <c r="BH207" i="6" s="1"/>
  <c r="BH198" i="6"/>
  <c r="BH202" i="6"/>
  <c r="BH230" i="6"/>
  <c r="BH229" i="6"/>
  <c r="BH83" i="6"/>
  <c r="BH238" i="6"/>
  <c r="BH199" i="6"/>
  <c r="BH203" i="6"/>
  <c r="BH261" i="6"/>
  <c r="BH262" i="6"/>
  <c r="BG47" i="16"/>
  <c r="BG204" i="2"/>
  <c r="BG184" i="2"/>
  <c r="BG147" i="2"/>
  <c r="BG127" i="2"/>
  <c r="BG121" i="2"/>
  <c r="BG94" i="2"/>
  <c r="BG101" i="2"/>
  <c r="BG88" i="2"/>
  <c r="BG87" i="2"/>
  <c r="BG230" i="2"/>
  <c r="BG229" i="2"/>
  <c r="BG192" i="2"/>
  <c r="BG207" i="2"/>
  <c r="BG224" i="2" s="1"/>
  <c r="BG219" i="2"/>
  <c r="BG220" i="2"/>
  <c r="BG238" i="2"/>
  <c r="BG70" i="2"/>
  <c r="BG118" i="2"/>
  <c r="BG143" i="2" s="1"/>
  <c r="BG119" i="2"/>
  <c r="BG144" i="2" s="1"/>
  <c r="BG132" i="2"/>
  <c r="BD340" i="12"/>
  <c r="BG330" i="12"/>
  <c r="BD305" i="12"/>
  <c r="BG274" i="12"/>
  <c r="BG271" i="12"/>
  <c r="BG268" i="12"/>
  <c r="BD165" i="12"/>
  <c r="BD81" i="12"/>
  <c r="BD80" i="12"/>
  <c r="BD78" i="12"/>
  <c r="BG373" i="12"/>
  <c r="BD74" i="12"/>
  <c r="BD73" i="12"/>
  <c r="BD72" i="12"/>
  <c r="BD70" i="12"/>
  <c r="BD68" i="12"/>
  <c r="BD66" i="12"/>
  <c r="BD64" i="12"/>
  <c r="BD63" i="12"/>
  <c r="BD62" i="12"/>
  <c r="BD60" i="12"/>
  <c r="BD57" i="12"/>
  <c r="BD56" i="12"/>
  <c r="BD54" i="12"/>
  <c r="BD50" i="12"/>
  <c r="BD49" i="12"/>
  <c r="BD48" i="12"/>
  <c r="BD47" i="12"/>
  <c r="BD46" i="12"/>
  <c r="BD45" i="12"/>
  <c r="BD44" i="12"/>
  <c r="BD43" i="12"/>
  <c r="BD41" i="12"/>
  <c r="BD40" i="12"/>
  <c r="BD39" i="12"/>
  <c r="BD35" i="12"/>
  <c r="BD34" i="12"/>
  <c r="BD33" i="12"/>
  <c r="BG389" i="12"/>
  <c r="BD29" i="12"/>
  <c r="BD27" i="12"/>
  <c r="BD26" i="12"/>
  <c r="BG388" i="12"/>
  <c r="BD23" i="12"/>
  <c r="BD22" i="12"/>
  <c r="BD20" i="12"/>
  <c r="BD19" i="12"/>
  <c r="BD14" i="12"/>
  <c r="BD13" i="12"/>
  <c r="BD11" i="12"/>
  <c r="BD10" i="12"/>
  <c r="BD8" i="12"/>
  <c r="BG324" i="12"/>
  <c r="BG356" i="12"/>
  <c r="BG374" i="12"/>
  <c r="BG85" i="12"/>
  <c r="BG87" i="12"/>
  <c r="BG140" i="12" s="1"/>
  <c r="BG366" i="12" s="1"/>
  <c r="BG92" i="12"/>
  <c r="BG101" i="12"/>
  <c r="BG148" i="12"/>
  <c r="BG153" i="12"/>
  <c r="BG200" i="12"/>
  <c r="BG203" i="12"/>
  <c r="BG248" i="12" s="1"/>
  <c r="BG288" i="12" s="1"/>
  <c r="BG299" i="6" s="1"/>
  <c r="BG206" i="12"/>
  <c r="BG262" i="12"/>
  <c r="BD195" i="6"/>
  <c r="BG189" i="6"/>
  <c r="BD189" i="6" s="1"/>
  <c r="BD188" i="6"/>
  <c r="BG184" i="6"/>
  <c r="BG360" i="12"/>
  <c r="BG359" i="12"/>
  <c r="BG358" i="12"/>
  <c r="BG357" i="12"/>
  <c r="BG208" i="6"/>
  <c r="BG198" i="6"/>
  <c r="BD76" i="6"/>
  <c r="BG202" i="6"/>
  <c r="BD70" i="6"/>
  <c r="BD66" i="6"/>
  <c r="BD65" i="6"/>
  <c r="BD64" i="6"/>
  <c r="BD61" i="6"/>
  <c r="BD60" i="6"/>
  <c r="BD58" i="6"/>
  <c r="BD57" i="6"/>
  <c r="BD56" i="6"/>
  <c r="BD54" i="6"/>
  <c r="BD52" i="6"/>
  <c r="BD43" i="6"/>
  <c r="BD42" i="6"/>
  <c r="BD41" i="6"/>
  <c r="BD40" i="6"/>
  <c r="BD38" i="6"/>
  <c r="BD37" i="6"/>
  <c r="BD36" i="6"/>
  <c r="BD35" i="6"/>
  <c r="BD34" i="6"/>
  <c r="BD33" i="6"/>
  <c r="BD32" i="6"/>
  <c r="BD27" i="6"/>
  <c r="BG229" i="6"/>
  <c r="BD24" i="6"/>
  <c r="BD17" i="6"/>
  <c r="BD22" i="6"/>
  <c r="BD18" i="6"/>
  <c r="BD14" i="6"/>
  <c r="BD12" i="6"/>
  <c r="BD10" i="6"/>
  <c r="BD9" i="6"/>
  <c r="BD8" i="6"/>
  <c r="BG83" i="6"/>
  <c r="BG199" i="6"/>
  <c r="BG203" i="6"/>
  <c r="BG230" i="6"/>
  <c r="BG261" i="6"/>
  <c r="BG262" i="6"/>
  <c r="BC188" i="2"/>
  <c r="BC115" i="2"/>
  <c r="BC100" i="2"/>
  <c r="BC76" i="2"/>
  <c r="BC58" i="2"/>
  <c r="BC59" i="2"/>
  <c r="BC60" i="2"/>
  <c r="BC61" i="2"/>
  <c r="BC62" i="2"/>
  <c r="BC63" i="2"/>
  <c r="BC65" i="2"/>
  <c r="BC43" i="2"/>
  <c r="BC46" i="2"/>
  <c r="BC47" i="2"/>
  <c r="BC48" i="2"/>
  <c r="BC49" i="2"/>
  <c r="BC50" i="2"/>
  <c r="BC52" i="2"/>
  <c r="BC53" i="2"/>
  <c r="BC54" i="2"/>
  <c r="BC42" i="2"/>
  <c r="BC28" i="2"/>
  <c r="BC29" i="2"/>
  <c r="BC30" i="2"/>
  <c r="BC35" i="2"/>
  <c r="BC37" i="2"/>
  <c r="BC39" i="2"/>
  <c r="BC11" i="2"/>
  <c r="BC12" i="2"/>
  <c r="BC14" i="2"/>
  <c r="BC15" i="2"/>
  <c r="BC16" i="2"/>
  <c r="BC17" i="2"/>
  <c r="BC18" i="2"/>
  <c r="BC349" i="12"/>
  <c r="BC292" i="12"/>
  <c r="BC259" i="12"/>
  <c r="BC254" i="12"/>
  <c r="BC207" i="12"/>
  <c r="BC230" i="12"/>
  <c r="BC233" i="12"/>
  <c r="BC227" i="12"/>
  <c r="BC221" i="12"/>
  <c r="BC224" i="12"/>
  <c r="BC218" i="12"/>
  <c r="BC212" i="12"/>
  <c r="BC215" i="12"/>
  <c r="BC209" i="12"/>
  <c r="BI40" i="2" l="1"/>
  <c r="BL173" i="2"/>
  <c r="BL229" i="2"/>
  <c r="BI7" i="2"/>
  <c r="BI226" i="2" s="1"/>
  <c r="BL161" i="2"/>
  <c r="BL152" i="2" s="1"/>
  <c r="BI20" i="2"/>
  <c r="BI56" i="2"/>
  <c r="BI218" i="2" s="1"/>
  <c r="BI217" i="2" s="1"/>
  <c r="BL147" i="2"/>
  <c r="BJ174" i="2"/>
  <c r="BJ169" i="2"/>
  <c r="BJ305" i="6" s="1"/>
  <c r="BI174" i="2"/>
  <c r="BI169" i="2"/>
  <c r="BI305" i="6" s="1"/>
  <c r="BH173" i="2"/>
  <c r="BH168" i="2"/>
  <c r="BH304" i="6" s="1"/>
  <c r="BG169" i="2"/>
  <c r="BG305" i="6" s="1"/>
  <c r="BG174" i="2"/>
  <c r="BL174" i="2"/>
  <c r="BL168" i="2"/>
  <c r="BL304" i="6" s="1"/>
  <c r="BH184" i="2"/>
  <c r="BI187" i="2"/>
  <c r="BI184" i="2" s="1"/>
  <c r="BH174" i="2"/>
  <c r="BJ173" i="2"/>
  <c r="BK169" i="2"/>
  <c r="BK305" i="6" s="1"/>
  <c r="BI173" i="2"/>
  <c r="BI351" i="12"/>
  <c r="BJ351" i="12"/>
  <c r="BI352" i="12"/>
  <c r="BJ352" i="12"/>
  <c r="BI353" i="12"/>
  <c r="BJ353" i="12"/>
  <c r="BI350" i="12"/>
  <c r="BJ350" i="12"/>
  <c r="BM295" i="6"/>
  <c r="BM315" i="6" s="1"/>
  <c r="BI26" i="2"/>
  <c r="BI227" i="2" s="1"/>
  <c r="BI225" i="2" s="1"/>
  <c r="BI231" i="2" s="1"/>
  <c r="BI228" i="2" s="1"/>
  <c r="BM375" i="12"/>
  <c r="BM395" i="12" s="1"/>
  <c r="BM394" i="12" s="1"/>
  <c r="BM393" i="12" s="1"/>
  <c r="BM391" i="12" s="1"/>
  <c r="BL205" i="12"/>
  <c r="BL274" i="12"/>
  <c r="BL261" i="12" s="1"/>
  <c r="BL339" i="12"/>
  <c r="AZ116" i="12"/>
  <c r="BL427" i="12"/>
  <c r="BS433" i="12" s="1"/>
  <c r="BA336" i="12"/>
  <c r="BI336" i="12"/>
  <c r="BL215" i="2"/>
  <c r="BI67" i="6"/>
  <c r="BI201" i="6" s="1"/>
  <c r="BL168" i="6"/>
  <c r="BL237" i="6" s="1"/>
  <c r="BL184" i="6"/>
  <c r="BI31" i="6"/>
  <c r="BI227" i="6" s="1"/>
  <c r="BI7" i="6"/>
  <c r="BI226" i="6" s="1"/>
  <c r="BI49" i="6"/>
  <c r="BI205" i="2"/>
  <c r="BI204" i="2" s="1"/>
  <c r="BH95" i="2"/>
  <c r="BI199" i="2"/>
  <c r="BI190" i="2" s="1"/>
  <c r="BI189" i="2" s="1"/>
  <c r="BI223" i="2" s="1"/>
  <c r="BI111" i="6"/>
  <c r="BJ111" i="6"/>
  <c r="BI119" i="12"/>
  <c r="BJ119" i="12"/>
  <c r="BI138" i="12"/>
  <c r="BJ138" i="12"/>
  <c r="BI181" i="12"/>
  <c r="BJ181" i="12"/>
  <c r="BI220" i="12"/>
  <c r="BJ220" i="12"/>
  <c r="BI98" i="2"/>
  <c r="BJ98" i="2"/>
  <c r="BI130" i="2"/>
  <c r="BI127" i="2" s="1"/>
  <c r="BJ130" i="2"/>
  <c r="BJ127" i="2" s="1"/>
  <c r="BI100" i="6"/>
  <c r="BJ100" i="6"/>
  <c r="BI114" i="6"/>
  <c r="BJ114" i="6"/>
  <c r="BI98" i="12"/>
  <c r="BJ98" i="12"/>
  <c r="BI120" i="12"/>
  <c r="BJ120" i="12"/>
  <c r="BI157" i="12"/>
  <c r="BJ157" i="12"/>
  <c r="BI186" i="12"/>
  <c r="BJ186" i="12"/>
  <c r="BI197" i="12"/>
  <c r="BJ197" i="12"/>
  <c r="BI257" i="12"/>
  <c r="BJ257" i="12"/>
  <c r="BI329" i="12"/>
  <c r="BI323" i="12" s="1"/>
  <c r="BI397" i="12" s="1"/>
  <c r="BJ329" i="12"/>
  <c r="BJ323" i="12" s="1"/>
  <c r="BJ397" i="12" s="1"/>
  <c r="BI99" i="2"/>
  <c r="BI93" i="2" s="1"/>
  <c r="BJ99" i="2"/>
  <c r="BJ93" i="2" s="1"/>
  <c r="BI162" i="2"/>
  <c r="BJ162" i="2"/>
  <c r="BJ153" i="2" s="1"/>
  <c r="BL323" i="12"/>
  <c r="BL397" i="12" s="1"/>
  <c r="BL93" i="2"/>
  <c r="BI85" i="6"/>
  <c r="BJ85" i="6"/>
  <c r="BI103" i="6"/>
  <c r="BJ103" i="6"/>
  <c r="BI116" i="6"/>
  <c r="BJ116" i="6"/>
  <c r="BI121" i="12"/>
  <c r="BJ121" i="12"/>
  <c r="BI158" i="12"/>
  <c r="BJ158" i="12"/>
  <c r="BI173" i="12"/>
  <c r="BJ173" i="12"/>
  <c r="BI187" i="12"/>
  <c r="BJ187" i="12"/>
  <c r="BI210" i="12"/>
  <c r="BJ210" i="12"/>
  <c r="BI223" i="12"/>
  <c r="BJ223" i="12"/>
  <c r="BI258" i="12"/>
  <c r="BJ258" i="12"/>
  <c r="BI334" i="12"/>
  <c r="BI333" i="12" s="1"/>
  <c r="BJ334" i="12"/>
  <c r="BJ333" i="12" s="1"/>
  <c r="BI104" i="2"/>
  <c r="BI101" i="2" s="1"/>
  <c r="BJ104" i="2"/>
  <c r="BJ101" i="2" s="1"/>
  <c r="BI163" i="2"/>
  <c r="BI154" i="2" s="1"/>
  <c r="BJ163" i="2"/>
  <c r="BJ154" i="2" s="1"/>
  <c r="BI87" i="6"/>
  <c r="BI198" i="6" s="1"/>
  <c r="BJ87" i="6"/>
  <c r="BJ198" i="6" s="1"/>
  <c r="BI105" i="6"/>
  <c r="BJ105" i="6"/>
  <c r="BI117" i="6"/>
  <c r="BJ117" i="6"/>
  <c r="BI111" i="12"/>
  <c r="BJ111" i="12"/>
  <c r="BI123" i="12"/>
  <c r="BJ123" i="12"/>
  <c r="BI159" i="12"/>
  <c r="BJ159" i="12"/>
  <c r="BI174" i="12"/>
  <c r="BJ174" i="12"/>
  <c r="BI188" i="12"/>
  <c r="BJ188" i="12"/>
  <c r="BI211" i="12"/>
  <c r="BJ211" i="12"/>
  <c r="BI228" i="12"/>
  <c r="BJ228" i="12"/>
  <c r="BI267" i="12"/>
  <c r="BI265" i="12" s="1"/>
  <c r="BJ267" i="12"/>
  <c r="BJ265" i="12" s="1"/>
  <c r="BI340" i="12"/>
  <c r="BJ340" i="12"/>
  <c r="BI109" i="2"/>
  <c r="BI106" i="2" s="1"/>
  <c r="BJ109" i="2"/>
  <c r="BJ106" i="2" s="1"/>
  <c r="BI150" i="2"/>
  <c r="BJ150" i="2"/>
  <c r="BL388" i="12"/>
  <c r="BL153" i="2"/>
  <c r="BI90" i="6"/>
  <c r="BJ90" i="6"/>
  <c r="BI106" i="6"/>
  <c r="BJ106" i="6"/>
  <c r="BI169" i="6"/>
  <c r="BJ169" i="6"/>
  <c r="BI112" i="12"/>
  <c r="BJ112" i="12"/>
  <c r="BI133" i="12"/>
  <c r="BJ133" i="12"/>
  <c r="BI160" i="12"/>
  <c r="BJ160" i="12"/>
  <c r="BI175" i="12"/>
  <c r="BJ175" i="12"/>
  <c r="BI191" i="12"/>
  <c r="BJ191" i="12"/>
  <c r="BI213" i="12"/>
  <c r="BJ213" i="12"/>
  <c r="BI229" i="12"/>
  <c r="BJ229" i="12"/>
  <c r="BI269" i="12"/>
  <c r="BI268" i="12" s="1"/>
  <c r="BJ269" i="12"/>
  <c r="BJ268" i="12" s="1"/>
  <c r="BI341" i="12"/>
  <c r="BJ341" i="12"/>
  <c r="BI114" i="2"/>
  <c r="BJ114" i="2"/>
  <c r="BI151" i="2"/>
  <c r="BJ151" i="2"/>
  <c r="BI94" i="6"/>
  <c r="BJ94" i="6"/>
  <c r="BI107" i="6"/>
  <c r="BJ107" i="6"/>
  <c r="BI170" i="6"/>
  <c r="BI238" i="6" s="1"/>
  <c r="BJ170" i="6"/>
  <c r="BJ238" i="6" s="1"/>
  <c r="BI113" i="12"/>
  <c r="BJ113" i="12"/>
  <c r="BI134" i="12"/>
  <c r="BJ134" i="12"/>
  <c r="BI178" i="12"/>
  <c r="BJ178" i="12"/>
  <c r="BI189" i="12"/>
  <c r="BJ189" i="12"/>
  <c r="BI214" i="12"/>
  <c r="BJ214" i="12"/>
  <c r="BI231" i="12"/>
  <c r="BJ231" i="12"/>
  <c r="BI273" i="12"/>
  <c r="BI271" i="12" s="1"/>
  <c r="BJ273" i="12"/>
  <c r="BJ271" i="12" s="1"/>
  <c r="BI345" i="12"/>
  <c r="BJ345" i="12"/>
  <c r="BI74" i="2"/>
  <c r="BJ74" i="2"/>
  <c r="BI116" i="2"/>
  <c r="BI94" i="2" s="1"/>
  <c r="BJ116" i="2"/>
  <c r="BJ94" i="2" s="1"/>
  <c r="BL95" i="2"/>
  <c r="BI95" i="6"/>
  <c r="BJ95" i="6"/>
  <c r="BI109" i="6"/>
  <c r="BJ109" i="6"/>
  <c r="BI172" i="6"/>
  <c r="BJ172" i="6"/>
  <c r="BI114" i="12"/>
  <c r="BJ114" i="12"/>
  <c r="BI135" i="12"/>
  <c r="BJ135" i="12"/>
  <c r="BI166" i="12"/>
  <c r="BJ166" i="12"/>
  <c r="BI179" i="12"/>
  <c r="BJ179" i="12"/>
  <c r="BI194" i="12"/>
  <c r="BJ194" i="12"/>
  <c r="BI216" i="12"/>
  <c r="BJ216" i="12"/>
  <c r="BI232" i="12"/>
  <c r="BJ232" i="12"/>
  <c r="BI275" i="12"/>
  <c r="BJ275" i="12"/>
  <c r="BI346" i="12"/>
  <c r="BJ346" i="12"/>
  <c r="BL86" i="2"/>
  <c r="BL263" i="6" s="1"/>
  <c r="BI80" i="2"/>
  <c r="BJ80" i="2"/>
  <c r="BL120" i="2"/>
  <c r="BI125" i="2"/>
  <c r="BJ125" i="2"/>
  <c r="BL20" i="2"/>
  <c r="BI98" i="6"/>
  <c r="BJ98" i="6"/>
  <c r="BI110" i="6"/>
  <c r="BJ110" i="6"/>
  <c r="BI173" i="6"/>
  <c r="BJ173" i="6"/>
  <c r="BI96" i="12"/>
  <c r="BI424" i="12" s="1"/>
  <c r="BP430" i="12" s="1"/>
  <c r="BJ96" i="12"/>
  <c r="BI118" i="12"/>
  <c r="BJ118" i="12"/>
  <c r="BI136" i="12"/>
  <c r="BJ136" i="12"/>
  <c r="BI167" i="12"/>
  <c r="BJ167" i="12"/>
  <c r="BI180" i="12"/>
  <c r="BJ180" i="12"/>
  <c r="BI195" i="12"/>
  <c r="BJ195" i="12"/>
  <c r="BI219" i="12"/>
  <c r="BJ219" i="12"/>
  <c r="BI255" i="12"/>
  <c r="BJ255" i="12"/>
  <c r="BI276" i="12"/>
  <c r="BJ276" i="12"/>
  <c r="BI347" i="12"/>
  <c r="BJ347" i="12"/>
  <c r="BI82" i="2"/>
  <c r="BJ82" i="2"/>
  <c r="BL121" i="2"/>
  <c r="BI126" i="2"/>
  <c r="BI121" i="2" s="1"/>
  <c r="BJ126" i="2"/>
  <c r="BJ121" i="2" s="1"/>
  <c r="BJ355" i="12"/>
  <c r="BJ212" i="2"/>
  <c r="BK355" i="12"/>
  <c r="BK248" i="2"/>
  <c r="BK217" i="2"/>
  <c r="BK225" i="2"/>
  <c r="BK231" i="2" s="1"/>
  <c r="BK228" i="2" s="1"/>
  <c r="BK422" i="12"/>
  <c r="BR428" i="12" s="1"/>
  <c r="BK409" i="12"/>
  <c r="BK408" i="12"/>
  <c r="BK407" i="12"/>
  <c r="BK406" i="12"/>
  <c r="BK366" i="12"/>
  <c r="BK255" i="6"/>
  <c r="BK212" i="2"/>
  <c r="BJ217" i="2"/>
  <c r="BJ225" i="2"/>
  <c r="BJ231" i="2" s="1"/>
  <c r="BJ228" i="2" s="1"/>
  <c r="BJ255" i="6"/>
  <c r="BJ366" i="12"/>
  <c r="BL230" i="6"/>
  <c r="BI27" i="6"/>
  <c r="BL175" i="6"/>
  <c r="BL207" i="6" s="1"/>
  <c r="BI99" i="6"/>
  <c r="BI176" i="6"/>
  <c r="BI208" i="6" s="1"/>
  <c r="BL425" i="12"/>
  <c r="BS431" i="12" s="1"/>
  <c r="BI97" i="12"/>
  <c r="BL163" i="12"/>
  <c r="BI168" i="12"/>
  <c r="BL151" i="12"/>
  <c r="BI196" i="12"/>
  <c r="BL253" i="12"/>
  <c r="BI256" i="12"/>
  <c r="BL424" i="12"/>
  <c r="BS430" i="12" s="1"/>
  <c r="BL357" i="12"/>
  <c r="BI180" i="6"/>
  <c r="BL170" i="12"/>
  <c r="BI172" i="12"/>
  <c r="BL204" i="12"/>
  <c r="BI222" i="12"/>
  <c r="BL322" i="12"/>
  <c r="BI328" i="12"/>
  <c r="BL389" i="12"/>
  <c r="BI31" i="12"/>
  <c r="BI389" i="12" s="1"/>
  <c r="BL373" i="12"/>
  <c r="BI75" i="12"/>
  <c r="BI373" i="12" s="1"/>
  <c r="BL91" i="12"/>
  <c r="BI99" i="12"/>
  <c r="BL360" i="12"/>
  <c r="BI183" i="6"/>
  <c r="BI360" i="12" s="1"/>
  <c r="BL216" i="2"/>
  <c r="BI188" i="6"/>
  <c r="BI255" i="6"/>
  <c r="BI366" i="12"/>
  <c r="BL77" i="2"/>
  <c r="BL303" i="12"/>
  <c r="BL302" i="12" s="1"/>
  <c r="BL40" i="2"/>
  <c r="BL115" i="6"/>
  <c r="BL226" i="12"/>
  <c r="BL342" i="12"/>
  <c r="BL378" i="12" s="1"/>
  <c r="BL202" i="12"/>
  <c r="BL94" i="12"/>
  <c r="BL56" i="2"/>
  <c r="BL218" i="2" s="1"/>
  <c r="BL217" i="2" s="1"/>
  <c r="BL26" i="2"/>
  <c r="BL227" i="2" s="1"/>
  <c r="BL7" i="2"/>
  <c r="BL226" i="2" s="1"/>
  <c r="BL348" i="12"/>
  <c r="BL380" i="12" s="1"/>
  <c r="BL178" i="6"/>
  <c r="BL426" i="12"/>
  <c r="BS432" i="12" s="1"/>
  <c r="BL171" i="6"/>
  <c r="BL150" i="12"/>
  <c r="BL90" i="12"/>
  <c r="BL143" i="12" s="1"/>
  <c r="BL369" i="12" s="1"/>
  <c r="BL89" i="12"/>
  <c r="BL142" i="12" s="1"/>
  <c r="BL368" i="12" s="1"/>
  <c r="BL176" i="12"/>
  <c r="BL217" i="12"/>
  <c r="BL192" i="12"/>
  <c r="BL184" i="12"/>
  <c r="BL152" i="12"/>
  <c r="BL155" i="12"/>
  <c r="BL144" i="12"/>
  <c r="BL370" i="12" s="1"/>
  <c r="BL131" i="12"/>
  <c r="BL116" i="12"/>
  <c r="BL109" i="12"/>
  <c r="BL364" i="12" s="1"/>
  <c r="BL358" i="12"/>
  <c r="BL7" i="6"/>
  <c r="BL226" i="6" s="1"/>
  <c r="BL97" i="6"/>
  <c r="BL84" i="6"/>
  <c r="BL96" i="6" s="1"/>
  <c r="BL197" i="6" s="1"/>
  <c r="BL196" i="6" s="1"/>
  <c r="BL108" i="6"/>
  <c r="BL67" i="6"/>
  <c r="BL201" i="6" s="1"/>
  <c r="BL202" i="6"/>
  <c r="BL49" i="6"/>
  <c r="BL31" i="6"/>
  <c r="BL227" i="6" s="1"/>
  <c r="BL23" i="6"/>
  <c r="BK237" i="2"/>
  <c r="BK223" i="2"/>
  <c r="BL223" i="2"/>
  <c r="BL237" i="2"/>
  <c r="BJ237" i="2"/>
  <c r="BJ223" i="2"/>
  <c r="BI237" i="2"/>
  <c r="BK198" i="2"/>
  <c r="BJ198" i="2"/>
  <c r="BI198" i="2"/>
  <c r="BL264" i="6"/>
  <c r="BK264" i="6"/>
  <c r="BK83" i="2"/>
  <c r="BK94" i="2"/>
  <c r="BK89" i="2" s="1"/>
  <c r="BL122" i="2"/>
  <c r="BL111" i="2"/>
  <c r="BL92" i="2"/>
  <c r="BK263" i="6"/>
  <c r="BK161" i="2"/>
  <c r="BK152" i="2" s="1"/>
  <c r="BK145" i="2"/>
  <c r="BK143" i="2"/>
  <c r="BK127" i="2"/>
  <c r="BK121" i="2"/>
  <c r="BK117" i="2" s="1"/>
  <c r="BK95" i="2"/>
  <c r="BK6" i="2"/>
  <c r="BK25" i="2"/>
  <c r="BJ25" i="2"/>
  <c r="BJ6" i="2"/>
  <c r="BK327" i="12"/>
  <c r="BK321" i="12" s="1"/>
  <c r="BL327" i="12"/>
  <c r="BL321" i="12" s="1"/>
  <c r="BI245" i="12"/>
  <c r="BI285" i="12" s="1"/>
  <c r="BI294" i="12" s="1"/>
  <c r="BK251" i="12"/>
  <c r="BK291" i="12" s="1"/>
  <c r="BK302" i="6" s="1"/>
  <c r="BJ251" i="12"/>
  <c r="BJ291" i="12" s="1"/>
  <c r="BJ302" i="6" s="1"/>
  <c r="BI251" i="12"/>
  <c r="BI291" i="12" s="1"/>
  <c r="BI302" i="6" s="1"/>
  <c r="BL251" i="12"/>
  <c r="BL291" i="12" s="1"/>
  <c r="BL302" i="6" s="1"/>
  <c r="BK245" i="12"/>
  <c r="BK285" i="12" s="1"/>
  <c r="BK296" i="6" s="1"/>
  <c r="BJ245" i="12"/>
  <c r="BJ285" i="12" s="1"/>
  <c r="BJ294" i="12" s="1"/>
  <c r="BL255" i="6"/>
  <c r="BL245" i="12"/>
  <c r="BL285" i="12" s="1"/>
  <c r="BK147" i="12"/>
  <c r="BK249" i="12"/>
  <c r="BK289" i="12" s="1"/>
  <c r="BK297" i="12" s="1"/>
  <c r="BK258" i="6"/>
  <c r="BK246" i="12"/>
  <c r="BK286" i="12" s="1"/>
  <c r="BK256" i="6"/>
  <c r="BK86" i="12"/>
  <c r="BK139" i="12" s="1"/>
  <c r="BK363" i="12" s="1"/>
  <c r="BK362" i="12" s="1"/>
  <c r="BK199" i="12"/>
  <c r="BK259" i="6"/>
  <c r="BK250" i="12"/>
  <c r="BK290" i="12" s="1"/>
  <c r="BK298" i="12" s="1"/>
  <c r="BK247" i="12"/>
  <c r="BK287" i="12" s="1"/>
  <c r="BK419" i="12" s="1"/>
  <c r="BK257" i="6"/>
  <c r="BK261" i="12"/>
  <c r="BL201" i="12"/>
  <c r="BL149" i="12"/>
  <c r="BK208" i="12"/>
  <c r="BL208" i="12"/>
  <c r="BL88" i="12"/>
  <c r="BK155" i="12"/>
  <c r="BK94" i="12"/>
  <c r="BG265" i="12"/>
  <c r="BI55" i="12"/>
  <c r="BI7" i="12"/>
  <c r="BL71" i="12"/>
  <c r="BL372" i="12" s="1"/>
  <c r="BL38" i="12"/>
  <c r="BL386" i="12" s="1"/>
  <c r="BL7" i="12"/>
  <c r="BD24" i="12"/>
  <c r="BD75" i="12"/>
  <c r="BK71" i="12"/>
  <c r="BK372" i="12" s="1"/>
  <c r="BK371" i="12" s="1"/>
  <c r="BK38" i="12"/>
  <c r="BK21" i="12"/>
  <c r="BK6" i="12" s="1"/>
  <c r="BH426" i="12"/>
  <c r="BO432" i="12" s="1"/>
  <c r="BD31" i="12"/>
  <c r="BJ71" i="12"/>
  <c r="BJ372" i="12" s="1"/>
  <c r="BJ371" i="12" s="1"/>
  <c r="BJ55" i="12"/>
  <c r="BJ38" i="12"/>
  <c r="BJ386" i="12" s="1"/>
  <c r="BJ21" i="12"/>
  <c r="BJ7" i="12"/>
  <c r="BI38" i="12"/>
  <c r="BI386" i="12" s="1"/>
  <c r="BI21" i="12"/>
  <c r="BL55" i="12"/>
  <c r="BL21" i="12"/>
  <c r="BK200" i="6"/>
  <c r="BJ200" i="6"/>
  <c r="BJ177" i="6"/>
  <c r="BK6" i="6"/>
  <c r="BK226" i="6"/>
  <c r="BK237" i="6"/>
  <c r="BK206" i="6"/>
  <c r="BJ6" i="6"/>
  <c r="BJ226" i="6"/>
  <c r="BK177" i="6"/>
  <c r="BI200" i="6"/>
  <c r="BK197" i="6"/>
  <c r="BK196" i="6" s="1"/>
  <c r="BK247" i="6" s="1"/>
  <c r="BK112" i="6"/>
  <c r="BK30" i="6"/>
  <c r="BK227" i="6"/>
  <c r="BJ30" i="6"/>
  <c r="BJ227" i="6"/>
  <c r="BL238" i="6"/>
  <c r="BK238" i="6"/>
  <c r="BD71" i="6"/>
  <c r="BD187" i="6"/>
  <c r="BG339" i="12"/>
  <c r="BD26" i="6"/>
  <c r="BD183" i="6"/>
  <c r="BD192" i="6"/>
  <c r="BH212" i="2"/>
  <c r="BH303" i="12"/>
  <c r="BH302" i="12" s="1"/>
  <c r="BH20" i="2"/>
  <c r="BH122" i="2"/>
  <c r="BH348" i="12"/>
  <c r="BH380" i="12" s="1"/>
  <c r="BH202" i="12"/>
  <c r="BH226" i="12"/>
  <c r="BH111" i="2"/>
  <c r="BH161" i="2"/>
  <c r="BH152" i="2" s="1"/>
  <c r="BH120" i="2"/>
  <c r="BH117" i="2" s="1"/>
  <c r="BH92" i="2"/>
  <c r="BH89" i="2" s="1"/>
  <c r="BH86" i="2"/>
  <c r="BH56" i="2"/>
  <c r="BH218" i="2" s="1"/>
  <c r="BH217" i="2" s="1"/>
  <c r="BH40" i="2"/>
  <c r="BH26" i="2"/>
  <c r="BH7" i="2"/>
  <c r="BH226" i="2" s="1"/>
  <c r="BH171" i="6"/>
  <c r="BH184" i="6"/>
  <c r="BH425" i="12"/>
  <c r="BO431" i="12" s="1"/>
  <c r="BH327" i="12"/>
  <c r="BH336" i="12"/>
  <c r="BH339" i="12"/>
  <c r="BH237" i="2"/>
  <c r="BH223" i="2"/>
  <c r="BH198" i="2"/>
  <c r="BH146" i="2"/>
  <c r="BH264" i="6"/>
  <c r="BH77" i="2"/>
  <c r="BH342" i="12"/>
  <c r="BH378" i="12" s="1"/>
  <c r="BH322" i="12"/>
  <c r="BH330" i="12"/>
  <c r="BH323" i="12"/>
  <c r="BH397" i="12" s="1"/>
  <c r="BH204" i="12"/>
  <c r="BH355" i="12"/>
  <c r="BH274" i="12"/>
  <c r="BH205" i="12"/>
  <c r="BH217" i="12"/>
  <c r="BH201" i="12"/>
  <c r="BH251" i="12"/>
  <c r="BH291" i="12" s="1"/>
  <c r="BH302" i="6" s="1"/>
  <c r="BH192" i="12"/>
  <c r="BH184" i="12"/>
  <c r="BH152" i="12"/>
  <c r="BH176" i="12"/>
  <c r="BH170" i="12"/>
  <c r="BH149" i="12"/>
  <c r="BH151" i="12"/>
  <c r="BH163" i="12"/>
  <c r="BH155" i="12"/>
  <c r="BH150" i="12"/>
  <c r="BH131" i="12"/>
  <c r="BH116" i="12"/>
  <c r="BH88" i="12"/>
  <c r="BH141" i="12" s="1"/>
  <c r="BH91" i="12"/>
  <c r="BH144" i="12" s="1"/>
  <c r="BH370" i="12" s="1"/>
  <c r="BH109" i="12"/>
  <c r="BH364" i="12" s="1"/>
  <c r="BH427" i="12"/>
  <c r="BO433" i="12" s="1"/>
  <c r="BH94" i="12"/>
  <c r="BH71" i="12"/>
  <c r="BH372" i="12" s="1"/>
  <c r="BH371" i="12" s="1"/>
  <c r="BH55" i="12"/>
  <c r="BH38" i="12"/>
  <c r="BH386" i="12" s="1"/>
  <c r="BH7" i="12"/>
  <c r="BH245" i="12"/>
  <c r="BH285" i="12" s="1"/>
  <c r="BH294" i="12" s="1"/>
  <c r="BH255" i="6"/>
  <c r="BH258" i="6"/>
  <c r="BH253" i="12"/>
  <c r="BH208" i="12"/>
  <c r="BH89" i="12"/>
  <c r="BH142" i="12" s="1"/>
  <c r="BH178" i="6"/>
  <c r="BH115" i="6"/>
  <c r="BG190" i="2"/>
  <c r="BG189" i="2" s="1"/>
  <c r="BG223" i="2" s="1"/>
  <c r="BG71" i="2"/>
  <c r="BG40" i="2"/>
  <c r="BH108" i="6"/>
  <c r="BG322" i="12"/>
  <c r="BG120" i="2"/>
  <c r="BG117" i="2" s="1"/>
  <c r="BH97" i="6"/>
  <c r="BH84" i="6"/>
  <c r="BH96" i="6" s="1"/>
  <c r="BH67" i="6"/>
  <c r="BH201" i="6" s="1"/>
  <c r="BH200" i="6" s="1"/>
  <c r="BH49" i="6"/>
  <c r="BH31" i="6"/>
  <c r="BH227" i="6" s="1"/>
  <c r="BH23" i="6"/>
  <c r="BH7" i="6"/>
  <c r="BH226" i="6" s="1"/>
  <c r="BH168" i="6"/>
  <c r="AZ131" i="12"/>
  <c r="AZ208" i="12"/>
  <c r="BG424" i="12"/>
  <c r="BN430" i="12" s="1"/>
  <c r="BG215" i="2"/>
  <c r="BG171" i="6"/>
  <c r="BG154" i="2"/>
  <c r="BG106" i="2"/>
  <c r="BG201" i="2"/>
  <c r="BG168" i="6"/>
  <c r="BG206" i="6" s="1"/>
  <c r="BG122" i="2"/>
  <c r="BG205" i="12"/>
  <c r="BG327" i="12"/>
  <c r="BG20" i="2"/>
  <c r="BG131" i="12"/>
  <c r="BG427" i="12"/>
  <c r="BN433" i="12" s="1"/>
  <c r="BG153" i="2"/>
  <c r="BG111" i="2"/>
  <c r="BG93" i="2"/>
  <c r="BG146" i="2" s="1"/>
  <c r="BG95" i="2"/>
  <c r="BG86" i="2"/>
  <c r="BG83" i="2" s="1"/>
  <c r="BG56" i="2"/>
  <c r="BG218" i="2" s="1"/>
  <c r="BG217" i="2" s="1"/>
  <c r="BG26" i="2"/>
  <c r="BG227" i="2" s="1"/>
  <c r="BG7" i="2"/>
  <c r="BG226" i="2" s="1"/>
  <c r="BG198" i="2"/>
  <c r="BG264" i="6"/>
  <c r="BG168" i="2"/>
  <c r="BG304" i="6" s="1"/>
  <c r="BG173" i="2"/>
  <c r="BG164" i="2"/>
  <c r="BG92" i="2"/>
  <c r="BG77" i="2"/>
  <c r="BG161" i="2"/>
  <c r="BG67" i="6"/>
  <c r="BG201" i="6" s="1"/>
  <c r="BG200" i="6" s="1"/>
  <c r="BG342" i="12"/>
  <c r="BG378" i="12" s="1"/>
  <c r="BG333" i="12"/>
  <c r="BG49" i="6"/>
  <c r="BG348" i="12"/>
  <c r="BG380" i="12" s="1"/>
  <c r="BG336" i="12"/>
  <c r="BG323" i="12"/>
  <c r="BG397" i="12" s="1"/>
  <c r="BG303" i="12"/>
  <c r="BG302" i="12" s="1"/>
  <c r="BG89" i="12"/>
  <c r="BG142" i="12" s="1"/>
  <c r="BG368" i="12" s="1"/>
  <c r="BG23" i="6"/>
  <c r="BG94" i="12"/>
  <c r="BG178" i="6"/>
  <c r="BG177" i="6" s="1"/>
  <c r="BG7" i="6"/>
  <c r="BG97" i="6"/>
  <c r="BG238" i="6"/>
  <c r="BG226" i="12"/>
  <c r="BG31" i="6"/>
  <c r="BG227" i="6" s="1"/>
  <c r="BG84" i="6"/>
  <c r="BG96" i="6" s="1"/>
  <c r="BG197" i="6" s="1"/>
  <c r="BG196" i="6" s="1"/>
  <c r="BG115" i="6"/>
  <c r="BG163" i="12"/>
  <c r="BG253" i="12"/>
  <c r="BG204" i="12"/>
  <c r="BG217" i="12"/>
  <c r="BG202" i="12"/>
  <c r="BG251" i="12"/>
  <c r="BG291" i="12" s="1"/>
  <c r="BG302" i="6" s="1"/>
  <c r="BG208" i="12"/>
  <c r="BG201" i="12"/>
  <c r="BG152" i="12"/>
  <c r="BG192" i="12"/>
  <c r="BG151" i="12"/>
  <c r="BG184" i="12"/>
  <c r="BG176" i="12"/>
  <c r="BG170" i="12"/>
  <c r="BG149" i="12"/>
  <c r="BG155" i="12"/>
  <c r="BG150" i="12"/>
  <c r="BG91" i="12"/>
  <c r="BG144" i="12" s="1"/>
  <c r="BG370" i="12" s="1"/>
  <c r="BG116" i="12"/>
  <c r="BG109" i="12"/>
  <c r="BG364" i="12" s="1"/>
  <c r="BG88" i="12"/>
  <c r="BG141" i="12" s="1"/>
  <c r="BG426" i="12"/>
  <c r="BN432" i="12" s="1"/>
  <c r="BG425" i="12"/>
  <c r="BN431" i="12" s="1"/>
  <c r="BG71" i="12"/>
  <c r="BG372" i="12" s="1"/>
  <c r="BG371" i="12" s="1"/>
  <c r="BG55" i="12"/>
  <c r="BG355" i="12"/>
  <c r="BG175" i="6"/>
  <c r="BG38" i="12"/>
  <c r="BG386" i="12" s="1"/>
  <c r="BG21" i="12"/>
  <c r="BG7" i="12"/>
  <c r="BG245" i="12"/>
  <c r="BG285" i="12" s="1"/>
  <c r="BG296" i="6" s="1"/>
  <c r="BG255" i="6"/>
  <c r="BG90" i="12"/>
  <c r="BG143" i="12" s="1"/>
  <c r="BG369" i="12" s="1"/>
  <c r="BG108" i="6"/>
  <c r="BC190" i="12"/>
  <c r="BC185" i="12"/>
  <c r="BC182" i="12"/>
  <c r="BC177" i="12"/>
  <c r="BC171" i="12"/>
  <c r="BC165" i="12"/>
  <c r="BC164" i="12"/>
  <c r="BC156" i="12"/>
  <c r="BC132" i="12"/>
  <c r="BC122" i="12"/>
  <c r="BC117" i="12"/>
  <c r="BC110" i="12"/>
  <c r="BC82" i="12"/>
  <c r="BC76" i="12"/>
  <c r="BC77" i="12"/>
  <c r="BC58" i="12"/>
  <c r="BC59" i="12"/>
  <c r="BC61" i="12"/>
  <c r="BC65" i="12"/>
  <c r="BC67" i="12"/>
  <c r="BC69" i="12"/>
  <c r="BC42" i="12"/>
  <c r="BC51" i="12"/>
  <c r="BC52" i="12"/>
  <c r="BC32" i="12"/>
  <c r="BC25" i="12"/>
  <c r="BC30" i="12"/>
  <c r="BC12" i="12"/>
  <c r="BC15" i="12"/>
  <c r="BC16" i="12"/>
  <c r="BC17" i="12"/>
  <c r="BC18" i="12"/>
  <c r="BL206" i="6" l="1"/>
  <c r="BI348" i="12"/>
  <c r="BI380" i="12" s="1"/>
  <c r="BL146" i="2"/>
  <c r="BL117" i="2"/>
  <c r="BI25" i="2"/>
  <c r="BL212" i="2"/>
  <c r="BI6" i="2"/>
  <c r="BL248" i="2"/>
  <c r="BL83" i="2"/>
  <c r="BJ120" i="2"/>
  <c r="BJ117" i="2" s="1"/>
  <c r="BI147" i="2"/>
  <c r="BI120" i="2"/>
  <c r="BI117" i="2" s="1"/>
  <c r="BJ111" i="2"/>
  <c r="BJ161" i="2"/>
  <c r="BJ152" i="2" s="1"/>
  <c r="BK295" i="12"/>
  <c r="BJ92" i="2"/>
  <c r="BJ89" i="2" s="1"/>
  <c r="BH261" i="12"/>
  <c r="BG294" i="12"/>
  <c r="BG274" i="6" s="1"/>
  <c r="BK296" i="12"/>
  <c r="BG261" i="12"/>
  <c r="BK294" i="12"/>
  <c r="BI201" i="12"/>
  <c r="BI327" i="12"/>
  <c r="BI321" i="12" s="1"/>
  <c r="BI377" i="12" s="1"/>
  <c r="BJ88" i="12"/>
  <c r="BJ141" i="12" s="1"/>
  <c r="BJ208" i="12"/>
  <c r="BL249" i="12"/>
  <c r="BL297" i="12" s="1"/>
  <c r="BJ184" i="12"/>
  <c r="BL371" i="12"/>
  <c r="BI208" i="12"/>
  <c r="BJ91" i="12"/>
  <c r="BJ144" i="12" s="1"/>
  <c r="BL408" i="12"/>
  <c r="BJ422" i="12"/>
  <c r="BQ428" i="12" s="1"/>
  <c r="BJ348" i="12"/>
  <c r="BJ380" i="12" s="1"/>
  <c r="BJ274" i="12"/>
  <c r="BJ253" i="12"/>
  <c r="BJ205" i="12"/>
  <c r="BJ217" i="12"/>
  <c r="BL258" i="6"/>
  <c r="BI71" i="12"/>
  <c r="BI372" i="12" s="1"/>
  <c r="BI371" i="12" s="1"/>
  <c r="BJ149" i="12"/>
  <c r="BJ89" i="12"/>
  <c r="BJ142" i="12" s="1"/>
  <c r="BJ257" i="6" s="1"/>
  <c r="BL177" i="6"/>
  <c r="BL260" i="6"/>
  <c r="BI30" i="6"/>
  <c r="BJ171" i="6"/>
  <c r="BL355" i="12"/>
  <c r="BJ97" i="6"/>
  <c r="BI168" i="6"/>
  <c r="BI206" i="6" s="1"/>
  <c r="BI122" i="2"/>
  <c r="BH227" i="2"/>
  <c r="BH225" i="2" s="1"/>
  <c r="BH231" i="2" s="1"/>
  <c r="BH228" i="2" s="1"/>
  <c r="BH25" i="2"/>
  <c r="BJ327" i="12"/>
  <c r="BJ321" i="12" s="1"/>
  <c r="BJ377" i="12" s="1"/>
  <c r="BI322" i="12"/>
  <c r="BI253" i="12"/>
  <c r="BI149" i="12"/>
  <c r="BI150" i="12"/>
  <c r="BH422" i="12"/>
  <c r="BO428" i="12" s="1"/>
  <c r="BG212" i="2"/>
  <c r="BD215" i="2"/>
  <c r="BI116" i="12"/>
  <c r="BH409" i="12"/>
  <c r="BK404" i="12"/>
  <c r="BI171" i="6"/>
  <c r="BJ192" i="12"/>
  <c r="BI176" i="12"/>
  <c r="BI339" i="12"/>
  <c r="BI109" i="12"/>
  <c r="BI364" i="12" s="1"/>
  <c r="BJ426" i="12"/>
  <c r="BQ432" i="12" s="1"/>
  <c r="BJ90" i="12"/>
  <c r="BJ143" i="12" s="1"/>
  <c r="BJ95" i="2"/>
  <c r="BJ94" i="12"/>
  <c r="BJ424" i="12"/>
  <c r="BQ430" i="12" s="1"/>
  <c r="BJ168" i="6"/>
  <c r="BJ147" i="2"/>
  <c r="BJ150" i="12"/>
  <c r="BJ84" i="6"/>
  <c r="BJ96" i="6" s="1"/>
  <c r="BI426" i="12"/>
  <c r="BP432" i="12" s="1"/>
  <c r="BI90" i="12"/>
  <c r="BI143" i="12" s="1"/>
  <c r="BI95" i="2"/>
  <c r="BJ122" i="2"/>
  <c r="BI274" i="12"/>
  <c r="BJ86" i="2"/>
  <c r="BJ71" i="2"/>
  <c r="BJ152" i="12"/>
  <c r="BJ226" i="12"/>
  <c r="BJ151" i="12"/>
  <c r="BJ201" i="12"/>
  <c r="BI184" i="12"/>
  <c r="BI170" i="12"/>
  <c r="BJ163" i="12"/>
  <c r="BJ108" i="6"/>
  <c r="BI86" i="2"/>
  <c r="BI71" i="2"/>
  <c r="BI205" i="12"/>
  <c r="BI226" i="12"/>
  <c r="BJ155" i="12"/>
  <c r="BI92" i="2"/>
  <c r="BI89" i="2" s="1"/>
  <c r="BJ77" i="2"/>
  <c r="BJ88" i="2"/>
  <c r="BI108" i="6"/>
  <c r="BJ342" i="12"/>
  <c r="BJ378" i="12" s="1"/>
  <c r="BJ204" i="12"/>
  <c r="BJ131" i="12"/>
  <c r="BJ202" i="12"/>
  <c r="BJ115" i="6"/>
  <c r="BI155" i="12"/>
  <c r="BI88" i="12"/>
  <c r="BI141" i="12" s="1"/>
  <c r="BI111" i="2"/>
  <c r="BI77" i="2"/>
  <c r="BI88" i="2"/>
  <c r="BI342" i="12"/>
  <c r="BI378" i="12" s="1"/>
  <c r="BI131" i="12"/>
  <c r="BI202" i="12"/>
  <c r="BI115" i="6"/>
  <c r="BI84" i="6"/>
  <c r="BI96" i="6" s="1"/>
  <c r="BI197" i="6" s="1"/>
  <c r="BI196" i="6" s="1"/>
  <c r="BL257" i="6"/>
  <c r="BJ116" i="12"/>
  <c r="BJ176" i="12"/>
  <c r="BJ339" i="12"/>
  <c r="BJ109" i="12"/>
  <c r="BJ364" i="12" s="1"/>
  <c r="BJ170" i="12"/>
  <c r="BI153" i="2"/>
  <c r="BI161" i="2"/>
  <c r="BI152" i="2" s="1"/>
  <c r="BJ322" i="12"/>
  <c r="BK142" i="2"/>
  <c r="BK245" i="2"/>
  <c r="BK260" i="6"/>
  <c r="BK278" i="6"/>
  <c r="BK414" i="12"/>
  <c r="BK300" i="6"/>
  <c r="BK420" i="12"/>
  <c r="BK301" i="6"/>
  <c r="BK421" i="12"/>
  <c r="BK297" i="6"/>
  <c r="BK418" i="12"/>
  <c r="BK37" i="12"/>
  <c r="BK386" i="12"/>
  <c r="BK384" i="12" s="1"/>
  <c r="BK390" i="12" s="1"/>
  <c r="BK387" i="12" s="1"/>
  <c r="BJ6" i="12"/>
  <c r="BJ385" i="12"/>
  <c r="BJ384" i="12" s="1"/>
  <c r="BJ390" i="12" s="1"/>
  <c r="BJ387" i="12" s="1"/>
  <c r="BI89" i="12"/>
  <c r="BI142" i="12" s="1"/>
  <c r="BI425" i="12"/>
  <c r="BP431" i="12" s="1"/>
  <c r="BI94" i="12"/>
  <c r="BI427" i="12"/>
  <c r="BP433" i="12" s="1"/>
  <c r="BI91" i="12"/>
  <c r="BI144" i="12" s="1"/>
  <c r="BI204" i="12"/>
  <c r="BI217" i="12"/>
  <c r="BI192" i="12"/>
  <c r="BI151" i="12"/>
  <c r="BI175" i="6"/>
  <c r="BI207" i="6" s="1"/>
  <c r="BI97" i="6"/>
  <c r="BI422" i="12"/>
  <c r="BP428" i="12" s="1"/>
  <c r="BI152" i="12"/>
  <c r="BI163" i="12"/>
  <c r="BI23" i="6"/>
  <c r="BI6" i="6" s="1"/>
  <c r="BI230" i="6"/>
  <c r="BI184" i="6"/>
  <c r="BI216" i="2"/>
  <c r="BI212" i="2" s="1"/>
  <c r="BI178" i="6"/>
  <c r="BI357" i="12"/>
  <c r="BI355" i="12" s="1"/>
  <c r="BI6" i="12"/>
  <c r="BI385" i="12"/>
  <c r="BI384" i="12" s="1"/>
  <c r="BI390" i="12" s="1"/>
  <c r="BI387" i="12" s="1"/>
  <c r="BL422" i="12"/>
  <c r="BS428" i="12" s="1"/>
  <c r="BL199" i="12"/>
  <c r="BL247" i="12"/>
  <c r="BL296" i="12" s="1"/>
  <c r="BL6" i="6"/>
  <c r="BL407" i="12"/>
  <c r="BL247" i="6"/>
  <c r="BL112" i="6"/>
  <c r="BL119" i="6" s="1"/>
  <c r="BL121" i="6" s="1"/>
  <c r="BL147" i="12"/>
  <c r="BL25" i="2"/>
  <c r="BL225" i="2"/>
  <c r="BL231" i="2" s="1"/>
  <c r="BL228" i="2" s="1"/>
  <c r="BL6" i="2"/>
  <c r="BL409" i="12"/>
  <c r="BL250" i="12"/>
  <c r="BL298" i="12" s="1"/>
  <c r="BL259" i="6"/>
  <c r="BL385" i="12"/>
  <c r="BL384" i="12" s="1"/>
  <c r="BL390" i="12" s="1"/>
  <c r="BL387" i="12" s="1"/>
  <c r="BL6" i="12"/>
  <c r="BL200" i="6"/>
  <c r="BL30" i="6"/>
  <c r="BK146" i="2"/>
  <c r="BK176" i="2" s="1"/>
  <c r="BK285" i="6" s="1"/>
  <c r="BK173" i="2"/>
  <c r="BK168" i="2"/>
  <c r="BK304" i="6" s="1"/>
  <c r="BL89" i="2"/>
  <c r="BL145" i="2"/>
  <c r="BK170" i="2"/>
  <c r="BK175" i="2"/>
  <c r="BL176" i="2"/>
  <c r="BL285" i="6" s="1"/>
  <c r="BL171" i="2"/>
  <c r="BL307" i="6" s="1"/>
  <c r="BK377" i="12"/>
  <c r="BK396" i="12"/>
  <c r="BL377" i="12"/>
  <c r="BL396" i="12"/>
  <c r="BK284" i="12"/>
  <c r="BK416" i="12" s="1"/>
  <c r="BK254" i="6"/>
  <c r="BJ296" i="6"/>
  <c r="BJ274" i="6"/>
  <c r="BL141" i="12"/>
  <c r="BI296" i="6"/>
  <c r="BK244" i="12"/>
  <c r="BK376" i="12" s="1"/>
  <c r="BI274" i="6"/>
  <c r="BL296" i="6"/>
  <c r="BK298" i="6"/>
  <c r="BJ37" i="12"/>
  <c r="BL37" i="12"/>
  <c r="BK225" i="6"/>
  <c r="BK231" i="6" s="1"/>
  <c r="BK228" i="6" s="1"/>
  <c r="BJ225" i="6"/>
  <c r="BJ231" i="6" s="1"/>
  <c r="BJ228" i="6" s="1"/>
  <c r="BI225" i="6"/>
  <c r="BI231" i="6" s="1"/>
  <c r="BK119" i="6"/>
  <c r="BK121" i="6" s="1"/>
  <c r="BK205" i="6"/>
  <c r="BK204" i="6" s="1"/>
  <c r="BL225" i="6"/>
  <c r="BL231" i="6" s="1"/>
  <c r="BL228" i="6" s="1"/>
  <c r="BG207" i="6"/>
  <c r="BH249" i="12"/>
  <c r="BH289" i="12" s="1"/>
  <c r="BH297" i="12" s="1"/>
  <c r="BH177" i="6"/>
  <c r="BH321" i="12"/>
  <c r="BH396" i="12" s="1"/>
  <c r="BH248" i="2"/>
  <c r="BG237" i="2"/>
  <c r="BH263" i="6"/>
  <c r="BH260" i="6" s="1"/>
  <c r="BH83" i="2"/>
  <c r="BH245" i="2" s="1"/>
  <c r="BH145" i="2"/>
  <c r="BH175" i="2" s="1"/>
  <c r="BH252" i="2" s="1"/>
  <c r="BH250" i="12"/>
  <c r="BH290" i="12" s="1"/>
  <c r="BH298" i="12" s="1"/>
  <c r="BH256" i="6"/>
  <c r="BH6" i="2"/>
  <c r="BG237" i="6"/>
  <c r="BH176" i="2"/>
  <c r="BH285" i="6" s="1"/>
  <c r="BH171" i="2"/>
  <c r="BH307" i="6" s="1"/>
  <c r="BH385" i="12"/>
  <c r="BH384" i="12" s="1"/>
  <c r="BH390" i="12" s="1"/>
  <c r="BH387" i="12" s="1"/>
  <c r="BH6" i="12"/>
  <c r="BH199" i="12"/>
  <c r="BH408" i="12"/>
  <c r="BH147" i="12"/>
  <c r="BH259" i="6"/>
  <c r="BH246" i="12"/>
  <c r="BH286" i="12" s="1"/>
  <c r="BH297" i="6" s="1"/>
  <c r="BH368" i="12"/>
  <c r="BH407" i="12" s="1"/>
  <c r="BH37" i="12"/>
  <c r="BH296" i="6"/>
  <c r="BH247" i="12"/>
  <c r="BH287" i="12" s="1"/>
  <c r="BH296" i="12" s="1"/>
  <c r="BH257" i="6"/>
  <c r="BH86" i="12"/>
  <c r="BH274" i="6"/>
  <c r="BH112" i="6"/>
  <c r="BH119" i="6" s="1"/>
  <c r="BH121" i="6" s="1"/>
  <c r="BH197" i="6"/>
  <c r="BH196" i="6" s="1"/>
  <c r="BH247" i="6" s="1"/>
  <c r="BH30" i="6"/>
  <c r="BH225" i="6"/>
  <c r="BH231" i="6" s="1"/>
  <c r="BH228" i="6" s="1"/>
  <c r="BH6" i="6"/>
  <c r="BH206" i="6"/>
  <c r="BH237" i="6"/>
  <c r="BG321" i="12"/>
  <c r="BG396" i="12" s="1"/>
  <c r="BG30" i="6"/>
  <c r="BG6" i="6"/>
  <c r="BG152" i="2"/>
  <c r="BG89" i="2"/>
  <c r="BG245" i="2" s="1"/>
  <c r="BG248" i="2"/>
  <c r="BG263" i="6"/>
  <c r="BG260" i="6" s="1"/>
  <c r="BG25" i="2"/>
  <c r="BG225" i="2"/>
  <c r="BG231" i="2" s="1"/>
  <c r="BG228" i="2" s="1"/>
  <c r="BG6" i="2"/>
  <c r="BG176" i="2"/>
  <c r="BG285" i="6" s="1"/>
  <c r="BG171" i="2"/>
  <c r="BG307" i="6" s="1"/>
  <c r="BG145" i="2"/>
  <c r="BG422" i="12"/>
  <c r="BN428" i="12" s="1"/>
  <c r="BG257" i="6"/>
  <c r="BG112" i="6"/>
  <c r="BG119" i="6" s="1"/>
  <c r="BG121" i="6" s="1"/>
  <c r="BG6" i="12"/>
  <c r="BG247" i="6"/>
  <c r="BG226" i="6"/>
  <c r="BG225" i="6" s="1"/>
  <c r="BG231" i="6" s="1"/>
  <c r="BG228" i="6" s="1"/>
  <c r="BG247" i="12"/>
  <c r="BG287" i="12" s="1"/>
  <c r="BG409" i="12"/>
  <c r="BG408" i="12"/>
  <c r="BG407" i="12"/>
  <c r="BG147" i="12"/>
  <c r="BG250" i="12"/>
  <c r="BG290" i="12" s="1"/>
  <c r="BG421" i="12" s="1"/>
  <c r="BG259" i="6"/>
  <c r="BG246" i="12"/>
  <c r="BG286" i="12" s="1"/>
  <c r="BG295" i="12" s="1"/>
  <c r="BG256" i="6"/>
  <c r="BG37" i="12"/>
  <c r="BG385" i="12"/>
  <c r="BG384" i="12" s="1"/>
  <c r="BG390" i="12" s="1"/>
  <c r="BG387" i="12" s="1"/>
  <c r="BG86" i="12"/>
  <c r="BG139" i="12" s="1"/>
  <c r="BG249" i="12"/>
  <c r="BG289" i="12" s="1"/>
  <c r="BG420" i="12" s="1"/>
  <c r="BG258" i="6"/>
  <c r="BC220" i="6"/>
  <c r="BC221" i="6"/>
  <c r="BC195" i="6"/>
  <c r="BC191" i="6"/>
  <c r="BC190" i="6"/>
  <c r="BC186" i="6"/>
  <c r="BC185" i="6"/>
  <c r="BC179" i="6"/>
  <c r="BC174" i="6"/>
  <c r="BC118" i="6"/>
  <c r="BC101" i="6"/>
  <c r="BC102" i="6"/>
  <c r="BC104" i="6"/>
  <c r="BC88" i="6"/>
  <c r="BC89" i="6"/>
  <c r="BC91" i="6"/>
  <c r="BC92" i="6"/>
  <c r="BC93" i="6"/>
  <c r="BC69" i="6"/>
  <c r="BC72" i="6"/>
  <c r="BC73" i="6"/>
  <c r="BC74" i="6"/>
  <c r="BC75" i="6"/>
  <c r="BC77" i="6"/>
  <c r="BC78" i="6"/>
  <c r="BC55" i="6"/>
  <c r="BC62" i="6"/>
  <c r="BC63" i="6"/>
  <c r="BC44" i="6"/>
  <c r="BC45" i="6"/>
  <c r="BC46" i="6"/>
  <c r="BC15" i="6"/>
  <c r="BC16" i="6"/>
  <c r="BC17" i="6"/>
  <c r="BC20" i="6"/>
  <c r="BC154" i="12"/>
  <c r="BL142" i="2" l="1"/>
  <c r="BL167" i="2" s="1"/>
  <c r="BL253" i="2" s="1"/>
  <c r="BJ248" i="2"/>
  <c r="BK293" i="12"/>
  <c r="BK410" i="12" s="1"/>
  <c r="BK375" i="12"/>
  <c r="BK395" i="12" s="1"/>
  <c r="BK394" i="12" s="1"/>
  <c r="BK393" i="12" s="1"/>
  <c r="BK391" i="12" s="1"/>
  <c r="BK253" i="6"/>
  <c r="BJ145" i="2"/>
  <c r="BJ170" i="2" s="1"/>
  <c r="BK274" i="6"/>
  <c r="BK172" i="2"/>
  <c r="BK249" i="2" s="1"/>
  <c r="BH295" i="12"/>
  <c r="BH293" i="12" s="1"/>
  <c r="BG297" i="12"/>
  <c r="BG419" i="12"/>
  <c r="BG296" i="12"/>
  <c r="BG298" i="12"/>
  <c r="BG279" i="6" s="1"/>
  <c r="BI261" i="12"/>
  <c r="BJ261" i="12"/>
  <c r="BI246" i="12"/>
  <c r="BI286" i="12" s="1"/>
  <c r="BI295" i="12" s="1"/>
  <c r="BL289" i="12"/>
  <c r="BL300" i="6" s="1"/>
  <c r="BL278" i="6"/>
  <c r="BL290" i="12"/>
  <c r="BL301" i="6" s="1"/>
  <c r="BL287" i="12"/>
  <c r="BL419" i="12" s="1"/>
  <c r="BL276" i="6"/>
  <c r="BI37" i="12"/>
  <c r="BJ368" i="12"/>
  <c r="BJ407" i="12" s="1"/>
  <c r="BI396" i="12"/>
  <c r="BJ86" i="12"/>
  <c r="BJ139" i="12" s="1"/>
  <c r="BJ147" i="12"/>
  <c r="BJ396" i="12"/>
  <c r="BH300" i="6"/>
  <c r="BJ247" i="12"/>
  <c r="BJ287" i="12" s="1"/>
  <c r="BL205" i="6"/>
  <c r="BI237" i="6"/>
  <c r="BI228" i="6"/>
  <c r="BI177" i="6"/>
  <c r="BI147" i="12"/>
  <c r="BI247" i="6"/>
  <c r="BI199" i="12"/>
  <c r="BI145" i="2"/>
  <c r="BI175" i="2" s="1"/>
  <c r="BI252" i="2" s="1"/>
  <c r="BI248" i="2"/>
  <c r="BI86" i="12"/>
  <c r="BI139" i="12" s="1"/>
  <c r="BI112" i="6"/>
  <c r="BI205" i="6" s="1"/>
  <c r="BJ237" i="6"/>
  <c r="BJ206" i="6"/>
  <c r="BJ199" i="12"/>
  <c r="BJ264" i="6"/>
  <c r="BJ146" i="2"/>
  <c r="BJ370" i="12"/>
  <c r="BJ409" i="12" s="1"/>
  <c r="BJ250" i="12"/>
  <c r="BJ290" i="12" s="1"/>
  <c r="BJ298" i="12" s="1"/>
  <c r="BJ259" i="6"/>
  <c r="BH420" i="12"/>
  <c r="BI263" i="6"/>
  <c r="BI83" i="2"/>
  <c r="BI142" i="2" s="1"/>
  <c r="BI369" i="12"/>
  <c r="BI408" i="12" s="1"/>
  <c r="BI258" i="6"/>
  <c r="BJ197" i="6"/>
  <c r="BJ196" i="6" s="1"/>
  <c r="BJ247" i="6" s="1"/>
  <c r="BJ112" i="6"/>
  <c r="BJ369" i="12"/>
  <c r="BJ408" i="12" s="1"/>
  <c r="BJ249" i="12"/>
  <c r="BJ289" i="12" s="1"/>
  <c r="BJ297" i="12" s="1"/>
  <c r="BJ258" i="6"/>
  <c r="BJ263" i="6"/>
  <c r="BJ83" i="2"/>
  <c r="BJ142" i="2" s="1"/>
  <c r="BJ167" i="2" s="1"/>
  <c r="BJ253" i="2" s="1"/>
  <c r="BI264" i="6"/>
  <c r="BI146" i="2"/>
  <c r="BK171" i="2"/>
  <c r="BK307" i="6" s="1"/>
  <c r="BK167" i="2"/>
  <c r="BK253" i="2" s="1"/>
  <c r="BK222" i="2"/>
  <c r="BK221" i="2" s="1"/>
  <c r="BK236" i="2" s="1"/>
  <c r="BK235" i="2" s="1"/>
  <c r="BK234" i="2" s="1"/>
  <c r="BK232" i="2" s="1"/>
  <c r="BK306" i="6"/>
  <c r="BK256" i="2"/>
  <c r="BK295" i="6"/>
  <c r="BK276" i="6"/>
  <c r="BK413" i="12"/>
  <c r="BI370" i="12"/>
  <c r="BI409" i="12" s="1"/>
  <c r="BI259" i="6"/>
  <c r="BI250" i="12"/>
  <c r="BI290" i="12" s="1"/>
  <c r="BI298" i="12" s="1"/>
  <c r="BI249" i="12"/>
  <c r="BI289" i="12" s="1"/>
  <c r="BI297" i="12" s="1"/>
  <c r="BI368" i="12"/>
  <c r="BI407" i="12" s="1"/>
  <c r="BI247" i="12"/>
  <c r="BI287" i="12" s="1"/>
  <c r="BI296" i="12" s="1"/>
  <c r="BI257" i="6"/>
  <c r="BK279" i="6"/>
  <c r="BK415" i="12"/>
  <c r="BK284" i="6"/>
  <c r="BK281" i="6" s="1"/>
  <c r="BK252" i="2"/>
  <c r="BK275" i="6"/>
  <c r="BK412" i="12"/>
  <c r="BL245" i="2"/>
  <c r="BL279" i="6"/>
  <c r="BL170" i="2"/>
  <c r="BL175" i="2"/>
  <c r="BL252" i="2" s="1"/>
  <c r="BL274" i="6"/>
  <c r="BJ246" i="12"/>
  <c r="BJ286" i="12" s="1"/>
  <c r="BJ256" i="6"/>
  <c r="BL246" i="12"/>
  <c r="BL295" i="12" s="1"/>
  <c r="BL293" i="12" s="1"/>
  <c r="BL256" i="6"/>
  <c r="BL254" i="6" s="1"/>
  <c r="BL253" i="6" s="1"/>
  <c r="BI256" i="6"/>
  <c r="BH377" i="12"/>
  <c r="BD138" i="12"/>
  <c r="BC138" i="12"/>
  <c r="BC93" i="12"/>
  <c r="BD93" i="12"/>
  <c r="BL218" i="6"/>
  <c r="BL217" i="6" s="1"/>
  <c r="BL249" i="6"/>
  <c r="BL294" i="6"/>
  <c r="BK122" i="6"/>
  <c r="BK248" i="6" s="1"/>
  <c r="BK236" i="6"/>
  <c r="BK235" i="6" s="1"/>
  <c r="BK234" i="6" s="1"/>
  <c r="BK232" i="6" s="1"/>
  <c r="BK272" i="6"/>
  <c r="BK218" i="6"/>
  <c r="BK217" i="6" s="1"/>
  <c r="BK249" i="6"/>
  <c r="BK294" i="6"/>
  <c r="BG377" i="12"/>
  <c r="BH170" i="2"/>
  <c r="BH256" i="2" s="1"/>
  <c r="BH142" i="2"/>
  <c r="BH222" i="2" s="1"/>
  <c r="BH221" i="2" s="1"/>
  <c r="BH236" i="2" s="1"/>
  <c r="BH235" i="2" s="1"/>
  <c r="BH234" i="2" s="1"/>
  <c r="BH232" i="2" s="1"/>
  <c r="BH254" i="6"/>
  <c r="BH253" i="6" s="1"/>
  <c r="BH421" i="12"/>
  <c r="BH301" i="6"/>
  <c r="BH284" i="6"/>
  <c r="BH281" i="6" s="1"/>
  <c r="BH172" i="2"/>
  <c r="BH249" i="2" s="1"/>
  <c r="BH139" i="12"/>
  <c r="BH244" i="12" s="1"/>
  <c r="BH376" i="12" s="1"/>
  <c r="BH419" i="12"/>
  <c r="BH279" i="6"/>
  <c r="BH415" i="12"/>
  <c r="BH278" i="6"/>
  <c r="BH414" i="12"/>
  <c r="BH298" i="6"/>
  <c r="BH284" i="12"/>
  <c r="BH205" i="6"/>
  <c r="BH204" i="6" s="1"/>
  <c r="BH218" i="6"/>
  <c r="BH217" i="6" s="1"/>
  <c r="BH249" i="6"/>
  <c r="BH294" i="6"/>
  <c r="BG205" i="6"/>
  <c r="BG204" i="6" s="1"/>
  <c r="BG122" i="6" s="1"/>
  <c r="BG248" i="6" s="1"/>
  <c r="BG142" i="2"/>
  <c r="BG167" i="2" s="1"/>
  <c r="BG253" i="2" s="1"/>
  <c r="BG175" i="2"/>
  <c r="BG252" i="2" s="1"/>
  <c r="BG170" i="2"/>
  <c r="BG298" i="6"/>
  <c r="BG301" i="6"/>
  <c r="BG254" i="6"/>
  <c r="BG253" i="6" s="1"/>
  <c r="BG275" i="6"/>
  <c r="BG297" i="6"/>
  <c r="BG363" i="12"/>
  <c r="BG300" i="6"/>
  <c r="BG284" i="12"/>
  <c r="BG218" i="6"/>
  <c r="BG217" i="6" s="1"/>
  <c r="BG249" i="6"/>
  <c r="BG294" i="6"/>
  <c r="BL222" i="2" l="1"/>
  <c r="BL221" i="2" s="1"/>
  <c r="BL236" i="2" s="1"/>
  <c r="BL235" i="2" s="1"/>
  <c r="BL234" i="2" s="1"/>
  <c r="BL232" i="2" s="1"/>
  <c r="BH275" i="6"/>
  <c r="BD146" i="12"/>
  <c r="BL204" i="6"/>
  <c r="BL236" i="6" s="1"/>
  <c r="BL235" i="6" s="1"/>
  <c r="BL234" i="6" s="1"/>
  <c r="BL232" i="6" s="1"/>
  <c r="BL421" i="12"/>
  <c r="BJ245" i="2"/>
  <c r="BJ175" i="2"/>
  <c r="BJ252" i="2" s="1"/>
  <c r="BL298" i="6"/>
  <c r="BG293" i="12"/>
  <c r="BI293" i="12"/>
  <c r="BJ298" i="6"/>
  <c r="BJ296" i="12"/>
  <c r="BJ276" i="6" s="1"/>
  <c r="BG413" i="12"/>
  <c r="BL420" i="12"/>
  <c r="BJ295" i="12"/>
  <c r="BI244" i="12"/>
  <c r="BI376" i="12" s="1"/>
  <c r="BI375" i="12" s="1"/>
  <c r="BL414" i="12"/>
  <c r="BL413" i="12"/>
  <c r="BH375" i="12"/>
  <c r="BH395" i="12" s="1"/>
  <c r="BH394" i="12" s="1"/>
  <c r="BH393" i="12" s="1"/>
  <c r="BH391" i="12" s="1"/>
  <c r="BL286" i="12"/>
  <c r="BL284" i="12" s="1"/>
  <c r="BJ244" i="12"/>
  <c r="BJ376" i="12" s="1"/>
  <c r="BJ363" i="12"/>
  <c r="BJ419" i="12"/>
  <c r="BC146" i="12"/>
  <c r="BH363" i="12"/>
  <c r="BI260" i="6"/>
  <c r="BJ254" i="6"/>
  <c r="BI170" i="2"/>
  <c r="BI256" i="2" s="1"/>
  <c r="BI363" i="12"/>
  <c r="BH295" i="6"/>
  <c r="BI245" i="2"/>
  <c r="BH306" i="6"/>
  <c r="BH303" i="6" s="1"/>
  <c r="BH167" i="2"/>
  <c r="BH253" i="2" s="1"/>
  <c r="BI119" i="6"/>
  <c r="BI121" i="6" s="1"/>
  <c r="BI204" i="6"/>
  <c r="BI222" i="2"/>
  <c r="BI221" i="2" s="1"/>
  <c r="BI236" i="2" s="1"/>
  <c r="BI235" i="2" s="1"/>
  <c r="BI234" i="2" s="1"/>
  <c r="BI232" i="2" s="1"/>
  <c r="BI167" i="2"/>
  <c r="BI253" i="2" s="1"/>
  <c r="BJ260" i="6"/>
  <c r="BJ171" i="2"/>
  <c r="BJ307" i="6" s="1"/>
  <c r="BJ176" i="2"/>
  <c r="BJ285" i="6" s="1"/>
  <c r="BJ222" i="2"/>
  <c r="BJ221" i="2" s="1"/>
  <c r="BJ236" i="2" s="1"/>
  <c r="BJ235" i="2" s="1"/>
  <c r="BJ234" i="2" s="1"/>
  <c r="BJ232" i="2" s="1"/>
  <c r="BJ420" i="12"/>
  <c r="BJ300" i="6"/>
  <c r="BI176" i="2"/>
  <c r="BI285" i="6" s="1"/>
  <c r="BI171" i="2"/>
  <c r="BI307" i="6" s="1"/>
  <c r="BJ205" i="6"/>
  <c r="BJ204" i="6" s="1"/>
  <c r="BJ119" i="6"/>
  <c r="BJ121" i="6" s="1"/>
  <c r="BJ301" i="6"/>
  <c r="BJ421" i="12"/>
  <c r="BI254" i="6"/>
  <c r="BK273" i="6"/>
  <c r="BK303" i="6"/>
  <c r="BK315" i="6" s="1"/>
  <c r="BJ306" i="6"/>
  <c r="BJ256" i="2"/>
  <c r="BI300" i="6"/>
  <c r="BI420" i="12"/>
  <c r="BI301" i="6"/>
  <c r="BI421" i="12"/>
  <c r="BI419" i="12"/>
  <c r="BI298" i="6"/>
  <c r="BL306" i="6"/>
  <c r="BL303" i="6" s="1"/>
  <c r="BL256" i="2"/>
  <c r="BL415" i="12"/>
  <c r="BI284" i="6"/>
  <c r="BL284" i="6"/>
  <c r="BL281" i="6" s="1"/>
  <c r="BL172" i="2"/>
  <c r="BL249" i="2" s="1"/>
  <c r="BJ297" i="6"/>
  <c r="BJ284" i="12"/>
  <c r="BI297" i="6"/>
  <c r="BI284" i="12"/>
  <c r="BG236" i="6"/>
  <c r="BG235" i="6" s="1"/>
  <c r="BG234" i="6" s="1"/>
  <c r="BG232" i="6" s="1"/>
  <c r="BH276" i="6"/>
  <c r="BH413" i="12"/>
  <c r="BG272" i="6"/>
  <c r="BH236" i="6"/>
  <c r="BH235" i="6" s="1"/>
  <c r="BH234" i="6" s="1"/>
  <c r="BH232" i="6" s="1"/>
  <c r="BH122" i="6"/>
  <c r="BH248" i="6" s="1"/>
  <c r="BH272" i="6"/>
  <c r="BG222" i="2"/>
  <c r="BG221" i="2" s="1"/>
  <c r="BG236" i="2" s="1"/>
  <c r="BG235" i="2" s="1"/>
  <c r="BG234" i="2" s="1"/>
  <c r="BG232" i="2" s="1"/>
  <c r="BG306" i="6"/>
  <c r="BG303" i="6" s="1"/>
  <c r="BG256" i="2"/>
  <c r="BG284" i="6"/>
  <c r="BG281" i="6" s="1"/>
  <c r="BG172" i="2"/>
  <c r="BG249" i="2" s="1"/>
  <c r="BG276" i="6"/>
  <c r="BG415" i="12"/>
  <c r="BG295" i="6"/>
  <c r="BG278" i="6"/>
  <c r="BG414" i="12"/>
  <c r="BH273" i="6" l="1"/>
  <c r="BL272" i="6"/>
  <c r="BL122" i="6"/>
  <c r="BL248" i="6" s="1"/>
  <c r="BJ284" i="6"/>
  <c r="BJ281" i="6" s="1"/>
  <c r="BJ172" i="2"/>
  <c r="BJ249" i="2" s="1"/>
  <c r="BI306" i="6"/>
  <c r="BI303" i="6" s="1"/>
  <c r="BI253" i="6"/>
  <c r="BJ293" i="12"/>
  <c r="BL297" i="6"/>
  <c r="BL295" i="6" s="1"/>
  <c r="BL315" i="6" s="1"/>
  <c r="BI395" i="12"/>
  <c r="BI394" i="12" s="1"/>
  <c r="BI393" i="12" s="1"/>
  <c r="BI391" i="12" s="1"/>
  <c r="BJ375" i="12"/>
  <c r="BJ395" i="12" s="1"/>
  <c r="BJ394" i="12" s="1"/>
  <c r="BJ393" i="12" s="1"/>
  <c r="BJ391" i="12" s="1"/>
  <c r="BJ413" i="12"/>
  <c r="BJ253" i="6"/>
  <c r="BJ303" i="6"/>
  <c r="BI172" i="2"/>
  <c r="BI249" i="2" s="1"/>
  <c r="BH315" i="6"/>
  <c r="BI236" i="6"/>
  <c r="BI235" i="6" s="1"/>
  <c r="BI234" i="6" s="1"/>
  <c r="BI232" i="6" s="1"/>
  <c r="BI272" i="6"/>
  <c r="BI122" i="6"/>
  <c r="BI248" i="6" s="1"/>
  <c r="BI281" i="6"/>
  <c r="BI218" i="6"/>
  <c r="BI217" i="6" s="1"/>
  <c r="BI249" i="6"/>
  <c r="BI294" i="6"/>
  <c r="BJ278" i="6"/>
  <c r="BJ414" i="12"/>
  <c r="BJ218" i="6"/>
  <c r="BJ217" i="6" s="1"/>
  <c r="BJ249" i="6"/>
  <c r="BJ294" i="6"/>
  <c r="BJ295" i="6"/>
  <c r="BJ272" i="6"/>
  <c r="BJ122" i="6"/>
  <c r="BJ248" i="6" s="1"/>
  <c r="BJ236" i="6"/>
  <c r="BJ235" i="6" s="1"/>
  <c r="BJ234" i="6" s="1"/>
  <c r="BJ232" i="6" s="1"/>
  <c r="BI295" i="6"/>
  <c r="BJ279" i="6"/>
  <c r="BJ415" i="12"/>
  <c r="BI276" i="6"/>
  <c r="BI413" i="12"/>
  <c r="BI279" i="6"/>
  <c r="BI415" i="12"/>
  <c r="BI278" i="6"/>
  <c r="BI414" i="12"/>
  <c r="BJ275" i="6"/>
  <c r="BL275" i="6"/>
  <c r="BL273" i="6" s="1"/>
  <c r="BI275" i="6"/>
  <c r="BG315" i="6"/>
  <c r="BG273" i="6"/>
  <c r="BJ315" i="6" l="1"/>
  <c r="BI315" i="6"/>
  <c r="BJ273" i="6"/>
  <c r="BI273" i="6"/>
  <c r="AW350" i="12" l="1"/>
  <c r="AV351" i="12"/>
  <c r="AW351" i="12"/>
  <c r="AW352" i="12"/>
  <c r="AV352" i="12"/>
  <c r="AW353" i="12"/>
  <c r="AV353" i="12"/>
  <c r="AV354" i="12"/>
  <c r="AW354" i="12"/>
  <c r="AY348" i="12"/>
  <c r="AY355" i="12"/>
  <c r="AV108" i="12" l="1"/>
  <c r="AV93" i="12" l="1"/>
  <c r="AW93" i="12"/>
  <c r="AY101" i="12"/>
  <c r="AY253" i="12"/>
  <c r="AW123" i="12" l="1"/>
  <c r="AW137" i="12"/>
  <c r="AU132" i="12"/>
  <c r="AV138" i="12"/>
  <c r="AW138" i="12"/>
  <c r="AY146" i="12"/>
  <c r="AY153" i="12"/>
  <c r="AY116" i="12"/>
  <c r="AY155" i="12"/>
  <c r="AY184" i="12"/>
  <c r="AY131" i="12"/>
  <c r="AY217" i="12"/>
  <c r="AY208" i="12"/>
  <c r="AY226" i="12"/>
  <c r="BC34" i="16" l="1"/>
  <c r="BD26" i="16" l="1"/>
  <c r="BF20" i="16" l="1"/>
  <c r="BF47" i="16"/>
  <c r="BD206" i="2"/>
  <c r="BD205" i="2"/>
  <c r="BD202" i="2"/>
  <c r="BF190" i="2" l="1"/>
  <c r="BD199" i="2"/>
  <c r="BD190" i="2" s="1"/>
  <c r="BD187" i="2"/>
  <c r="BD166" i="2" l="1"/>
  <c r="BD165" i="2"/>
  <c r="BD162" i="2"/>
  <c r="BD151" i="2"/>
  <c r="BD150" i="2"/>
  <c r="BD125" i="2"/>
  <c r="BD114" i="2"/>
  <c r="BD110" i="2"/>
  <c r="BD109" i="2"/>
  <c r="BD105" i="2"/>
  <c r="BD99" i="2"/>
  <c r="BD98" i="2"/>
  <c r="BD81" i="2"/>
  <c r="BD80" i="2"/>
  <c r="BD74" i="2"/>
  <c r="BF70" i="2"/>
  <c r="BF118" i="2"/>
  <c r="BF143" i="2" s="1"/>
  <c r="BF119" i="2"/>
  <c r="BF144" i="2" s="1"/>
  <c r="BF132" i="2"/>
  <c r="BF184" i="2"/>
  <c r="BF189" i="2"/>
  <c r="BF237" i="2" s="1"/>
  <c r="BF192" i="2"/>
  <c r="BF198" i="2"/>
  <c r="BF201" i="2"/>
  <c r="BF204" i="2"/>
  <c r="BF207" i="2"/>
  <c r="BF224" i="2" s="1"/>
  <c r="BF219" i="2"/>
  <c r="BF220" i="2"/>
  <c r="BF238" i="2"/>
  <c r="BC41" i="2"/>
  <c r="BC66" i="2"/>
  <c r="BC64" i="2"/>
  <c r="BC57" i="2"/>
  <c r="BC55" i="2"/>
  <c r="BC36" i="2"/>
  <c r="BC38" i="2"/>
  <c r="BC34" i="2"/>
  <c r="BC33" i="2"/>
  <c r="BC32" i="2"/>
  <c r="BC31" i="2"/>
  <c r="BC27" i="2"/>
  <c r="BC24" i="2"/>
  <c r="BC22" i="2"/>
  <c r="BC21" i="2"/>
  <c r="BC19" i="2"/>
  <c r="BC13" i="2"/>
  <c r="BC10" i="2"/>
  <c r="BC9" i="2"/>
  <c r="BC8" i="2"/>
  <c r="BF71" i="2" l="1"/>
  <c r="BD350" i="12"/>
  <c r="BD351" i="12"/>
  <c r="BD353" i="12"/>
  <c r="BD352" i="12"/>
  <c r="BF121" i="2"/>
  <c r="BD126" i="2"/>
  <c r="BF101" i="2"/>
  <c r="BD104" i="2"/>
  <c r="BF127" i="2"/>
  <c r="BD130" i="2"/>
  <c r="BF230" i="2"/>
  <c r="BF229" i="2"/>
  <c r="BC23" i="2"/>
  <c r="BF87" i="2"/>
  <c r="BD75" i="2"/>
  <c r="BF77" i="2"/>
  <c r="BD82" i="2"/>
  <c r="BF111" i="2"/>
  <c r="BD116" i="2"/>
  <c r="BF88" i="2"/>
  <c r="BD347" i="12"/>
  <c r="BD331" i="12"/>
  <c r="BD337" i="12"/>
  <c r="BD341" i="12"/>
  <c r="BD334" i="12"/>
  <c r="BD338" i="12"/>
  <c r="BD345" i="12"/>
  <c r="BD329" i="12"/>
  <c r="BD328" i="12"/>
  <c r="BD346" i="12"/>
  <c r="BF95" i="2"/>
  <c r="BF147" i="2"/>
  <c r="BF153" i="2"/>
  <c r="BF106" i="2"/>
  <c r="BF164" i="2"/>
  <c r="BF161" i="2"/>
  <c r="BF122" i="2"/>
  <c r="BF93" i="2"/>
  <c r="BF86" i="2"/>
  <c r="BF174" i="2"/>
  <c r="BF169" i="2"/>
  <c r="BF168" i="2"/>
  <c r="BF173" i="2"/>
  <c r="BF223" i="2"/>
  <c r="BF120" i="2"/>
  <c r="BF117" i="2" s="1"/>
  <c r="BF94" i="2"/>
  <c r="BF92" i="2"/>
  <c r="BF154" i="2"/>
  <c r="BF56" i="2"/>
  <c r="BF218" i="2" s="1"/>
  <c r="BF217" i="2" s="1"/>
  <c r="BF40" i="2"/>
  <c r="BF26" i="2"/>
  <c r="BF227" i="2" s="1"/>
  <c r="BF20" i="2"/>
  <c r="BF7" i="2"/>
  <c r="BF83" i="2" l="1"/>
  <c r="BD348" i="12"/>
  <c r="BF152" i="2"/>
  <c r="BD307" i="12"/>
  <c r="BD308" i="12"/>
  <c r="BD306" i="12"/>
  <c r="BF6" i="2"/>
  <c r="BF226" i="2"/>
  <c r="BF225" i="2" s="1"/>
  <c r="BF231" i="2" s="1"/>
  <c r="BF228" i="2" s="1"/>
  <c r="BF146" i="2"/>
  <c r="BF176" i="2" s="1"/>
  <c r="BF145" i="2"/>
  <c r="BF175" i="2" s="1"/>
  <c r="BF252" i="2" s="1"/>
  <c r="BF89" i="2"/>
  <c r="BF248" i="2"/>
  <c r="BF25" i="2"/>
  <c r="BF206" i="12"/>
  <c r="BF245" i="2" l="1"/>
  <c r="BD166" i="12"/>
  <c r="BD232" i="12"/>
  <c r="BD134" i="12"/>
  <c r="BD167" i="12"/>
  <c r="BD180" i="12"/>
  <c r="BD195" i="12"/>
  <c r="BD219" i="12"/>
  <c r="BD255" i="12"/>
  <c r="BD276" i="12"/>
  <c r="BD133" i="12"/>
  <c r="BD194" i="12"/>
  <c r="BD135" i="12"/>
  <c r="BD181" i="12"/>
  <c r="BD196" i="12"/>
  <c r="BD256" i="12"/>
  <c r="BD96" i="12"/>
  <c r="BD118" i="12"/>
  <c r="BD136" i="12"/>
  <c r="BD172" i="12"/>
  <c r="BD186" i="12"/>
  <c r="BD197" i="12"/>
  <c r="BD222" i="12"/>
  <c r="BD257" i="12"/>
  <c r="BD112" i="12"/>
  <c r="BC216" i="12"/>
  <c r="BD216" i="12"/>
  <c r="BD113" i="12"/>
  <c r="BD168" i="12"/>
  <c r="BD220" i="12"/>
  <c r="BD119" i="12"/>
  <c r="BD173" i="12"/>
  <c r="BD187" i="12"/>
  <c r="BD210" i="12"/>
  <c r="BD223" i="12"/>
  <c r="BD258" i="12"/>
  <c r="BD179" i="12"/>
  <c r="BD275" i="12"/>
  <c r="BD114" i="12"/>
  <c r="BD97" i="12"/>
  <c r="BD157" i="12"/>
  <c r="BD98" i="12"/>
  <c r="BD120" i="12"/>
  <c r="BD158" i="12"/>
  <c r="BD174" i="12"/>
  <c r="BD188" i="12"/>
  <c r="BD211" i="12"/>
  <c r="BD228" i="12"/>
  <c r="BD267" i="12"/>
  <c r="BD99" i="12"/>
  <c r="BD121" i="12"/>
  <c r="BD159" i="12"/>
  <c r="BD175" i="12"/>
  <c r="BD189" i="12"/>
  <c r="BD213" i="12"/>
  <c r="BD229" i="12"/>
  <c r="BD269" i="12"/>
  <c r="BD111" i="12"/>
  <c r="BD123" i="12"/>
  <c r="BC123" i="12"/>
  <c r="BD160" i="12"/>
  <c r="BD178" i="12"/>
  <c r="BD191" i="12"/>
  <c r="BC191" i="12"/>
  <c r="BD214" i="12"/>
  <c r="BD231" i="12"/>
  <c r="BD273" i="12"/>
  <c r="BF226" i="12"/>
  <c r="BF131" i="12"/>
  <c r="BF184" i="12"/>
  <c r="BF142" i="2"/>
  <c r="BF167" i="2" s="1"/>
  <c r="BF253" i="2" s="1"/>
  <c r="BF171" i="2"/>
  <c r="BF170" i="2"/>
  <c r="BF256" i="2" s="1"/>
  <c r="BF172" i="2"/>
  <c r="BF249" i="2" s="1"/>
  <c r="BF116" i="12"/>
  <c r="BC81" i="12"/>
  <c r="BC80" i="12"/>
  <c r="BC79" i="12"/>
  <c r="BC78" i="12"/>
  <c r="BC74" i="12"/>
  <c r="BC73" i="12"/>
  <c r="BC72" i="12"/>
  <c r="BC70" i="12"/>
  <c r="BC68" i="12"/>
  <c r="BC66" i="12"/>
  <c r="BC64" i="12"/>
  <c r="BC63" i="12"/>
  <c r="BC62" i="12"/>
  <c r="BC60" i="12"/>
  <c r="BC57" i="12"/>
  <c r="BC56" i="12"/>
  <c r="BC54" i="12"/>
  <c r="BC53" i="12"/>
  <c r="BC50" i="12"/>
  <c r="BC49" i="12"/>
  <c r="BC48" i="12"/>
  <c r="BC47" i="12"/>
  <c r="BC46" i="12"/>
  <c r="BC45" i="12"/>
  <c r="BC44" i="12"/>
  <c r="BC43" i="12"/>
  <c r="BC41" i="12"/>
  <c r="BC40" i="12"/>
  <c r="BC39" i="12"/>
  <c r="BC36" i="12"/>
  <c r="BC35" i="12"/>
  <c r="BC34" i="12"/>
  <c r="BC33" i="12"/>
  <c r="BC29" i="12"/>
  <c r="BC28" i="12"/>
  <c r="BC27" i="12"/>
  <c r="BC26" i="12"/>
  <c r="BC23" i="12"/>
  <c r="BC22" i="12"/>
  <c r="BC20" i="12"/>
  <c r="BC19" i="12"/>
  <c r="BC14" i="12"/>
  <c r="BC13" i="12"/>
  <c r="BC11" i="12"/>
  <c r="BC10" i="12"/>
  <c r="BC9" i="12"/>
  <c r="BC8" i="12"/>
  <c r="BF424" i="12"/>
  <c r="BM430" i="12" s="1"/>
  <c r="BF425" i="12"/>
  <c r="BM431" i="12" s="1"/>
  <c r="BF426" i="12"/>
  <c r="BM432" i="12" s="1"/>
  <c r="BF427" i="12"/>
  <c r="BM433" i="12" s="1"/>
  <c r="BF303" i="12"/>
  <c r="BF302" i="12" s="1"/>
  <c r="BF323" i="12"/>
  <c r="BF397" i="12" s="1"/>
  <c r="BF324" i="12"/>
  <c r="BF327" i="12"/>
  <c r="BF322" i="12"/>
  <c r="BF330" i="12"/>
  <c r="BF333" i="12"/>
  <c r="BF336" i="12"/>
  <c r="BF339" i="12"/>
  <c r="BF342" i="12"/>
  <c r="BF378" i="12" s="1"/>
  <c r="BF348" i="12"/>
  <c r="BF380" i="12" s="1"/>
  <c r="BF356" i="12"/>
  <c r="BF374" i="12"/>
  <c r="BF85" i="12"/>
  <c r="BF87" i="12"/>
  <c r="BF140" i="12" s="1"/>
  <c r="BF366" i="12" s="1"/>
  <c r="BF92" i="12"/>
  <c r="BF94" i="12"/>
  <c r="BF89" i="12"/>
  <c r="BF142" i="12" s="1"/>
  <c r="BF368" i="12" s="1"/>
  <c r="BF90" i="12"/>
  <c r="BF143" i="12" s="1"/>
  <c r="BF369" i="12" s="1"/>
  <c r="BF101" i="12"/>
  <c r="BF109" i="12"/>
  <c r="BF364" i="12" s="1"/>
  <c r="BF91" i="12"/>
  <c r="BF144" i="12" s="1"/>
  <c r="BF370" i="12" s="1"/>
  <c r="BF148" i="12"/>
  <c r="BF151" i="12"/>
  <c r="BF153" i="12"/>
  <c r="BF251" i="12" s="1"/>
  <c r="BF291" i="12" s="1"/>
  <c r="BF155" i="12"/>
  <c r="BF152" i="12"/>
  <c r="BF163" i="12"/>
  <c r="BF170" i="12"/>
  <c r="BF176" i="12"/>
  <c r="BF150" i="12"/>
  <c r="BF192" i="12"/>
  <c r="BF200" i="12"/>
  <c r="BF203" i="12"/>
  <c r="BF248" i="12" s="1"/>
  <c r="BF288" i="12" s="1"/>
  <c r="BF208" i="12"/>
  <c r="BF201" i="12"/>
  <c r="BF202" i="12"/>
  <c r="BF204" i="12"/>
  <c r="BF205" i="12"/>
  <c r="BF217" i="12"/>
  <c r="BF253" i="12"/>
  <c r="BF262" i="12"/>
  <c r="BF265" i="12"/>
  <c r="BF268" i="12"/>
  <c r="BF271" i="12"/>
  <c r="BF274" i="12"/>
  <c r="BC192" i="6"/>
  <c r="BC188" i="6"/>
  <c r="BD176" i="6"/>
  <c r="BD173" i="6"/>
  <c r="BD172" i="6"/>
  <c r="BD170" i="6"/>
  <c r="BD169" i="6"/>
  <c r="BD117" i="6"/>
  <c r="BD116" i="6"/>
  <c r="BD114" i="6"/>
  <c r="BD111" i="6"/>
  <c r="BD110" i="6"/>
  <c r="BD109" i="6"/>
  <c r="BD107" i="6"/>
  <c r="BD106" i="6"/>
  <c r="BD105" i="6"/>
  <c r="BD103" i="6"/>
  <c r="BD100" i="6"/>
  <c r="BD99" i="6"/>
  <c r="BD98" i="6"/>
  <c r="BD95" i="6"/>
  <c r="BD94" i="6"/>
  <c r="BD90" i="6"/>
  <c r="BD87" i="6"/>
  <c r="BD85" i="6"/>
  <c r="BC76" i="6"/>
  <c r="BC71" i="6"/>
  <c r="BC70" i="6"/>
  <c r="BC68" i="6"/>
  <c r="BC66" i="6"/>
  <c r="BC65" i="6"/>
  <c r="BC64" i="6"/>
  <c r="BC61" i="6"/>
  <c r="BC60" i="6"/>
  <c r="BC59" i="6"/>
  <c r="BC58" i="6"/>
  <c r="BC57" i="6"/>
  <c r="BC56" i="6"/>
  <c r="BC54" i="6"/>
  <c r="BC53" i="6"/>
  <c r="BC52" i="6"/>
  <c r="BC51" i="6"/>
  <c r="BC50" i="6"/>
  <c r="BC48" i="6"/>
  <c r="BC47" i="6"/>
  <c r="BC43" i="6"/>
  <c r="BC42" i="6"/>
  <c r="BC41" i="6"/>
  <c r="BC40" i="6"/>
  <c r="BC39" i="6"/>
  <c r="BC38" i="6"/>
  <c r="BC37" i="6"/>
  <c r="BC36" i="6"/>
  <c r="BC35" i="6"/>
  <c r="BC34" i="6"/>
  <c r="BC33" i="6"/>
  <c r="BC32" i="6"/>
  <c r="BC27" i="6"/>
  <c r="BC26" i="6"/>
  <c r="BC25" i="6"/>
  <c r="BC24" i="6"/>
  <c r="BF388" i="12" l="1"/>
  <c r="BC24" i="12"/>
  <c r="BD170" i="12"/>
  <c r="BF373" i="12"/>
  <c r="BC75" i="12"/>
  <c r="BF389" i="12"/>
  <c r="BC31" i="12"/>
  <c r="BF175" i="6"/>
  <c r="BF357" i="12"/>
  <c r="BC180" i="6"/>
  <c r="BF358" i="12"/>
  <c r="BC181" i="6"/>
  <c r="BF359" i="12"/>
  <c r="BC182" i="6"/>
  <c r="BF360" i="12"/>
  <c r="BC183" i="6"/>
  <c r="BF215" i="2"/>
  <c r="BF212" i="2" s="1"/>
  <c r="BC187" i="6"/>
  <c r="BF222" i="2"/>
  <c r="BF221" i="2" s="1"/>
  <c r="BF236" i="2" s="1"/>
  <c r="BF235" i="2" s="1"/>
  <c r="BF234" i="2" s="1"/>
  <c r="BF232" i="2" s="1"/>
  <c r="BF422" i="12"/>
  <c r="BM428" i="12" s="1"/>
  <c r="BF199" i="12"/>
  <c r="BF409" i="12"/>
  <c r="BF408" i="12"/>
  <c r="BF407" i="12"/>
  <c r="BF71" i="12"/>
  <c r="BF372" i="12" s="1"/>
  <c r="BF55" i="12"/>
  <c r="BF38" i="12"/>
  <c r="BF386" i="12" s="1"/>
  <c r="BF21" i="12"/>
  <c r="BF7" i="12"/>
  <c r="BF385" i="12" s="1"/>
  <c r="BF321" i="12"/>
  <c r="BF245" i="12"/>
  <c r="BF285" i="12" s="1"/>
  <c r="BF296" i="6" s="1"/>
  <c r="BF250" i="12"/>
  <c r="BF290" i="12" s="1"/>
  <c r="BF298" i="12" s="1"/>
  <c r="BF249" i="12"/>
  <c r="BF289" i="12" s="1"/>
  <c r="BF297" i="12" s="1"/>
  <c r="BF247" i="12"/>
  <c r="BF287" i="12" s="1"/>
  <c r="BF296" i="12" s="1"/>
  <c r="BF261" i="12"/>
  <c r="BF149" i="12"/>
  <c r="BF147" i="12" s="1"/>
  <c r="BF88" i="12"/>
  <c r="BF141" i="12" s="1"/>
  <c r="BF367" i="12" s="1"/>
  <c r="BF49" i="6"/>
  <c r="BC22" i="6"/>
  <c r="BC19" i="6"/>
  <c r="BC18" i="6"/>
  <c r="BC14" i="6"/>
  <c r="BC13" i="6"/>
  <c r="BC12" i="6"/>
  <c r="BC11" i="6"/>
  <c r="BC10" i="6"/>
  <c r="BC9" i="6"/>
  <c r="BC8" i="6"/>
  <c r="BF168" i="6"/>
  <c r="BF237" i="6" s="1"/>
  <c r="BF171" i="6"/>
  <c r="BF208" i="6"/>
  <c r="BF178" i="6"/>
  <c r="BF184" i="6"/>
  <c r="BF189" i="6"/>
  <c r="BC189" i="6" s="1"/>
  <c r="BF198" i="6"/>
  <c r="BF199" i="6"/>
  <c r="BF202" i="6"/>
  <c r="BF203" i="6"/>
  <c r="BF229" i="6"/>
  <c r="BF230" i="6"/>
  <c r="BF238" i="6"/>
  <c r="BF255" i="6"/>
  <c r="BF257" i="6"/>
  <c r="BF258" i="6"/>
  <c r="BF259" i="6"/>
  <c r="BF261" i="6"/>
  <c r="BF262" i="6"/>
  <c r="BF263" i="6"/>
  <c r="BF264" i="6"/>
  <c r="BF284" i="6"/>
  <c r="BF285" i="6"/>
  <c r="BF299" i="6"/>
  <c r="BF302" i="6"/>
  <c r="BF304" i="6"/>
  <c r="BF305" i="6"/>
  <c r="BF306" i="6"/>
  <c r="BF307" i="6"/>
  <c r="BF83" i="6"/>
  <c r="BF84" i="6"/>
  <c r="BF96" i="6" s="1"/>
  <c r="BF197" i="6" s="1"/>
  <c r="BF97" i="6"/>
  <c r="BF108" i="6"/>
  <c r="BF115" i="6"/>
  <c r="BF23" i="6"/>
  <c r="BF31" i="6"/>
  <c r="BF227" i="6" s="1"/>
  <c r="BF67" i="6"/>
  <c r="BF201" i="6" s="1"/>
  <c r="BF294" i="12" l="1"/>
  <c r="BF274" i="6" s="1"/>
  <c r="BF207" i="6"/>
  <c r="BD175" i="6"/>
  <c r="BF371" i="12"/>
  <c r="BF355" i="12"/>
  <c r="BF281" i="6"/>
  <c r="BF303" i="6"/>
  <c r="BF260" i="6"/>
  <c r="BF406" i="12"/>
  <c r="BF421" i="12"/>
  <c r="BF300" i="6"/>
  <c r="BF420" i="12"/>
  <c r="BF298" i="6"/>
  <c r="BF419" i="12"/>
  <c r="BF7" i="6"/>
  <c r="BF226" i="6" s="1"/>
  <c r="BF225" i="6" s="1"/>
  <c r="BF231" i="6" s="1"/>
  <c r="BF228" i="6" s="1"/>
  <c r="BF37" i="12"/>
  <c r="BF384" i="12"/>
  <c r="BF390" i="12" s="1"/>
  <c r="BF387" i="12" s="1"/>
  <c r="BF6" i="12"/>
  <c r="BF396" i="12"/>
  <c r="BF377" i="12"/>
  <c r="BF246" i="12"/>
  <c r="BF286" i="12" s="1"/>
  <c r="BF295" i="12" s="1"/>
  <c r="BF256" i="6"/>
  <c r="BF254" i="6" s="1"/>
  <c r="BF301" i="6"/>
  <c r="BF86" i="12"/>
  <c r="BF139" i="12" s="1"/>
  <c r="BF244" i="12" s="1"/>
  <c r="BF206" i="6"/>
  <c r="BF196" i="6"/>
  <c r="BF247" i="6" s="1"/>
  <c r="BF200" i="6"/>
  <c r="BF177" i="6"/>
  <c r="BF112" i="6"/>
  <c r="BF30" i="6"/>
  <c r="BF293" i="12" l="1"/>
  <c r="BF253" i="6"/>
  <c r="BF6" i="6"/>
  <c r="BF418" i="12"/>
  <c r="BF284" i="12"/>
  <c r="BF279" i="6"/>
  <c r="BF415" i="12"/>
  <c r="BF278" i="6"/>
  <c r="BF414" i="12"/>
  <c r="BF276" i="6"/>
  <c r="BF413" i="12"/>
  <c r="BF376" i="12"/>
  <c r="BF363" i="12"/>
  <c r="BF362" i="12" s="1"/>
  <c r="BF404" i="12" s="1"/>
  <c r="BF412" i="12"/>
  <c r="BF297" i="6"/>
  <c r="BF295" i="6" s="1"/>
  <c r="BF119" i="6"/>
  <c r="BF121" i="6" s="1"/>
  <c r="BF218" i="6" s="1"/>
  <c r="BF217" i="6" s="1"/>
  <c r="BF205" i="6"/>
  <c r="BF204" i="6" s="1"/>
  <c r="BF122" i="6" s="1"/>
  <c r="BF248" i="6" s="1"/>
  <c r="BF375" i="12" l="1"/>
  <c r="BF395" i="12" s="1"/>
  <c r="BF394" i="12" s="1"/>
  <c r="BF393" i="12" s="1"/>
  <c r="BF391" i="12" s="1"/>
  <c r="BF416" i="12"/>
  <c r="BF275" i="6"/>
  <c r="BF273" i="6" s="1"/>
  <c r="BF410" i="12"/>
  <c r="BF272" i="6"/>
  <c r="BF236" i="6"/>
  <c r="BF235" i="6" s="1"/>
  <c r="BF234" i="6" s="1"/>
  <c r="BF232" i="6" s="1"/>
  <c r="BF294" i="6"/>
  <c r="BF315" i="6" s="1"/>
  <c r="BF249" i="6"/>
  <c r="AU238" i="2" l="1"/>
  <c r="AX238" i="2"/>
  <c r="AU224" i="2"/>
  <c r="AX224" i="2"/>
  <c r="AU220" i="2"/>
  <c r="AU219" i="2"/>
  <c r="AX220" i="2"/>
  <c r="AX219" i="2"/>
  <c r="AU216" i="2"/>
  <c r="AU215" i="2"/>
  <c r="AX204" i="2"/>
  <c r="AX201" i="2"/>
  <c r="AX198" i="2"/>
  <c r="AX184" i="2"/>
  <c r="AU212" i="2" l="1"/>
  <c r="AX212" i="2"/>
  <c r="AX190" i="2"/>
  <c r="AX189" i="2" s="1"/>
  <c r="AU155" i="2"/>
  <c r="AX155" i="2"/>
  <c r="AX127" i="2"/>
  <c r="AX121" i="2"/>
  <c r="AU119" i="2"/>
  <c r="AU144" i="2" s="1"/>
  <c r="AU174" i="2" s="1"/>
  <c r="AU118" i="2"/>
  <c r="AU143" i="2" s="1"/>
  <c r="AU173" i="2" s="1"/>
  <c r="AX119" i="2"/>
  <c r="AX144" i="2" s="1"/>
  <c r="AX169" i="2" s="1"/>
  <c r="AX118" i="2"/>
  <c r="AX143" i="2" s="1"/>
  <c r="AU66" i="2"/>
  <c r="AU65" i="2"/>
  <c r="AU64" i="2"/>
  <c r="AU63" i="2"/>
  <c r="AU57" i="2"/>
  <c r="AU55" i="2"/>
  <c r="AU41" i="2"/>
  <c r="AU36" i="2"/>
  <c r="AU33" i="2"/>
  <c r="AU32" i="2"/>
  <c r="AU31" i="2"/>
  <c r="AU27" i="2"/>
  <c r="AU229" i="2"/>
  <c r="AX22" i="2"/>
  <c r="AX19" i="2"/>
  <c r="AX18" i="2"/>
  <c r="AX15" i="2"/>
  <c r="AX13" i="2"/>
  <c r="AX12" i="2"/>
  <c r="AX10" i="2"/>
  <c r="AX9" i="2"/>
  <c r="AX8" i="2"/>
  <c r="AX168" i="2" l="1"/>
  <c r="AX173" i="2"/>
  <c r="AX174" i="2"/>
  <c r="AU168" i="2"/>
  <c r="AU169" i="2"/>
  <c r="AU20" i="2"/>
  <c r="AX153" i="2"/>
  <c r="AX86" i="2"/>
  <c r="AX88" i="2"/>
  <c r="AX24" i="2"/>
  <c r="AX230" i="2" s="1"/>
  <c r="AU230" i="2"/>
  <c r="AX237" i="2"/>
  <c r="AX223" i="2"/>
  <c r="AX23" i="2"/>
  <c r="AX229" i="2" s="1"/>
  <c r="AX71" i="2"/>
  <c r="AX106" i="2"/>
  <c r="AX161" i="2"/>
  <c r="AX77" i="2"/>
  <c r="AX164" i="2"/>
  <c r="AX7" i="2"/>
  <c r="AX226" i="2" s="1"/>
  <c r="AX21" i="2"/>
  <c r="AX20" i="2" s="1"/>
  <c r="AX87" i="2"/>
  <c r="AX154" i="2"/>
  <c r="AX147" i="2"/>
  <c r="AX120" i="2"/>
  <c r="AX117" i="2" s="1"/>
  <c r="AX122" i="2"/>
  <c r="AX94" i="2"/>
  <c r="AX111" i="2"/>
  <c r="AX93" i="2"/>
  <c r="AX101" i="2"/>
  <c r="AX95" i="2"/>
  <c r="AX92" i="2"/>
  <c r="AX248" i="2" s="1"/>
  <c r="AU56" i="2"/>
  <c r="AU218" i="2" s="1"/>
  <c r="AU217" i="2" s="1"/>
  <c r="AX56" i="2"/>
  <c r="AX218" i="2" s="1"/>
  <c r="AX217" i="2" s="1"/>
  <c r="AU40" i="2"/>
  <c r="AX40" i="2"/>
  <c r="AU26" i="2"/>
  <c r="AU227" i="2" s="1"/>
  <c r="AX26" i="2"/>
  <c r="AX227" i="2" s="1"/>
  <c r="AU7" i="2"/>
  <c r="AX152" i="2" l="1"/>
  <c r="AX225" i="2"/>
  <c r="AX231" i="2" s="1"/>
  <c r="AX228" i="2" s="1"/>
  <c r="AU6" i="2"/>
  <c r="AU226" i="2"/>
  <c r="AU225" i="2" s="1"/>
  <c r="AU231" i="2" s="1"/>
  <c r="AU228" i="2" s="1"/>
  <c r="AX146" i="2"/>
  <c r="AX89" i="2"/>
  <c r="AX6" i="2"/>
  <c r="AX145" i="2"/>
  <c r="AU25" i="2"/>
  <c r="AX25" i="2"/>
  <c r="AX142" i="2" l="1"/>
  <c r="AX245" i="2"/>
  <c r="AX176" i="2"/>
  <c r="AX171" i="2"/>
  <c r="AX175" i="2"/>
  <c r="AX170" i="2"/>
  <c r="AX256" i="2" s="1"/>
  <c r="AU361" i="12"/>
  <c r="AU360" i="12"/>
  <c r="AU359" i="12"/>
  <c r="AU358" i="12"/>
  <c r="AU357" i="12"/>
  <c r="AU356" i="12"/>
  <c r="AV350" i="12" l="1"/>
  <c r="AU349" i="12"/>
  <c r="AX348" i="12"/>
  <c r="AX380" i="12" s="1"/>
  <c r="AX339" i="12"/>
  <c r="AX172" i="2"/>
  <c r="AX249" i="2" s="1"/>
  <c r="AX252" i="2"/>
  <c r="AX167" i="2"/>
  <c r="AX253" i="2" s="1"/>
  <c r="AX222" i="2"/>
  <c r="AX221" i="2" s="1"/>
  <c r="AX236" i="2" s="1"/>
  <c r="AX235" i="2" s="1"/>
  <c r="AX234" i="2" s="1"/>
  <c r="AX232" i="2" s="1"/>
  <c r="AU355" i="12"/>
  <c r="AX342" i="12"/>
  <c r="AX378" i="12" s="1"/>
  <c r="AX355" i="12"/>
  <c r="AX330" i="12"/>
  <c r="AU325" i="12"/>
  <c r="AX303" i="12" l="1"/>
  <c r="AX302" i="12" s="1"/>
  <c r="AX333" i="12"/>
  <c r="AX327" i="12"/>
  <c r="AX323" i="12"/>
  <c r="AX397" i="12" s="1"/>
  <c r="AX336" i="12"/>
  <c r="AX322" i="12"/>
  <c r="AX324" i="12"/>
  <c r="AU225" i="12"/>
  <c r="AU198" i="12"/>
  <c r="AX146" i="12"/>
  <c r="AU216" i="12"/>
  <c r="BE92" i="12"/>
  <c r="BE87" i="12"/>
  <c r="BD92" i="12"/>
  <c r="BD145" i="12" s="1"/>
  <c r="BD91" i="12"/>
  <c r="BD90" i="12"/>
  <c r="BD89" i="12"/>
  <c r="BD88" i="12"/>
  <c r="BD87" i="12"/>
  <c r="BC92" i="12"/>
  <c r="BC145" i="12" s="1"/>
  <c r="BC87" i="12"/>
  <c r="BB92" i="12"/>
  <c r="BA92" i="12"/>
  <c r="BA87" i="12"/>
  <c r="AY92" i="12"/>
  <c r="AU93" i="12"/>
  <c r="AW101" i="12"/>
  <c r="AZ101" i="12"/>
  <c r="BA101" i="12"/>
  <c r="BB101" i="12"/>
  <c r="BC101" i="12"/>
  <c r="BD101" i="12"/>
  <c r="BE101" i="12"/>
  <c r="AT101" i="12"/>
  <c r="AU103" i="12"/>
  <c r="AU104" i="12"/>
  <c r="AU105" i="12"/>
  <c r="AU106" i="12"/>
  <c r="AU102" i="12"/>
  <c r="AU122" i="12"/>
  <c r="AU115" i="12"/>
  <c r="AX101" i="12" l="1"/>
  <c r="AV107" i="12"/>
  <c r="AV101" i="12" s="1"/>
  <c r="AY145" i="12"/>
  <c r="AW92" i="12"/>
  <c r="AX321" i="12"/>
  <c r="AX377" i="12" s="1"/>
  <c r="BD86" i="12"/>
  <c r="AX92" i="12"/>
  <c r="AU107" i="12"/>
  <c r="AU101" i="12" s="1"/>
  <c r="AU161" i="12"/>
  <c r="AV136" i="12"/>
  <c r="AU183" i="12"/>
  <c r="AU137" i="12" l="1"/>
  <c r="AV137" i="12"/>
  <c r="AV145" i="12" s="1"/>
  <c r="AX396" i="12"/>
  <c r="AX145" i="12"/>
  <c r="AU92" i="12"/>
  <c r="AU138" i="12"/>
  <c r="AU146" i="12" s="1"/>
  <c r="AU162" i="12"/>
  <c r="AV135" i="12"/>
  <c r="AU191" i="12"/>
  <c r="AV119" i="12"/>
  <c r="AU209" i="12"/>
  <c r="AU227" i="12"/>
  <c r="AX205" i="12"/>
  <c r="AU271" i="12"/>
  <c r="AX271" i="12"/>
  <c r="AX265" i="12"/>
  <c r="AX262" i="12"/>
  <c r="AU259" i="12"/>
  <c r="AU230" i="12"/>
  <c r="AU233" i="12"/>
  <c r="AU221" i="12"/>
  <c r="AU224" i="12"/>
  <c r="AU218" i="12"/>
  <c r="AU215" i="12"/>
  <c r="AX203" i="12"/>
  <c r="AX248" i="12" s="1"/>
  <c r="AX288" i="12" s="1"/>
  <c r="AU190" i="12"/>
  <c r="AV132" i="12"/>
  <c r="AV134" i="12"/>
  <c r="AV121" i="12"/>
  <c r="AV118" i="12"/>
  <c r="AX87" i="12"/>
  <c r="AX427" i="12"/>
  <c r="AX426" i="12"/>
  <c r="AX425" i="12"/>
  <c r="AU82" i="12"/>
  <c r="AU76" i="12"/>
  <c r="AU77" i="12"/>
  <c r="AU81" i="12"/>
  <c r="AU80" i="12"/>
  <c r="AU79" i="12"/>
  <c r="AU78" i="12"/>
  <c r="AU74" i="12"/>
  <c r="AU73" i="12"/>
  <c r="AU72" i="12"/>
  <c r="AU61" i="12"/>
  <c r="AU65" i="12"/>
  <c r="AU67" i="12"/>
  <c r="AU69" i="12"/>
  <c r="AU70" i="12"/>
  <c r="AU68" i="12"/>
  <c r="AU66" i="12"/>
  <c r="AU64" i="12"/>
  <c r="AU63" i="12"/>
  <c r="AU62" i="12"/>
  <c r="AU60" i="12"/>
  <c r="AU59" i="12"/>
  <c r="AU58" i="12"/>
  <c r="AU57" i="12"/>
  <c r="AU56" i="12"/>
  <c r="AU42" i="12"/>
  <c r="AU51" i="12"/>
  <c r="AU52" i="12"/>
  <c r="AU54" i="12"/>
  <c r="AU53" i="12"/>
  <c r="AU50" i="12"/>
  <c r="AU49" i="12"/>
  <c r="AU48" i="12"/>
  <c r="AU47" i="12"/>
  <c r="AU46" i="12"/>
  <c r="AU45" i="12"/>
  <c r="AU44" i="12"/>
  <c r="AU43" i="12"/>
  <c r="AU41" i="12"/>
  <c r="AU39" i="12"/>
  <c r="AU35" i="12"/>
  <c r="AU36" i="12"/>
  <c r="AU34" i="12"/>
  <c r="AU33" i="12"/>
  <c r="AU28" i="12"/>
  <c r="AU26" i="12"/>
  <c r="AU30" i="12"/>
  <c r="AU29" i="12"/>
  <c r="AU27" i="12"/>
  <c r="AU25" i="12"/>
  <c r="AU23" i="12"/>
  <c r="AU22" i="12"/>
  <c r="AU15" i="12"/>
  <c r="AU16" i="12"/>
  <c r="AU17" i="12"/>
  <c r="AU18" i="12"/>
  <c r="AU20" i="12"/>
  <c r="AU19" i="12"/>
  <c r="AU14" i="12"/>
  <c r="AU13" i="12"/>
  <c r="AU12" i="12"/>
  <c r="AU11" i="12"/>
  <c r="AU10" i="12"/>
  <c r="AU9" i="12"/>
  <c r="AX285" i="6"/>
  <c r="AX284" i="6"/>
  <c r="AU262" i="6"/>
  <c r="AU261" i="6"/>
  <c r="AX264" i="6"/>
  <c r="AX263" i="6"/>
  <c r="AX262" i="6"/>
  <c r="AX261" i="6"/>
  <c r="AU145" i="12" l="1"/>
  <c r="AU123" i="12"/>
  <c r="AV123" i="12"/>
  <c r="AU120" i="12"/>
  <c r="AV120" i="12"/>
  <c r="AX260" i="6"/>
  <c r="AX281" i="6"/>
  <c r="AX424" i="12"/>
  <c r="AX422" i="12"/>
  <c r="AU24" i="12"/>
  <c r="AU388" i="12" s="1"/>
  <c r="AX388" i="12"/>
  <c r="AU31" i="12"/>
  <c r="AU389" i="12" s="1"/>
  <c r="AX389" i="12"/>
  <c r="AU40" i="12"/>
  <c r="AU38" i="12" s="1"/>
  <c r="AU8" i="12"/>
  <c r="AU7" i="12" s="1"/>
  <c r="AU75" i="12"/>
  <c r="AU373" i="12" s="1"/>
  <c r="AX373" i="12"/>
  <c r="AX88" i="12"/>
  <c r="AX141" i="12" s="1"/>
  <c r="AX192" i="12"/>
  <c r="AU254" i="12"/>
  <c r="AX140" i="12"/>
  <c r="AX255" i="6" s="1"/>
  <c r="AX91" i="12"/>
  <c r="AX144" i="12" s="1"/>
  <c r="AX370" i="12" s="1"/>
  <c r="AX89" i="12"/>
  <c r="AX142" i="12" s="1"/>
  <c r="AX368" i="12" s="1"/>
  <c r="AX90" i="12"/>
  <c r="AX143" i="12" s="1"/>
  <c r="AX369" i="12" s="1"/>
  <c r="AX153" i="12"/>
  <c r="AX94" i="12"/>
  <c r="AX116" i="12"/>
  <c r="AX109" i="12"/>
  <c r="AX364" i="12" s="1"/>
  <c r="AU182" i="12"/>
  <c r="AU153" i="12" s="1"/>
  <c r="AX152" i="12"/>
  <c r="AX131" i="12"/>
  <c r="AU177" i="12"/>
  <c r="AX176" i="12"/>
  <c r="AX155" i="12"/>
  <c r="AX184" i="12"/>
  <c r="AX274" i="12"/>
  <c r="AX268" i="12"/>
  <c r="AX208" i="12"/>
  <c r="AX217" i="12"/>
  <c r="AX226" i="12"/>
  <c r="AX170" i="12"/>
  <c r="AX202" i="12"/>
  <c r="AX7" i="12"/>
  <c r="AX385" i="12" s="1"/>
  <c r="AU212" i="12"/>
  <c r="AU203" i="12" s="1"/>
  <c r="AU248" i="12" s="1"/>
  <c r="AU206" i="12"/>
  <c r="AU117" i="12"/>
  <c r="AX253" i="12"/>
  <c r="AU200" i="12"/>
  <c r="AX204" i="12"/>
  <c r="AX206" i="12"/>
  <c r="AX201" i="12"/>
  <c r="AX200" i="12"/>
  <c r="AX151" i="12"/>
  <c r="AX150" i="12"/>
  <c r="AX149" i="12"/>
  <c r="AX163" i="12"/>
  <c r="AX148" i="12"/>
  <c r="AX71" i="12"/>
  <c r="AX372" i="12" s="1"/>
  <c r="AU55" i="12"/>
  <c r="AX55" i="12"/>
  <c r="AX38" i="12"/>
  <c r="AX386" i="12" s="1"/>
  <c r="AU21" i="12"/>
  <c r="AX21" i="12"/>
  <c r="AX203" i="6"/>
  <c r="AX201" i="6"/>
  <c r="AU195" i="6"/>
  <c r="AU187" i="6"/>
  <c r="AU183" i="6"/>
  <c r="AU182" i="6"/>
  <c r="AU181" i="6"/>
  <c r="AU180" i="6"/>
  <c r="AU179" i="6"/>
  <c r="AX208" i="6"/>
  <c r="AX86" i="12" l="1"/>
  <c r="AX139" i="12" s="1"/>
  <c r="AX363" i="12" s="1"/>
  <c r="AX362" i="12" s="1"/>
  <c r="AU288" i="12"/>
  <c r="AU71" i="12"/>
  <c r="AU372" i="12" s="1"/>
  <c r="AU371" i="12" s="1"/>
  <c r="AX384" i="12"/>
  <c r="AX390" i="12" s="1"/>
  <c r="AX387" i="12" s="1"/>
  <c r="AX409" i="12"/>
  <c r="AU386" i="12"/>
  <c r="AU385" i="12"/>
  <c r="AX256" i="6"/>
  <c r="AX367" i="12"/>
  <c r="AX406" i="12" s="1"/>
  <c r="AX408" i="12"/>
  <c r="AX371" i="12"/>
  <c r="AX407" i="12"/>
  <c r="AX251" i="12"/>
  <c r="AX291" i="12" s="1"/>
  <c r="AX199" i="12"/>
  <c r="AU87" i="12"/>
  <c r="AX147" i="12"/>
  <c r="AX250" i="12"/>
  <c r="AX184" i="6"/>
  <c r="AU148" i="12"/>
  <c r="AX261" i="12"/>
  <c r="AU251" i="12"/>
  <c r="AU291" i="12" s="1"/>
  <c r="AX246" i="12"/>
  <c r="AX245" i="12"/>
  <c r="AX294" i="12" s="1"/>
  <c r="AX247" i="12"/>
  <c r="AX257" i="6"/>
  <c r="AX259" i="6"/>
  <c r="AX258" i="6"/>
  <c r="AX249" i="12"/>
  <c r="AX37" i="12"/>
  <c r="AX171" i="6"/>
  <c r="AU188" i="6"/>
  <c r="AU184" i="6" s="1"/>
  <c r="AU178" i="6"/>
  <c r="AX178" i="6"/>
  <c r="AU101" i="6"/>
  <c r="AU102" i="6"/>
  <c r="AU104" i="6"/>
  <c r="AU93" i="6"/>
  <c r="AU92" i="6"/>
  <c r="AU91" i="6"/>
  <c r="AU89" i="6"/>
  <c r="AU88" i="6"/>
  <c r="AX285" i="12" l="1"/>
  <c r="AX274" i="6" s="1"/>
  <c r="AX287" i="12"/>
  <c r="AX419" i="12" s="1"/>
  <c r="AX296" i="12"/>
  <c r="AX289" i="12"/>
  <c r="AX420" i="12" s="1"/>
  <c r="AX297" i="12"/>
  <c r="AX278" i="6" s="1"/>
  <c r="AX286" i="12"/>
  <c r="AX418" i="12" s="1"/>
  <c r="AX295" i="12"/>
  <c r="AX412" i="12" s="1"/>
  <c r="AX290" i="12"/>
  <c r="AX298" i="12"/>
  <c r="AX279" i="6" s="1"/>
  <c r="AU37" i="12"/>
  <c r="AX254" i="6"/>
  <c r="AX253" i="6" s="1"/>
  <c r="AX404" i="12"/>
  <c r="AU384" i="12"/>
  <c r="AU390" i="12" s="1"/>
  <c r="AU387" i="12" s="1"/>
  <c r="AX177" i="6"/>
  <c r="AX115" i="6"/>
  <c r="AU140" i="12"/>
  <c r="AU245" i="12" s="1"/>
  <c r="AU294" i="12" s="1"/>
  <c r="AU177" i="6"/>
  <c r="AX84" i="6"/>
  <c r="AX96" i="6" s="1"/>
  <c r="AX197" i="6" s="1"/>
  <c r="AX238" i="6"/>
  <c r="AX244" i="12"/>
  <c r="AX376" i="12" s="1"/>
  <c r="AX175" i="6"/>
  <c r="AX207" i="6" s="1"/>
  <c r="AX198" i="6"/>
  <c r="AX108" i="6"/>
  <c r="AV98" i="6"/>
  <c r="AX168" i="6"/>
  <c r="AX97" i="6"/>
  <c r="AU69" i="6"/>
  <c r="AU72" i="6"/>
  <c r="AU73" i="6"/>
  <c r="AU203" i="6" s="1"/>
  <c r="AU74" i="6"/>
  <c r="AU75" i="6"/>
  <c r="AU76" i="6"/>
  <c r="AU70" i="6"/>
  <c r="AU68" i="6"/>
  <c r="AU55" i="6"/>
  <c r="AU59" i="6"/>
  <c r="AU60" i="6"/>
  <c r="AU62" i="6"/>
  <c r="AU63" i="6"/>
  <c r="AU66" i="6"/>
  <c r="AU65" i="6"/>
  <c r="AU64" i="6"/>
  <c r="AU61" i="6"/>
  <c r="AU58" i="6"/>
  <c r="AU57" i="6"/>
  <c r="AU56" i="6"/>
  <c r="AU54" i="6"/>
  <c r="AU53" i="6"/>
  <c r="AU52" i="6"/>
  <c r="AU51" i="6"/>
  <c r="AU50" i="6"/>
  <c r="AU35" i="6"/>
  <c r="AU44" i="6"/>
  <c r="AU45" i="6"/>
  <c r="AU46" i="6"/>
  <c r="AU48" i="6"/>
  <c r="AU47" i="6"/>
  <c r="AU43" i="6"/>
  <c r="AU42" i="6"/>
  <c r="AU41" i="6"/>
  <c r="AU40" i="6"/>
  <c r="AU39" i="6"/>
  <c r="AU38" i="6"/>
  <c r="AU37" i="6"/>
  <c r="AU36" i="6"/>
  <c r="AU34" i="6"/>
  <c r="AU33" i="6"/>
  <c r="AU32" i="6"/>
  <c r="AU25" i="6"/>
  <c r="AU24" i="6"/>
  <c r="AU15" i="6"/>
  <c r="AU16" i="6"/>
  <c r="AU17" i="6"/>
  <c r="AU20" i="6"/>
  <c r="AU22" i="6"/>
  <c r="AU19" i="6"/>
  <c r="AU18" i="6"/>
  <c r="AU14" i="6"/>
  <c r="AU13" i="6"/>
  <c r="AU12" i="6"/>
  <c r="AU11" i="6"/>
  <c r="AU10" i="6"/>
  <c r="AU9" i="6"/>
  <c r="AU8" i="6"/>
  <c r="AX284" i="12" l="1"/>
  <c r="AX421" i="12"/>
  <c r="AX293" i="12"/>
  <c r="AX410" i="12" s="1"/>
  <c r="AU285" i="12"/>
  <c r="AX375" i="12"/>
  <c r="AX395" i="12" s="1"/>
  <c r="AX394" i="12" s="1"/>
  <c r="AX393" i="12" s="1"/>
  <c r="AX391" i="12" s="1"/>
  <c r="AX275" i="6"/>
  <c r="AX413" i="12"/>
  <c r="AX414" i="12"/>
  <c r="AX276" i="6"/>
  <c r="AX196" i="6"/>
  <c r="AX247" i="6" s="1"/>
  <c r="AX112" i="6"/>
  <c r="AX119" i="6" s="1"/>
  <c r="AX121" i="6" s="1"/>
  <c r="AU27" i="6"/>
  <c r="AU230" i="6" s="1"/>
  <c r="AX230" i="6"/>
  <c r="AU26" i="6"/>
  <c r="AU229" i="6" s="1"/>
  <c r="AX229" i="6"/>
  <c r="AX206" i="6"/>
  <c r="AX237" i="6"/>
  <c r="AU71" i="6"/>
  <c r="AU202" i="6" s="1"/>
  <c r="AX202" i="6"/>
  <c r="AX200" i="6" s="1"/>
  <c r="AX23" i="6"/>
  <c r="AX49" i="6"/>
  <c r="AU7" i="6"/>
  <c r="AU226" i="6" s="1"/>
  <c r="AU31" i="6"/>
  <c r="AU227" i="6" s="1"/>
  <c r="AX31" i="6"/>
  <c r="AX227" i="6" s="1"/>
  <c r="AU49" i="6"/>
  <c r="AX7" i="6"/>
  <c r="AX226" i="6" s="1"/>
  <c r="AX273" i="6" l="1"/>
  <c r="AX205" i="6"/>
  <c r="AX204" i="6" s="1"/>
  <c r="AX236" i="6" s="1"/>
  <c r="AX235" i="6" s="1"/>
  <c r="AX234" i="6" s="1"/>
  <c r="AX232" i="6" s="1"/>
  <c r="AU23" i="6"/>
  <c r="AU6" i="6" s="1"/>
  <c r="AX218" i="6"/>
  <c r="AX217" i="6" s="1"/>
  <c r="AX249" i="6"/>
  <c r="AX225" i="6"/>
  <c r="AX231" i="6" s="1"/>
  <c r="AX228" i="6" s="1"/>
  <c r="AU225" i="6"/>
  <c r="AU231" i="6" s="1"/>
  <c r="AU228" i="6" s="1"/>
  <c r="AU67" i="6"/>
  <c r="AU201" i="6" s="1"/>
  <c r="AU200" i="6" s="1"/>
  <c r="AX272" i="6" l="1"/>
  <c r="AX122" i="6"/>
  <c r="AX248" i="6" s="1"/>
  <c r="BC26" i="16" l="1"/>
  <c r="BB115" i="2" l="1"/>
  <c r="BB100" i="2" l="1"/>
  <c r="BB76" i="2"/>
  <c r="BC187" i="2"/>
  <c r="BB58" i="2" l="1"/>
  <c r="BB59" i="2"/>
  <c r="BB60" i="2"/>
  <c r="BB61" i="2"/>
  <c r="BB62" i="2"/>
  <c r="BB63" i="2"/>
  <c r="BB65" i="2"/>
  <c r="BB42" i="2"/>
  <c r="BB43" i="2"/>
  <c r="BB46" i="2"/>
  <c r="BB47" i="2"/>
  <c r="BB48" i="2"/>
  <c r="BB49" i="2"/>
  <c r="BB50" i="2"/>
  <c r="BB52" i="2"/>
  <c r="BB53" i="2"/>
  <c r="BB54" i="2"/>
  <c r="BB28" i="2"/>
  <c r="BB29" i="2"/>
  <c r="BB30" i="2"/>
  <c r="BB35" i="2"/>
  <c r="BB37" i="2"/>
  <c r="BB39" i="2"/>
  <c r="BB11" i="2"/>
  <c r="BB14" i="2"/>
  <c r="BB15" i="2"/>
  <c r="BB16" i="2"/>
  <c r="BB17" i="2"/>
  <c r="BB18" i="2"/>
  <c r="BB259" i="12" l="1"/>
  <c r="BB254" i="12"/>
  <c r="BB230" i="12"/>
  <c r="BB233" i="12"/>
  <c r="BB227" i="12"/>
  <c r="BB221" i="12"/>
  <c r="BB224" i="12"/>
  <c r="BB218" i="12"/>
  <c r="BB212" i="12"/>
  <c r="BB215" i="12"/>
  <c r="BB209" i="12"/>
  <c r="BB193" i="12"/>
  <c r="BB190" i="12"/>
  <c r="BB185" i="12"/>
  <c r="BB182" i="12"/>
  <c r="BB177" i="12"/>
  <c r="BB171" i="12"/>
  <c r="BB165" i="12"/>
  <c r="BB164" i="12"/>
  <c r="BB156" i="12"/>
  <c r="BB132" i="12"/>
  <c r="BB117" i="12"/>
  <c r="BB110" i="12"/>
  <c r="BB174" i="6"/>
  <c r="BB118" i="6"/>
  <c r="BB101" i="6"/>
  <c r="BB102" i="6"/>
  <c r="BB104" i="6"/>
  <c r="BB88" i="6"/>
  <c r="BB89" i="6"/>
  <c r="BB91" i="6"/>
  <c r="BB92" i="6"/>
  <c r="BB93" i="6"/>
  <c r="BB61" i="12"/>
  <c r="BB67" i="12"/>
  <c r="BB69" i="12"/>
  <c r="BB325" i="12"/>
  <c r="BB344" i="12"/>
  <c r="BB343" i="12"/>
  <c r="BB335" i="12"/>
  <c r="BB332" i="12"/>
  <c r="BB306" i="12" l="1"/>
  <c r="BC306" i="12"/>
  <c r="BB305" i="12"/>
  <c r="BC305" i="12"/>
  <c r="BB307" i="12"/>
  <c r="BC307" i="12"/>
  <c r="BB308" i="12"/>
  <c r="BC308" i="12"/>
  <c r="BB95" i="12"/>
  <c r="BB87" i="12" s="1"/>
  <c r="BB76" i="12"/>
  <c r="BB77" i="12"/>
  <c r="BB42" i="12"/>
  <c r="BB51" i="12"/>
  <c r="BB52" i="12"/>
  <c r="BB32" i="12"/>
  <c r="BB30" i="12" l="1"/>
  <c r="BB25" i="12"/>
  <c r="BB15" i="12"/>
  <c r="BB16" i="12"/>
  <c r="BB17" i="12"/>
  <c r="BB18" i="12"/>
  <c r="BB222" i="6" l="1"/>
  <c r="BC222" i="6"/>
  <c r="BB191" i="6"/>
  <c r="BB193" i="6"/>
  <c r="BB194" i="6"/>
  <c r="BB190" i="6"/>
  <c r="BB179" i="6"/>
  <c r="BB113" i="6"/>
  <c r="BB69" i="6" l="1"/>
  <c r="BB72" i="6"/>
  <c r="BB73" i="6"/>
  <c r="BB74" i="6"/>
  <c r="BB75" i="6"/>
  <c r="BB77" i="6"/>
  <c r="BB78" i="6"/>
  <c r="BB55" i="6"/>
  <c r="BB62" i="6"/>
  <c r="BB63" i="6"/>
  <c r="BB44" i="6"/>
  <c r="BB45" i="6"/>
  <c r="BB46" i="6"/>
  <c r="BB15" i="6"/>
  <c r="BB16" i="6"/>
  <c r="BB17" i="6"/>
  <c r="BB20" i="6"/>
  <c r="AU206" i="2" l="1"/>
  <c r="AU205" i="2"/>
  <c r="AU202" i="2"/>
  <c r="AU201" i="2" s="1"/>
  <c r="AU199" i="2"/>
  <c r="AU166" i="2"/>
  <c r="AU165" i="2"/>
  <c r="AU163" i="2"/>
  <c r="AU162" i="2"/>
  <c r="AU151" i="2"/>
  <c r="AU150" i="2"/>
  <c r="AU130" i="2"/>
  <c r="AU127" i="2" s="1"/>
  <c r="AU126" i="2"/>
  <c r="AU121" i="2" s="1"/>
  <c r="AU125" i="2"/>
  <c r="AU116" i="2"/>
  <c r="AU114" i="2"/>
  <c r="AU110" i="2"/>
  <c r="AU109" i="2"/>
  <c r="AU105" i="2"/>
  <c r="AU104" i="2"/>
  <c r="AU100" i="2"/>
  <c r="AU99" i="2"/>
  <c r="AU98" i="2"/>
  <c r="AU82" i="2"/>
  <c r="AU81" i="2"/>
  <c r="AU80" i="2"/>
  <c r="AU76" i="2"/>
  <c r="AU75" i="2"/>
  <c r="AU74" i="2"/>
  <c r="AU136" i="12"/>
  <c r="AU121" i="12"/>
  <c r="AU276" i="12"/>
  <c r="AU350" i="12"/>
  <c r="AU348" i="12" s="1"/>
  <c r="AU347" i="12"/>
  <c r="AU346" i="12"/>
  <c r="AU345" i="12"/>
  <c r="AU341" i="12"/>
  <c r="AU340" i="12"/>
  <c r="AU337" i="12"/>
  <c r="AU336" i="12" s="1"/>
  <c r="AU334" i="12"/>
  <c r="AU333" i="12" s="1"/>
  <c r="AU331" i="12"/>
  <c r="AU330" i="12" s="1"/>
  <c r="AU329" i="12"/>
  <c r="AU328" i="12"/>
  <c r="AU308" i="12"/>
  <c r="AU307" i="12"/>
  <c r="AU306" i="12"/>
  <c r="AU305" i="12"/>
  <c r="AU93" i="2" l="1"/>
  <c r="AU87" i="2"/>
  <c r="AU92" i="2"/>
  <c r="AU111" i="2"/>
  <c r="AU164" i="2"/>
  <c r="AU86" i="2"/>
  <c r="AU263" i="6" s="1"/>
  <c r="AU147" i="2"/>
  <c r="AU204" i="2"/>
  <c r="AU380" i="12"/>
  <c r="AU101" i="2"/>
  <c r="AU106" i="2"/>
  <c r="AU198" i="2"/>
  <c r="AU190" i="2"/>
  <c r="AU189" i="2" s="1"/>
  <c r="AU71" i="2"/>
  <c r="AU77" i="2"/>
  <c r="AU120" i="2"/>
  <c r="AU117" i="2" s="1"/>
  <c r="AU122" i="2"/>
  <c r="AU95" i="2"/>
  <c r="AU94" i="2"/>
  <c r="AU153" i="2"/>
  <c r="AU88" i="2"/>
  <c r="AU264" i="6" s="1"/>
  <c r="AU161" i="2"/>
  <c r="AU152" i="2" s="1"/>
  <c r="AU154" i="2"/>
  <c r="AU303" i="12"/>
  <c r="AU302" i="12" s="1"/>
  <c r="AU339" i="12"/>
  <c r="AU342" i="12"/>
  <c r="AU378" i="12" s="1"/>
  <c r="AU275" i="12"/>
  <c r="AU274" i="12" s="1"/>
  <c r="AU270" i="12"/>
  <c r="AU269" i="12"/>
  <c r="AU267" i="12"/>
  <c r="AU266" i="12"/>
  <c r="AU258" i="12"/>
  <c r="AU257" i="12"/>
  <c r="AU256" i="12"/>
  <c r="AU255" i="12"/>
  <c r="AU232" i="12"/>
  <c r="AU231" i="12"/>
  <c r="AU229" i="12"/>
  <c r="AU228" i="12"/>
  <c r="AU223" i="12"/>
  <c r="AU222" i="12"/>
  <c r="AU220" i="12"/>
  <c r="AU219" i="12"/>
  <c r="AU214" i="12"/>
  <c r="AU213" i="12"/>
  <c r="AU211" i="12"/>
  <c r="AU210" i="12"/>
  <c r="AU197" i="12"/>
  <c r="AU196" i="12"/>
  <c r="AU195" i="12"/>
  <c r="AU194" i="12"/>
  <c r="AU248" i="2" l="1"/>
  <c r="AU89" i="2"/>
  <c r="AU245" i="2" s="1"/>
  <c r="AU146" i="2"/>
  <c r="AU260" i="6"/>
  <c r="AU145" i="2"/>
  <c r="AU223" i="2"/>
  <c r="AU237" i="2"/>
  <c r="AU192" i="12"/>
  <c r="AU208" i="12"/>
  <c r="AU226" i="12"/>
  <c r="AU265" i="12"/>
  <c r="AU204" i="12"/>
  <c r="AU268" i="12"/>
  <c r="AU217" i="12"/>
  <c r="AU202" i="12"/>
  <c r="AU201" i="12"/>
  <c r="AU205" i="12"/>
  <c r="AU253" i="12"/>
  <c r="AU189" i="12"/>
  <c r="AU188" i="12"/>
  <c r="AU187" i="12"/>
  <c r="AU186" i="12"/>
  <c r="AU181" i="12"/>
  <c r="AU180" i="12"/>
  <c r="AU179" i="12"/>
  <c r="AU178" i="12"/>
  <c r="AU175" i="12"/>
  <c r="AU174" i="12"/>
  <c r="AU173" i="12"/>
  <c r="AU172" i="12"/>
  <c r="AU168" i="12"/>
  <c r="AU167" i="12"/>
  <c r="AU297" i="12" s="1"/>
  <c r="AU166" i="12"/>
  <c r="AU160" i="12"/>
  <c r="AU159" i="12"/>
  <c r="AU158" i="12"/>
  <c r="AU157" i="12"/>
  <c r="AU135" i="12"/>
  <c r="AU134" i="12"/>
  <c r="AU133" i="12"/>
  <c r="AU119" i="12"/>
  <c r="AU118" i="12"/>
  <c r="AU114" i="12"/>
  <c r="AU112" i="12"/>
  <c r="AU111" i="12"/>
  <c r="AU98" i="12"/>
  <c r="AU97" i="12"/>
  <c r="AU96" i="12"/>
  <c r="AU142" i="2" l="1"/>
  <c r="AU167" i="2" s="1"/>
  <c r="AU253" i="2" s="1"/>
  <c r="AU99" i="12"/>
  <c r="AU422" i="12" s="1"/>
  <c r="AT91" i="12"/>
  <c r="AT144" i="12" s="1"/>
  <c r="AU175" i="2"/>
  <c r="AU170" i="2"/>
  <c r="AU256" i="2" s="1"/>
  <c r="AU171" i="2"/>
  <c r="AU176" i="2"/>
  <c r="AU285" i="6" s="1"/>
  <c r="AU113" i="12"/>
  <c r="AU90" i="12" s="1"/>
  <c r="AU143" i="12" s="1"/>
  <c r="AU369" i="12" s="1"/>
  <c r="AU199" i="12"/>
  <c r="AU89" i="12"/>
  <c r="AU142" i="12" s="1"/>
  <c r="AU88" i="12"/>
  <c r="AU116" i="12"/>
  <c r="AU261" i="12"/>
  <c r="AU184" i="12"/>
  <c r="AU131" i="12"/>
  <c r="AU155" i="12"/>
  <c r="AU176" i="12"/>
  <c r="AU150" i="12"/>
  <c r="AU170" i="12"/>
  <c r="AU152" i="12"/>
  <c r="AU151" i="12"/>
  <c r="AU163" i="12"/>
  <c r="AU149" i="12"/>
  <c r="AU94" i="12" l="1"/>
  <c r="AU91" i="12"/>
  <c r="AU144" i="12" s="1"/>
  <c r="AU370" i="12" s="1"/>
  <c r="AU109" i="12"/>
  <c r="AU364" i="12" s="1"/>
  <c r="AU222" i="2"/>
  <c r="AU221" i="2" s="1"/>
  <c r="AU236" i="2" s="1"/>
  <c r="AU235" i="2" s="1"/>
  <c r="AU234" i="2" s="1"/>
  <c r="AU232" i="2" s="1"/>
  <c r="AU252" i="2"/>
  <c r="AU172" i="2"/>
  <c r="AU249" i="2" s="1"/>
  <c r="AU284" i="6"/>
  <c r="AU281" i="6" s="1"/>
  <c r="AU408" i="12"/>
  <c r="AU257" i="6"/>
  <c r="AU368" i="12"/>
  <c r="AU407" i="12" s="1"/>
  <c r="AU147" i="12"/>
  <c r="AU247" i="12"/>
  <c r="AU296" i="12" s="1"/>
  <c r="AU258" i="6"/>
  <c r="AU249" i="12"/>
  <c r="AU298" i="12" s="1"/>
  <c r="AU141" i="12"/>
  <c r="AU367" i="12" s="1"/>
  <c r="AU406" i="12" s="1"/>
  <c r="AU259" i="6"/>
  <c r="AU409" i="12" l="1"/>
  <c r="AU86" i="12"/>
  <c r="AU139" i="12" s="1"/>
  <c r="AU363" i="12" s="1"/>
  <c r="AU362" i="12" s="1"/>
  <c r="AU250" i="12"/>
  <c r="AU290" i="12" s="1"/>
  <c r="AU289" i="12"/>
  <c r="AU414" i="12" s="1"/>
  <c r="AU287" i="12"/>
  <c r="AU276" i="6"/>
  <c r="AU413" i="12"/>
  <c r="AU279" i="6"/>
  <c r="AU278" i="6"/>
  <c r="AU246" i="12"/>
  <c r="AU295" i="12" s="1"/>
  <c r="AU293" i="12" s="1"/>
  <c r="AU256" i="6"/>
  <c r="AU254" i="6" s="1"/>
  <c r="AU404" i="12" l="1"/>
  <c r="AU244" i="12"/>
  <c r="AU376" i="12" s="1"/>
  <c r="AU286" i="12"/>
  <c r="AU284" i="12" s="1"/>
  <c r="AU253" i="6"/>
  <c r="AU412" i="12"/>
  <c r="AU176" i="6"/>
  <c r="AU208" i="6" s="1"/>
  <c r="AU173" i="6"/>
  <c r="AU172" i="6"/>
  <c r="AU170" i="6"/>
  <c r="AU238" i="6" s="1"/>
  <c r="AU169" i="6"/>
  <c r="AU117" i="6"/>
  <c r="AU116" i="6"/>
  <c r="AU114" i="6"/>
  <c r="AU111" i="6"/>
  <c r="AU110" i="6"/>
  <c r="AU109" i="6"/>
  <c r="AU107" i="6"/>
  <c r="AU106" i="6"/>
  <c r="AU105" i="6"/>
  <c r="AU103" i="6"/>
  <c r="AU100" i="6"/>
  <c r="AU99" i="6"/>
  <c r="AU175" i="6" s="1"/>
  <c r="AU207" i="6" s="1"/>
  <c r="AU98" i="6"/>
  <c r="AU95" i="6"/>
  <c r="AU94" i="6"/>
  <c r="AU90" i="6"/>
  <c r="AU87" i="6"/>
  <c r="AU198" i="6" s="1"/>
  <c r="AU85" i="6"/>
  <c r="AU168" i="6" l="1"/>
  <c r="AU171" i="6"/>
  <c r="AU115" i="6"/>
  <c r="AU84" i="6"/>
  <c r="AU96" i="6" s="1"/>
  <c r="AU197" i="6" s="1"/>
  <c r="AU196" i="6" s="1"/>
  <c r="AU206" i="6"/>
  <c r="AU237" i="6"/>
  <c r="AU97" i="6"/>
  <c r="AU108" i="6"/>
  <c r="AU275" i="6"/>
  <c r="AU247" i="6" l="1"/>
  <c r="AU112" i="6"/>
  <c r="AU119" i="6" s="1"/>
  <c r="AU121" i="6" s="1"/>
  <c r="BB26" i="16"/>
  <c r="AU205" i="6" l="1"/>
  <c r="AU204" i="6" s="1"/>
  <c r="AU122" i="6" s="1"/>
  <c r="AU248" i="6" s="1"/>
  <c r="AU218" i="6"/>
  <c r="AU217" i="6" s="1"/>
  <c r="AU249" i="6"/>
  <c r="BE20" i="16"/>
  <c r="BE47" i="16"/>
  <c r="BB20" i="16"/>
  <c r="BC20" i="16"/>
  <c r="BB47" i="16"/>
  <c r="BC47" i="16"/>
  <c r="BD47" i="16"/>
  <c r="BA20" i="16"/>
  <c r="BA47" i="16"/>
  <c r="AU236" i="6" l="1"/>
  <c r="AU235" i="6" s="1"/>
  <c r="AU234" i="6" s="1"/>
  <c r="AU232" i="6" s="1"/>
  <c r="AU272" i="6"/>
  <c r="AZ195" i="2"/>
  <c r="BA195" i="2"/>
  <c r="AZ191" i="2"/>
  <c r="BA191" i="2"/>
  <c r="BA190" i="2"/>
  <c r="BB188" i="2"/>
  <c r="BB187" i="2"/>
  <c r="BA92" i="2" l="1"/>
  <c r="BA88" i="2"/>
  <c r="BA230" i="2"/>
  <c r="BA229" i="2"/>
  <c r="BA20" i="2"/>
  <c r="BE70" i="2"/>
  <c r="BE118" i="2"/>
  <c r="BE119" i="2"/>
  <c r="BE144" i="2" s="1"/>
  <c r="BE169" i="2" s="1"/>
  <c r="BE132" i="2"/>
  <c r="BE184" i="2"/>
  <c r="BE192" i="2"/>
  <c r="BE207" i="2"/>
  <c r="BE224" i="2" s="1"/>
  <c r="BE219" i="2"/>
  <c r="BE220" i="2"/>
  <c r="BE238" i="2"/>
  <c r="BC229" i="2"/>
  <c r="BD230" i="2"/>
  <c r="BC40" i="2"/>
  <c r="BB70" i="2"/>
  <c r="BC70" i="2"/>
  <c r="BD70" i="2"/>
  <c r="BD71" i="2"/>
  <c r="BD77" i="2"/>
  <c r="BD86" i="2"/>
  <c r="BD88" i="2"/>
  <c r="BD87" i="2"/>
  <c r="BD95" i="2"/>
  <c r="BD101" i="2"/>
  <c r="BD92" i="2"/>
  <c r="BD106" i="2"/>
  <c r="BD111" i="2"/>
  <c r="BD94" i="2"/>
  <c r="BB118" i="2"/>
  <c r="BB143" i="2" s="1"/>
  <c r="BC118" i="2"/>
  <c r="BC143" i="2" s="1"/>
  <c r="BC168" i="2" s="1"/>
  <c r="BD118" i="2"/>
  <c r="BB119" i="2"/>
  <c r="BB144" i="2" s="1"/>
  <c r="BB174" i="2" s="1"/>
  <c r="BC119" i="2"/>
  <c r="BC144" i="2" s="1"/>
  <c r="BD119" i="2"/>
  <c r="BD144" i="2" s="1"/>
  <c r="BD169" i="2" s="1"/>
  <c r="BD121" i="2"/>
  <c r="BD127" i="2"/>
  <c r="BB132" i="2"/>
  <c r="BC132" i="2"/>
  <c r="BD132" i="2"/>
  <c r="BD143" i="2"/>
  <c r="BD147" i="2"/>
  <c r="BD154" i="2"/>
  <c r="BB184" i="2"/>
  <c r="BC184" i="2"/>
  <c r="BD184" i="2"/>
  <c r="BD189" i="2"/>
  <c r="BD223" i="2" s="1"/>
  <c r="BB192" i="2"/>
  <c r="BC192" i="2"/>
  <c r="BD192" i="2"/>
  <c r="BD198" i="2"/>
  <c r="BD201" i="2"/>
  <c r="BB207" i="2"/>
  <c r="BB224" i="2" s="1"/>
  <c r="BC207" i="2"/>
  <c r="BC224" i="2" s="1"/>
  <c r="BD207" i="2"/>
  <c r="BD224" i="2" s="1"/>
  <c r="BC215" i="2"/>
  <c r="BB219" i="2"/>
  <c r="BC219" i="2"/>
  <c r="BD219" i="2"/>
  <c r="BB220" i="2"/>
  <c r="BC220" i="2"/>
  <c r="BD220" i="2"/>
  <c r="BD229" i="2"/>
  <c r="BC230" i="2"/>
  <c r="BB238" i="2"/>
  <c r="BC238" i="2"/>
  <c r="BD238" i="2"/>
  <c r="BA70" i="2"/>
  <c r="BA94" i="2"/>
  <c r="BA101" i="2"/>
  <c r="BA106" i="2"/>
  <c r="BA111" i="2"/>
  <c r="BA118" i="2"/>
  <c r="BA143" i="2" s="1"/>
  <c r="BA119" i="2"/>
  <c r="BA144" i="2" s="1"/>
  <c r="BA121" i="2"/>
  <c r="BA122" i="2"/>
  <c r="BA127" i="2"/>
  <c r="BA132" i="2"/>
  <c r="BA147" i="2"/>
  <c r="BA153" i="2"/>
  <c r="BA161" i="2"/>
  <c r="BA164" i="2"/>
  <c r="BA154" i="2"/>
  <c r="BA184" i="2"/>
  <c r="BA189" i="2"/>
  <c r="BA223" i="2" s="1"/>
  <c r="BA192" i="2"/>
  <c r="BA198" i="2"/>
  <c r="BA201" i="2"/>
  <c r="BA207" i="2"/>
  <c r="BA224" i="2" s="1"/>
  <c r="BA219" i="2"/>
  <c r="BA220" i="2"/>
  <c r="BA238" i="2"/>
  <c r="BB169" i="2" l="1"/>
  <c r="BC173" i="2"/>
  <c r="BA173" i="2"/>
  <c r="BD174" i="2"/>
  <c r="BA169" i="2"/>
  <c r="BA174" i="2"/>
  <c r="BD173" i="2"/>
  <c r="BD168" i="2"/>
  <c r="BD237" i="2"/>
  <c r="BD212" i="2"/>
  <c r="BC20" i="2"/>
  <c r="BD120" i="2"/>
  <c r="BD117" i="2" s="1"/>
  <c r="BD204" i="2"/>
  <c r="BD161" i="2"/>
  <c r="BD40" i="2"/>
  <c r="BD20" i="2"/>
  <c r="BC212" i="2"/>
  <c r="BD56" i="2"/>
  <c r="BD218" i="2" s="1"/>
  <c r="BD217" i="2" s="1"/>
  <c r="BD7" i="2"/>
  <c r="BA204" i="2"/>
  <c r="BD26" i="2"/>
  <c r="BD227" i="2" s="1"/>
  <c r="BC7" i="2"/>
  <c r="BC26" i="2"/>
  <c r="BD164" i="2"/>
  <c r="BD122" i="2"/>
  <c r="BC56" i="2"/>
  <c r="BC218" i="2" s="1"/>
  <c r="BC217" i="2" s="1"/>
  <c r="BA237" i="2"/>
  <c r="BA71" i="2"/>
  <c r="BA152" i="2"/>
  <c r="BA87" i="2"/>
  <c r="BA56" i="2"/>
  <c r="BA218" i="2" s="1"/>
  <c r="BA217" i="2" s="1"/>
  <c r="BA40" i="2"/>
  <c r="BA26" i="2"/>
  <c r="BA227" i="2" s="1"/>
  <c r="BA7" i="2"/>
  <c r="BA6" i="2" s="1"/>
  <c r="BE143" i="2"/>
  <c r="BE174" i="2"/>
  <c r="BB173" i="2"/>
  <c r="BB168" i="2"/>
  <c r="BC174" i="2"/>
  <c r="BC169" i="2"/>
  <c r="BD248" i="2"/>
  <c r="BD83" i="2"/>
  <c r="BD153" i="2"/>
  <c r="BD93" i="2"/>
  <c r="BD89" i="2" s="1"/>
  <c r="BA168" i="2"/>
  <c r="BA86" i="2"/>
  <c r="BA120" i="2"/>
  <c r="BA117" i="2" s="1"/>
  <c r="BA95" i="2"/>
  <c r="BA93" i="2"/>
  <c r="BA77" i="2"/>
  <c r="BA146" i="2" l="1"/>
  <c r="BA176" i="2" s="1"/>
  <c r="BC25" i="2"/>
  <c r="BD25" i="2"/>
  <c r="BD6" i="2"/>
  <c r="BD226" i="2"/>
  <c r="BD225" i="2" s="1"/>
  <c r="BD231" i="2" s="1"/>
  <c r="BD228" i="2" s="1"/>
  <c r="BC227" i="2"/>
  <c r="BC6" i="2"/>
  <c r="BD152" i="2"/>
  <c r="BD145" i="2"/>
  <c r="BD175" i="2" s="1"/>
  <c r="BC226" i="2"/>
  <c r="BA25" i="2"/>
  <c r="BA226" i="2"/>
  <c r="BA225" i="2" s="1"/>
  <c r="BA231" i="2" s="1"/>
  <c r="BA228" i="2" s="1"/>
  <c r="BE173" i="2"/>
  <c r="BE168" i="2"/>
  <c r="BD142" i="2"/>
  <c r="BD245" i="2"/>
  <c r="BD146" i="2"/>
  <c r="BA89" i="2"/>
  <c r="BA145" i="2"/>
  <c r="BA248" i="2"/>
  <c r="BA83" i="2"/>
  <c r="BA171" i="2" l="1"/>
  <c r="BC225" i="2"/>
  <c r="BC231" i="2" s="1"/>
  <c r="BC228" i="2" s="1"/>
  <c r="BD170" i="2"/>
  <c r="BD256" i="2" s="1"/>
  <c r="BD252" i="2"/>
  <c r="BD171" i="2"/>
  <c r="BD176" i="2"/>
  <c r="BD172" i="2" s="1"/>
  <c r="BD249" i="2" s="1"/>
  <c r="BD167" i="2"/>
  <c r="BD253" i="2" s="1"/>
  <c r="BD222" i="2"/>
  <c r="BD221" i="2" s="1"/>
  <c r="BD236" i="2" s="1"/>
  <c r="BD235" i="2" s="1"/>
  <c r="BD234" i="2" s="1"/>
  <c r="BD232" i="2" s="1"/>
  <c r="BA245" i="2"/>
  <c r="BA142" i="2"/>
  <c r="BA170" i="2"/>
  <c r="BA256" i="2" s="1"/>
  <c r="BA175" i="2"/>
  <c r="BA252" i="2" l="1"/>
  <c r="BA172" i="2"/>
  <c r="BA249" i="2" s="1"/>
  <c r="BA167" i="2"/>
  <c r="BA253" i="2" s="1"/>
  <c r="BA222" i="2"/>
  <c r="BA221" i="2" s="1"/>
  <c r="BA236" i="2" s="1"/>
  <c r="BA235" i="2" s="1"/>
  <c r="BA234" i="2" s="1"/>
  <c r="BA232" i="2" s="1"/>
  <c r="BA90" i="12" l="1"/>
  <c r="BA88" i="12"/>
  <c r="BA89" i="12"/>
  <c r="BA91" i="12"/>
  <c r="BA86" i="12" l="1"/>
  <c r="BD7" i="12"/>
  <c r="BD385" i="12" s="1"/>
  <c r="BD21" i="12"/>
  <c r="BD38" i="12"/>
  <c r="BD386" i="12" s="1"/>
  <c r="BD55" i="12"/>
  <c r="BD71" i="12"/>
  <c r="BD372" i="12" s="1"/>
  <c r="BD85" i="12"/>
  <c r="BD141" i="12"/>
  <c r="BD143" i="12"/>
  <c r="BD94" i="12"/>
  <c r="BD109" i="12"/>
  <c r="BD364" i="12" s="1"/>
  <c r="BD116" i="12"/>
  <c r="BD131" i="12"/>
  <c r="BD142" i="12"/>
  <c r="BD144" i="12"/>
  <c r="BD370" i="12" s="1"/>
  <c r="BD148" i="12"/>
  <c r="BD149" i="12"/>
  <c r="BD150" i="12"/>
  <c r="BD151" i="12"/>
  <c r="BD152" i="12"/>
  <c r="BD155" i="12"/>
  <c r="BD163" i="12"/>
  <c r="BD176" i="12"/>
  <c r="BD184" i="12"/>
  <c r="BD192" i="12"/>
  <c r="BD200" i="12"/>
  <c r="BD201" i="12"/>
  <c r="BD202" i="12"/>
  <c r="BD203" i="12"/>
  <c r="BD248" i="12" s="1"/>
  <c r="BD288" i="12" s="1"/>
  <c r="BD204" i="12"/>
  <c r="BD205" i="12"/>
  <c r="BD206" i="12"/>
  <c r="BD208" i="12"/>
  <c r="BD217" i="12"/>
  <c r="BD226" i="12"/>
  <c r="BD253" i="12"/>
  <c r="BD262" i="12"/>
  <c r="BD265" i="12"/>
  <c r="BD268" i="12"/>
  <c r="BD271" i="12"/>
  <c r="BD274" i="12"/>
  <c r="BD303" i="12"/>
  <c r="BD302" i="12" s="1"/>
  <c r="BD322" i="12"/>
  <c r="BD323" i="12"/>
  <c r="BD397" i="12" s="1"/>
  <c r="BD324" i="12"/>
  <c r="BD327" i="12"/>
  <c r="BD330" i="12"/>
  <c r="BD333" i="12"/>
  <c r="BD336" i="12"/>
  <c r="BD342" i="12"/>
  <c r="BD378" i="12" s="1"/>
  <c r="BD380" i="12"/>
  <c r="BD356" i="12"/>
  <c r="BD357" i="12"/>
  <c r="BD358" i="12"/>
  <c r="BD359" i="12"/>
  <c r="BD360" i="12"/>
  <c r="BD373" i="12"/>
  <c r="BD374" i="12"/>
  <c r="BD388" i="12"/>
  <c r="BD389" i="12"/>
  <c r="BD424" i="12"/>
  <c r="BK430" i="12" s="1"/>
  <c r="BD425" i="12"/>
  <c r="BK431" i="12" s="1"/>
  <c r="BD426" i="12"/>
  <c r="BK432" i="12" s="1"/>
  <c r="BD427" i="12"/>
  <c r="BK433" i="12" s="1"/>
  <c r="BE85" i="12"/>
  <c r="BE203" i="12"/>
  <c r="BE248" i="12" s="1"/>
  <c r="BE288" i="12" s="1"/>
  <c r="BE262" i="12"/>
  <c r="BE303" i="12"/>
  <c r="BE302" i="12" s="1"/>
  <c r="BE374" i="12"/>
  <c r="BC7" i="12"/>
  <c r="BC21" i="12"/>
  <c r="BC38" i="12"/>
  <c r="BC55" i="12"/>
  <c r="BC71" i="12"/>
  <c r="BC372" i="12" s="1"/>
  <c r="BC85" i="12"/>
  <c r="BC148" i="12"/>
  <c r="BC153" i="12"/>
  <c r="BC200" i="12"/>
  <c r="BC203" i="12"/>
  <c r="BC248" i="12" s="1"/>
  <c r="BC288" i="12" s="1"/>
  <c r="BC206" i="12"/>
  <c r="BC262" i="12"/>
  <c r="BC303" i="12"/>
  <c r="BC324" i="12"/>
  <c r="BC356" i="12"/>
  <c r="BC357" i="12"/>
  <c r="BC358" i="12"/>
  <c r="BC359" i="12"/>
  <c r="BC360" i="12"/>
  <c r="BC373" i="12"/>
  <c r="BC374" i="12"/>
  <c r="BC388" i="12"/>
  <c r="BC389" i="12"/>
  <c r="BB85" i="12"/>
  <c r="BB203" i="12"/>
  <c r="BB248" i="12" s="1"/>
  <c r="BB288" i="12" s="1"/>
  <c r="BB262" i="12"/>
  <c r="BB303" i="12"/>
  <c r="BB302" i="12" s="1"/>
  <c r="BB324" i="12"/>
  <c r="BB374" i="12"/>
  <c r="BA389" i="12"/>
  <c r="BA55" i="12"/>
  <c r="BA373" i="12"/>
  <c r="BA85" i="12"/>
  <c r="BA109" i="12"/>
  <c r="BA364" i="12" s="1"/>
  <c r="BA148" i="12"/>
  <c r="BA203" i="12"/>
  <c r="BA248" i="12" s="1"/>
  <c r="BA288" i="12" s="1"/>
  <c r="BA262" i="12"/>
  <c r="BA265" i="12"/>
  <c r="BA274" i="12"/>
  <c r="BA303" i="12"/>
  <c r="BA302" i="12" s="1"/>
  <c r="BA427" i="12"/>
  <c r="BH433" i="12" s="1"/>
  <c r="BA327" i="12"/>
  <c r="BA330" i="12"/>
  <c r="BA333" i="12"/>
  <c r="BA356" i="12"/>
  <c r="BA374" i="12"/>
  <c r="BA388" i="12"/>
  <c r="BA215" i="2"/>
  <c r="BA212" i="2" s="1"/>
  <c r="BA360" i="12"/>
  <c r="BA359" i="12"/>
  <c r="BA358" i="12"/>
  <c r="BA357" i="12"/>
  <c r="BD199" i="12" l="1"/>
  <c r="BD422" i="12"/>
  <c r="BK428" i="12" s="1"/>
  <c r="BD6" i="12"/>
  <c r="BD246" i="12"/>
  <c r="BD286" i="12" s="1"/>
  <c r="BD295" i="12" s="1"/>
  <c r="BD409" i="12"/>
  <c r="BD247" i="12"/>
  <c r="BD287" i="12" s="1"/>
  <c r="BD296" i="12" s="1"/>
  <c r="BD355" i="12"/>
  <c r="BC355" i="12"/>
  <c r="BD339" i="12"/>
  <c r="BA315" i="12"/>
  <c r="BD139" i="12"/>
  <c r="BD363" i="12" s="1"/>
  <c r="BB148" i="12"/>
  <c r="BA143" i="12"/>
  <c r="BA369" i="12" s="1"/>
  <c r="BE148" i="12"/>
  <c r="BA348" i="12"/>
  <c r="BA380" i="12" s="1"/>
  <c r="BA271" i="12"/>
  <c r="BA163" i="12"/>
  <c r="BA151" i="12"/>
  <c r="BA144" i="12"/>
  <c r="BA370" i="12" s="1"/>
  <c r="BB153" i="12"/>
  <c r="BA142" i="12"/>
  <c r="BA204" i="12"/>
  <c r="BA116" i="12"/>
  <c r="BA141" i="12"/>
  <c r="BA355" i="12"/>
  <c r="BD371" i="12"/>
  <c r="BA426" i="12"/>
  <c r="BH432" i="12" s="1"/>
  <c r="BA339" i="12"/>
  <c r="BA322" i="12"/>
  <c r="BA268" i="12"/>
  <c r="BA202" i="12"/>
  <c r="BA71" i="12"/>
  <c r="BA372" i="12" s="1"/>
  <c r="BA371" i="12" s="1"/>
  <c r="BA21" i="12"/>
  <c r="BA323" i="12"/>
  <c r="BA397" i="12" s="1"/>
  <c r="BA253" i="12"/>
  <c r="BA201" i="12"/>
  <c r="BA184" i="12"/>
  <c r="BA176" i="12"/>
  <c r="BA131" i="12"/>
  <c r="BA208" i="12"/>
  <c r="BA152" i="12"/>
  <c r="BA38" i="12"/>
  <c r="BA386" i="12" s="1"/>
  <c r="BD261" i="12"/>
  <c r="BD384" i="12"/>
  <c r="BD390" i="12" s="1"/>
  <c r="BD387" i="12" s="1"/>
  <c r="BA342" i="12"/>
  <c r="BA378" i="12" s="1"/>
  <c r="BA206" i="12"/>
  <c r="BA153" i="12"/>
  <c r="BA150" i="12"/>
  <c r="BE206" i="12"/>
  <c r="BE153" i="12"/>
  <c r="BA226" i="12"/>
  <c r="BA205" i="12"/>
  <c r="BA149" i="12"/>
  <c r="BB206" i="12"/>
  <c r="BA217" i="12"/>
  <c r="BA192" i="12"/>
  <c r="BA170" i="12"/>
  <c r="BA155" i="12"/>
  <c r="BA7" i="12"/>
  <c r="BA385" i="12" s="1"/>
  <c r="BD369" i="12"/>
  <c r="BD408" i="12" s="1"/>
  <c r="BD249" i="12"/>
  <c r="BD289" i="12" s="1"/>
  <c r="BD297" i="12" s="1"/>
  <c r="BD250" i="12"/>
  <c r="BD290" i="12" s="1"/>
  <c r="BD421" i="12" s="1"/>
  <c r="BD153" i="12"/>
  <c r="BD368" i="12"/>
  <c r="BD407" i="12" s="1"/>
  <c r="BD140" i="12"/>
  <c r="BD37" i="12"/>
  <c r="BD321" i="12"/>
  <c r="BE324" i="12"/>
  <c r="BE200" i="12"/>
  <c r="BC251" i="12"/>
  <c r="BC291" i="12" s="1"/>
  <c r="BC302" i="12"/>
  <c r="BC140" i="12"/>
  <c r="BC371" i="12"/>
  <c r="BC386" i="12"/>
  <c r="BC37" i="12"/>
  <c r="BC6" i="12"/>
  <c r="BC385" i="12"/>
  <c r="BB200" i="12"/>
  <c r="BB140" i="12"/>
  <c r="BA324" i="12"/>
  <c r="BA94" i="12"/>
  <c r="BA425" i="12"/>
  <c r="BH431" i="12" s="1"/>
  <c r="BA424" i="12"/>
  <c r="BH430" i="12" s="1"/>
  <c r="BA422" i="12"/>
  <c r="BH428" i="12" s="1"/>
  <c r="BA200" i="12"/>
  <c r="BD298" i="12" l="1"/>
  <c r="BD415" i="12" s="1"/>
  <c r="BD420" i="12"/>
  <c r="BD413" i="12"/>
  <c r="BB245" i="12"/>
  <c r="BB285" i="12" s="1"/>
  <c r="BB294" i="12" s="1"/>
  <c r="BA261" i="12"/>
  <c r="BD419" i="12"/>
  <c r="BA249" i="12"/>
  <c r="BA289" i="12" s="1"/>
  <c r="BA420" i="12" s="1"/>
  <c r="BA199" i="12"/>
  <c r="BE251" i="12"/>
  <c r="BE291" i="12" s="1"/>
  <c r="BE302" i="6" s="1"/>
  <c r="BA251" i="12"/>
  <c r="BA291" i="12" s="1"/>
  <c r="BA302" i="6" s="1"/>
  <c r="BA147" i="12"/>
  <c r="BA247" i="12"/>
  <c r="BA287" i="12" s="1"/>
  <c r="BA296" i="12" s="1"/>
  <c r="BA250" i="12"/>
  <c r="BA290" i="12" s="1"/>
  <c r="BA368" i="12"/>
  <c r="BA407" i="12" s="1"/>
  <c r="BA246" i="12"/>
  <c r="BA286" i="12" s="1"/>
  <c r="BA295" i="12" s="1"/>
  <c r="BA408" i="12"/>
  <c r="BA409" i="12"/>
  <c r="BA37" i="12"/>
  <c r="BA6" i="12"/>
  <c r="BA384" i="12"/>
  <c r="BA390" i="12" s="1"/>
  <c r="BA387" i="12" s="1"/>
  <c r="BB251" i="12"/>
  <c r="BB291" i="12" s="1"/>
  <c r="BB302" i="6" s="1"/>
  <c r="BD251" i="12"/>
  <c r="BD291" i="12" s="1"/>
  <c r="BD302" i="6" s="1"/>
  <c r="BD147" i="12"/>
  <c r="BD244" i="12" s="1"/>
  <c r="BD376" i="12" s="1"/>
  <c r="BD396" i="12"/>
  <c r="BD377" i="12"/>
  <c r="BD245" i="12"/>
  <c r="BD285" i="12" s="1"/>
  <c r="BD294" i="12" s="1"/>
  <c r="BD366" i="12"/>
  <c r="BD414" i="12"/>
  <c r="BC384" i="12"/>
  <c r="BC390" i="12" s="1"/>
  <c r="BC387" i="12" s="1"/>
  <c r="BE140" i="12"/>
  <c r="BC245" i="12"/>
  <c r="BC285" i="12" s="1"/>
  <c r="BC294" i="12" s="1"/>
  <c r="BC366" i="12"/>
  <c r="BB255" i="6"/>
  <c r="BA321" i="12"/>
  <c r="BA139" i="12"/>
  <c r="BA140" i="12"/>
  <c r="BA255" i="6" s="1"/>
  <c r="BA203" i="6"/>
  <c r="BA202" i="6"/>
  <c r="BA230" i="6"/>
  <c r="BE83" i="6"/>
  <c r="BE199" i="6"/>
  <c r="BE203" i="6"/>
  <c r="BE261" i="6"/>
  <c r="BE262" i="6"/>
  <c r="BE299" i="6"/>
  <c r="BE304" i="6"/>
  <c r="BE305" i="6"/>
  <c r="BD7" i="6"/>
  <c r="BD23" i="6"/>
  <c r="BD230" i="6"/>
  <c r="BD31" i="6"/>
  <c r="BD49" i="6"/>
  <c r="BD67" i="6"/>
  <c r="BD201" i="6" s="1"/>
  <c r="BD83" i="6"/>
  <c r="BD84" i="6"/>
  <c r="BD96" i="6" s="1"/>
  <c r="BD97" i="6"/>
  <c r="BD108" i="6"/>
  <c r="BD115" i="6"/>
  <c r="BD168" i="6"/>
  <c r="BD206" i="6" s="1"/>
  <c r="BD171" i="6"/>
  <c r="BD207" i="6"/>
  <c r="BD178" i="6"/>
  <c r="BD184" i="6"/>
  <c r="BD199" i="6"/>
  <c r="BD202" i="6"/>
  <c r="BD203" i="6"/>
  <c r="BD208" i="6"/>
  <c r="BD229" i="6"/>
  <c r="BD238" i="6"/>
  <c r="BD255" i="6"/>
  <c r="BD256" i="6"/>
  <c r="BD257" i="6"/>
  <c r="BD258" i="6"/>
  <c r="BD259" i="6"/>
  <c r="BD261" i="6"/>
  <c r="BD262" i="6"/>
  <c r="BD263" i="6"/>
  <c r="BD264" i="6"/>
  <c r="BD275" i="6"/>
  <c r="BD276" i="6"/>
  <c r="BD284" i="6"/>
  <c r="BD285" i="6"/>
  <c r="BD297" i="6"/>
  <c r="BD298" i="6"/>
  <c r="BD299" i="6"/>
  <c r="BD300" i="6"/>
  <c r="BD301" i="6"/>
  <c r="BD304" i="6"/>
  <c r="BD305" i="6"/>
  <c r="BD306" i="6"/>
  <c r="BD307" i="6"/>
  <c r="BC7" i="6"/>
  <c r="BC23" i="6"/>
  <c r="BC230" i="6"/>
  <c r="BC31" i="6"/>
  <c r="BC49" i="6"/>
  <c r="BC67" i="6"/>
  <c r="BC201" i="6" s="1"/>
  <c r="BC83" i="6"/>
  <c r="BC178" i="6"/>
  <c r="BC184" i="6"/>
  <c r="BC199" i="6"/>
  <c r="BC202" i="6"/>
  <c r="BC203" i="6"/>
  <c r="BC229" i="6"/>
  <c r="BC255" i="6"/>
  <c r="BC261" i="6"/>
  <c r="BC262" i="6"/>
  <c r="BC299" i="6"/>
  <c r="BC302" i="6"/>
  <c r="BC304" i="6"/>
  <c r="BC305" i="6"/>
  <c r="BB83" i="6"/>
  <c r="BB199" i="6"/>
  <c r="BB203" i="6"/>
  <c r="BB261" i="6"/>
  <c r="BB262" i="6"/>
  <c r="BB299" i="6"/>
  <c r="BB304" i="6"/>
  <c r="BB305" i="6"/>
  <c r="BA168" i="6"/>
  <c r="BA171" i="6"/>
  <c r="BA175" i="6"/>
  <c r="BA207" i="6" s="1"/>
  <c r="BA178" i="6"/>
  <c r="BA198" i="6"/>
  <c r="BA199" i="6"/>
  <c r="BA208" i="6"/>
  <c r="BA238" i="6"/>
  <c r="BA256" i="6"/>
  <c r="BA257" i="6"/>
  <c r="BA258" i="6"/>
  <c r="BA259" i="6"/>
  <c r="BA261" i="6"/>
  <c r="BA262" i="6"/>
  <c r="BA263" i="6"/>
  <c r="BA264" i="6"/>
  <c r="BA284" i="6"/>
  <c r="BA285" i="6"/>
  <c r="BA299" i="6"/>
  <c r="BA304" i="6"/>
  <c r="BA305" i="6"/>
  <c r="BA306" i="6"/>
  <c r="BA307" i="6"/>
  <c r="BA83" i="6"/>
  <c r="BA84" i="6"/>
  <c r="BA96" i="6" s="1"/>
  <c r="BA197" i="6" s="1"/>
  <c r="BA97" i="6"/>
  <c r="BA108" i="6"/>
  <c r="BA115" i="6"/>
  <c r="BD293" i="12" l="1"/>
  <c r="BA297" i="12"/>
  <c r="BA414" i="12" s="1"/>
  <c r="BA298" i="12"/>
  <c r="BA415" i="12" s="1"/>
  <c r="BD375" i="12"/>
  <c r="BD395" i="12" s="1"/>
  <c r="BD394" i="12" s="1"/>
  <c r="BD393" i="12" s="1"/>
  <c r="BD391" i="12" s="1"/>
  <c r="BC296" i="6"/>
  <c r="BD284" i="12"/>
  <c r="BD254" i="6"/>
  <c r="BA254" i="6"/>
  <c r="BA303" i="6"/>
  <c r="BA260" i="6"/>
  <c r="BD281" i="6"/>
  <c r="BD260" i="6"/>
  <c r="BD303" i="6"/>
  <c r="BA281" i="6"/>
  <c r="BA275" i="6"/>
  <c r="BA300" i="6"/>
  <c r="BA298" i="6"/>
  <c r="BA297" i="6"/>
  <c r="BA301" i="6"/>
  <c r="BA279" i="6"/>
  <c r="BA421" i="12"/>
  <c r="BA413" i="12"/>
  <c r="BA276" i="6"/>
  <c r="BA419" i="12"/>
  <c r="BB356" i="12"/>
  <c r="BA31" i="6"/>
  <c r="BA227" i="6" s="1"/>
  <c r="BE356" i="12"/>
  <c r="BD279" i="6"/>
  <c r="BD296" i="6"/>
  <c r="BD295" i="6" s="1"/>
  <c r="BE366" i="12"/>
  <c r="BE245" i="12"/>
  <c r="BE285" i="12" s="1"/>
  <c r="BE294" i="12" s="1"/>
  <c r="BE255" i="6"/>
  <c r="BD278" i="6"/>
  <c r="BB366" i="12"/>
  <c r="BA245" i="12"/>
  <c r="BA285" i="12" s="1"/>
  <c r="BA294" i="12" s="1"/>
  <c r="BA366" i="12"/>
  <c r="BA244" i="12"/>
  <c r="BA376" i="12" s="1"/>
  <c r="BA363" i="12"/>
  <c r="BA377" i="12"/>
  <c r="BA396" i="12"/>
  <c r="BA184" i="6"/>
  <c r="BA177" i="6" s="1"/>
  <c r="BA23" i="6"/>
  <c r="BA49" i="6"/>
  <c r="BA67" i="6"/>
  <c r="BA201" i="6" s="1"/>
  <c r="BA200" i="6" s="1"/>
  <c r="BD200" i="6"/>
  <c r="BA196" i="6"/>
  <c r="BA247" i="6" s="1"/>
  <c r="BA229" i="6"/>
  <c r="BD237" i="6"/>
  <c r="BD112" i="6"/>
  <c r="BD197" i="6"/>
  <c r="BD30" i="6"/>
  <c r="BD227" i="6"/>
  <c r="BD6" i="6"/>
  <c r="BD226" i="6"/>
  <c r="BD177" i="6"/>
  <c r="BD198" i="6"/>
  <c r="BC6" i="6"/>
  <c r="BC226" i="6"/>
  <c r="BC30" i="6"/>
  <c r="BC227" i="6"/>
  <c r="BC177" i="6"/>
  <c r="BC200" i="6"/>
  <c r="BA237" i="6"/>
  <c r="BA206" i="6"/>
  <c r="BA112" i="6"/>
  <c r="BA293" i="12" l="1"/>
  <c r="BA375" i="12"/>
  <c r="BA395" i="12" s="1"/>
  <c r="BA394" i="12" s="1"/>
  <c r="BA393" i="12" s="1"/>
  <c r="BA391" i="12" s="1"/>
  <c r="BA253" i="6"/>
  <c r="BD253" i="6"/>
  <c r="BA284" i="12"/>
  <c r="BA278" i="6"/>
  <c r="BA30" i="6"/>
  <c r="BE296" i="6"/>
  <c r="BC274" i="6"/>
  <c r="BD274" i="6"/>
  <c r="BD273" i="6" s="1"/>
  <c r="BB296" i="6"/>
  <c r="BA296" i="6"/>
  <c r="BA295" i="6" s="1"/>
  <c r="BD196" i="6"/>
  <c r="BD247" i="6" s="1"/>
  <c r="BA119" i="6"/>
  <c r="BA121" i="6" s="1"/>
  <c r="BA205" i="6"/>
  <c r="BA204" i="6" s="1"/>
  <c r="BA122" i="6" s="1"/>
  <c r="BA248" i="6" s="1"/>
  <c r="BC225" i="6"/>
  <c r="BC231" i="6" s="1"/>
  <c r="BC228" i="6" s="1"/>
  <c r="BD225" i="6"/>
  <c r="BD231" i="6" s="1"/>
  <c r="BD228" i="6" s="1"/>
  <c r="BD205" i="6"/>
  <c r="BD204" i="6" s="1"/>
  <c r="BD119" i="6"/>
  <c r="BD121" i="6" s="1"/>
  <c r="BD218" i="6" s="1"/>
  <c r="AW38" i="16"/>
  <c r="AW30" i="16"/>
  <c r="AW29" i="16"/>
  <c r="AW47" i="16" s="1"/>
  <c r="AW20" i="16"/>
  <c r="AW207" i="2"/>
  <c r="AW224" i="2" s="1"/>
  <c r="AW195" i="2"/>
  <c r="AW192" i="2"/>
  <c r="AW191" i="2"/>
  <c r="AW238" i="2" s="1"/>
  <c r="AW187" i="2"/>
  <c r="AW184" i="2" s="1"/>
  <c r="AW158" i="2"/>
  <c r="AW155" i="2"/>
  <c r="AW132" i="2"/>
  <c r="AW119" i="2"/>
  <c r="AW144" i="2" s="1"/>
  <c r="AW169" i="2" s="1"/>
  <c r="AW118" i="2"/>
  <c r="AW143" i="2" s="1"/>
  <c r="AW70" i="2"/>
  <c r="AW65" i="2"/>
  <c r="AW63" i="2"/>
  <c r="AW62" i="2"/>
  <c r="AW61" i="2"/>
  <c r="AW220" i="2" s="1"/>
  <c r="AW60" i="2"/>
  <c r="AW219" i="2" s="1"/>
  <c r="AW59" i="2"/>
  <c r="AW58" i="2"/>
  <c r="AW54" i="2"/>
  <c r="AW53" i="2"/>
  <c r="AW52" i="2"/>
  <c r="AW50" i="2"/>
  <c r="AW49" i="2"/>
  <c r="AW48" i="2"/>
  <c r="AW47" i="2"/>
  <c r="AW46" i="2"/>
  <c r="AW43" i="2"/>
  <c r="AW42" i="2"/>
  <c r="AW39" i="2"/>
  <c r="AW38" i="2"/>
  <c r="AW37" i="2"/>
  <c r="AW35" i="2"/>
  <c r="AW30" i="2"/>
  <c r="AW29" i="2"/>
  <c r="AW28" i="2"/>
  <c r="AW18" i="2"/>
  <c r="AW17" i="2"/>
  <c r="AW16" i="2"/>
  <c r="AW15" i="2"/>
  <c r="AW14" i="2"/>
  <c r="AW11" i="2"/>
  <c r="AW335" i="12"/>
  <c r="AW332" i="12"/>
  <c r="AW326" i="12"/>
  <c r="AW266" i="12"/>
  <c r="AW264" i="12"/>
  <c r="AW263" i="12"/>
  <c r="AW233" i="12"/>
  <c r="AW232" i="12"/>
  <c r="AW230" i="12"/>
  <c r="AW221" i="12"/>
  <c r="AW193" i="12"/>
  <c r="AW185" i="12"/>
  <c r="AW171" i="12"/>
  <c r="AW165" i="12"/>
  <c r="AW164" i="12"/>
  <c r="AW132" i="12"/>
  <c r="AW120" i="12"/>
  <c r="AW110" i="12"/>
  <c r="AW95" i="12"/>
  <c r="AW85" i="12"/>
  <c r="AW77" i="12"/>
  <c r="AW76" i="12"/>
  <c r="AW374" i="12" s="1"/>
  <c r="AW69" i="12"/>
  <c r="AW67" i="12"/>
  <c r="AW65" i="12"/>
  <c r="AW61" i="12"/>
  <c r="AW52" i="12"/>
  <c r="AW51" i="12"/>
  <c r="AW42" i="12"/>
  <c r="AW32" i="12"/>
  <c r="AW18" i="12"/>
  <c r="AW17" i="12"/>
  <c r="AW16" i="12"/>
  <c r="AW15" i="12"/>
  <c r="AW173" i="2" l="1"/>
  <c r="AW28" i="16"/>
  <c r="AW27" i="16" s="1"/>
  <c r="AW46" i="16" s="1"/>
  <c r="BE274" i="6"/>
  <c r="BB274" i="6"/>
  <c r="BA274" i="6"/>
  <c r="BA273" i="6" s="1"/>
  <c r="BA236" i="6"/>
  <c r="BA235" i="6" s="1"/>
  <c r="BA234" i="6" s="1"/>
  <c r="BA232" i="6" s="1"/>
  <c r="BA272" i="6"/>
  <c r="BA294" i="6"/>
  <c r="BA315" i="6" s="1"/>
  <c r="BA218" i="6"/>
  <c r="BA217" i="6" s="1"/>
  <c r="BA249" i="6"/>
  <c r="BD249" i="6"/>
  <c r="BD217" i="6"/>
  <c r="BD294" i="6"/>
  <c r="BD315" i="6" s="1"/>
  <c r="BD272" i="6"/>
  <c r="BD122" i="6"/>
  <c r="BD248" i="6" s="1"/>
  <c r="BD236" i="6"/>
  <c r="BD235" i="6" s="1"/>
  <c r="BD234" i="6" s="1"/>
  <c r="BD232" i="6" s="1"/>
  <c r="AW13" i="16"/>
  <c r="AW17" i="16" s="1"/>
  <c r="AW168" i="2"/>
  <c r="AW174" i="2"/>
  <c r="AW37" i="16" l="1"/>
  <c r="AW36" i="16"/>
  <c r="AW35" i="16" s="1"/>
  <c r="AW45" i="16" s="1"/>
  <c r="AW44" i="16" s="1"/>
  <c r="AW43" i="16" s="1"/>
  <c r="AW41" i="16" s="1"/>
  <c r="AW24" i="16"/>
  <c r="AW222" i="6" l="1"/>
  <c r="AW292" i="6"/>
  <c r="AW214" i="6"/>
  <c r="AW213" i="6"/>
  <c r="AW212" i="6"/>
  <c r="AW194" i="6"/>
  <c r="AW193" i="6"/>
  <c r="AW192" i="6"/>
  <c r="AW191" i="6"/>
  <c r="AW190" i="6"/>
  <c r="AW189" i="6"/>
  <c r="AW186" i="6"/>
  <c r="AW185" i="6"/>
  <c r="AW174" i="6"/>
  <c r="AW120" i="6"/>
  <c r="AW118" i="6"/>
  <c r="AW113" i="6"/>
  <c r="AW104" i="6"/>
  <c r="AW102" i="6"/>
  <c r="AW101" i="6"/>
  <c r="AW93" i="6"/>
  <c r="AW92" i="6"/>
  <c r="AW91" i="6"/>
  <c r="AW89" i="6"/>
  <c r="AW88" i="6"/>
  <c r="AW83" i="6"/>
  <c r="AW78" i="6"/>
  <c r="AW77" i="6"/>
  <c r="AW75" i="6"/>
  <c r="AW74" i="6"/>
  <c r="AW73" i="6"/>
  <c r="AW203" i="6" s="1"/>
  <c r="AW72" i="6"/>
  <c r="AW69" i="6"/>
  <c r="AW63" i="6"/>
  <c r="AW62" i="6"/>
  <c r="AW55" i="6"/>
  <c r="AW46" i="6"/>
  <c r="AW45" i="6"/>
  <c r="AW44" i="6"/>
  <c r="AW20" i="6"/>
  <c r="AW18" i="6"/>
  <c r="AW17" i="6"/>
  <c r="AW16" i="6"/>
  <c r="AW15" i="6"/>
  <c r="AZ47" i="16"/>
  <c r="AW34" i="16"/>
  <c r="AZ38" i="16"/>
  <c r="AZ20" i="16"/>
  <c r="AZ28" i="16"/>
  <c r="AZ27" i="16" s="1"/>
  <c r="AZ46" i="16" l="1"/>
  <c r="AZ37" i="16"/>
  <c r="AZ30" i="16"/>
  <c r="AZ13" i="16"/>
  <c r="AZ17" i="16" s="1"/>
  <c r="AZ24" i="16" l="1"/>
  <c r="AZ36" i="16"/>
  <c r="AZ35" i="16" s="1"/>
  <c r="AZ45" i="16" s="1"/>
  <c r="AZ44" i="16" s="1"/>
  <c r="AZ43" i="16" s="1"/>
  <c r="AZ41" i="16" s="1"/>
  <c r="AW216" i="2" l="1"/>
  <c r="AW206" i="2"/>
  <c r="AW205" i="2"/>
  <c r="AW202" i="2"/>
  <c r="AW201" i="2" s="1"/>
  <c r="AW199" i="2" l="1"/>
  <c r="AW198" i="2" s="1"/>
  <c r="AZ190" i="2"/>
  <c r="AZ189" i="2" s="1"/>
  <c r="AZ223" i="2" s="1"/>
  <c r="AW204" i="2"/>
  <c r="AW166" i="2"/>
  <c r="AW163" i="2"/>
  <c r="AW162" i="2"/>
  <c r="AW75" i="2"/>
  <c r="AW74" i="2"/>
  <c r="AW151" i="2"/>
  <c r="AW150" i="2"/>
  <c r="AZ132" i="2"/>
  <c r="AW126" i="2"/>
  <c r="AW121" i="2" s="1"/>
  <c r="AW125" i="2"/>
  <c r="AZ119" i="2"/>
  <c r="AZ144" i="2" s="1"/>
  <c r="AZ174" i="2" s="1"/>
  <c r="AZ118" i="2"/>
  <c r="AZ143" i="2" s="1"/>
  <c r="AW116" i="2"/>
  <c r="AW114" i="2"/>
  <c r="AW110" i="2"/>
  <c r="AW109" i="2"/>
  <c r="AW105" i="2"/>
  <c r="AW104" i="2"/>
  <c r="AW100" i="2"/>
  <c r="AW99" i="2"/>
  <c r="AW98" i="2"/>
  <c r="AW81" i="2"/>
  <c r="AW80" i="2"/>
  <c r="AW76" i="2"/>
  <c r="AZ201" i="2"/>
  <c r="AZ198" i="2"/>
  <c r="AZ192" i="2"/>
  <c r="AZ184" i="2"/>
  <c r="AZ204" i="2"/>
  <c r="AZ207" i="2"/>
  <c r="AZ224" i="2" s="1"/>
  <c r="AZ238" i="2"/>
  <c r="AZ220" i="2"/>
  <c r="AZ219" i="2"/>
  <c r="AZ70" i="2"/>
  <c r="AW13" i="2"/>
  <c r="AW66" i="2"/>
  <c r="AW64" i="2"/>
  <c r="AW57" i="2"/>
  <c r="AW55" i="2"/>
  <c r="AW36" i="2"/>
  <c r="AW34" i="2"/>
  <c r="AW33" i="2"/>
  <c r="AW32" i="2"/>
  <c r="AW31" i="2"/>
  <c r="AW27" i="2"/>
  <c r="AW22" i="2"/>
  <c r="AW19" i="2"/>
  <c r="AW12" i="2"/>
  <c r="AW10" i="2"/>
  <c r="AW8" i="2"/>
  <c r="AW338" i="12"/>
  <c r="AZ315" i="12"/>
  <c r="AZ303" i="12"/>
  <c r="AZ302" i="12" s="1"/>
  <c r="AW229" i="12"/>
  <c r="AZ374" i="12"/>
  <c r="AW273" i="12"/>
  <c r="AW272" i="12"/>
  <c r="AZ262" i="12"/>
  <c r="AZ85" i="12"/>
  <c r="AW82" i="12"/>
  <c r="AW81" i="12"/>
  <c r="AW80" i="12"/>
  <c r="AW79" i="12"/>
  <c r="AW78" i="12"/>
  <c r="AW74" i="12"/>
  <c r="AW73" i="12"/>
  <c r="AW72" i="12"/>
  <c r="AW70" i="12"/>
  <c r="AW68" i="12"/>
  <c r="AW66" i="12"/>
  <c r="AW64" i="12"/>
  <c r="AW63" i="12"/>
  <c r="AW62" i="12"/>
  <c r="AW60" i="12"/>
  <c r="AW59" i="12"/>
  <c r="AW58" i="12"/>
  <c r="AW57" i="12"/>
  <c r="AW56" i="12"/>
  <c r="AW54" i="12"/>
  <c r="AW53" i="12"/>
  <c r="AW49" i="12"/>
  <c r="AW48" i="12"/>
  <c r="AW47" i="12"/>
  <c r="AW46" i="12"/>
  <c r="AW45" i="12"/>
  <c r="AW44" i="12"/>
  <c r="AW43" i="12"/>
  <c r="AW41" i="12"/>
  <c r="AW40" i="12"/>
  <c r="AW39" i="12"/>
  <c r="AW36" i="12"/>
  <c r="AW35" i="12"/>
  <c r="AW34" i="12"/>
  <c r="AW33" i="12"/>
  <c r="AW30" i="12"/>
  <c r="AW29" i="12"/>
  <c r="AW28" i="12"/>
  <c r="AW27" i="12"/>
  <c r="AW26" i="12"/>
  <c r="AW25" i="12"/>
  <c r="AW23" i="12"/>
  <c r="AW22" i="12"/>
  <c r="AW20" i="12"/>
  <c r="AW19" i="12"/>
  <c r="AW14" i="12"/>
  <c r="AW13" i="12"/>
  <c r="AW12" i="12"/>
  <c r="AW11" i="12"/>
  <c r="AW8" i="12"/>
  <c r="AW9" i="12"/>
  <c r="AW10" i="12"/>
  <c r="AZ292" i="6"/>
  <c r="AZ262" i="6"/>
  <c r="AZ261" i="6"/>
  <c r="AZ203" i="6"/>
  <c r="AZ199" i="6"/>
  <c r="AW188" i="6"/>
  <c r="AW173" i="6"/>
  <c r="AW172" i="6"/>
  <c r="AW170" i="6"/>
  <c r="AW238" i="6" s="1"/>
  <c r="AW116" i="6"/>
  <c r="AW114" i="6"/>
  <c r="AW111" i="6"/>
  <c r="AW110" i="6"/>
  <c r="AW105" i="6"/>
  <c r="AW103" i="6"/>
  <c r="AW98" i="6"/>
  <c r="AW94" i="6"/>
  <c r="AW90" i="6"/>
  <c r="AZ83" i="6"/>
  <c r="AW76" i="6"/>
  <c r="AW70" i="6"/>
  <c r="AW68" i="6"/>
  <c r="AW66" i="6"/>
  <c r="AW65" i="6"/>
  <c r="AW64" i="6"/>
  <c r="AW61" i="6"/>
  <c r="AW60" i="6"/>
  <c r="AW59" i="6"/>
  <c r="AW58" i="6"/>
  <c r="AW57" i="6"/>
  <c r="AW56" i="6"/>
  <c r="AW54" i="6"/>
  <c r="AW53" i="6"/>
  <c r="AW52" i="6"/>
  <c r="AW51" i="6"/>
  <c r="AW48" i="6"/>
  <c r="AW47" i="6"/>
  <c r="AW42" i="6"/>
  <c r="AW41" i="6"/>
  <c r="AW40" i="6"/>
  <c r="AW39" i="6"/>
  <c r="AW38" i="6"/>
  <c r="AW36" i="6"/>
  <c r="AW35" i="6"/>
  <c r="AW34" i="6"/>
  <c r="AW33" i="6"/>
  <c r="AW32" i="6"/>
  <c r="AW22" i="6"/>
  <c r="AW19" i="6"/>
  <c r="AW13" i="6"/>
  <c r="AW12" i="6"/>
  <c r="AW11" i="6"/>
  <c r="AW10" i="6"/>
  <c r="AW154" i="2" l="1"/>
  <c r="AZ173" i="2"/>
  <c r="AZ168" i="2"/>
  <c r="AZ304" i="6" s="1"/>
  <c r="AZ169" i="2"/>
  <c r="AZ305" i="6" s="1"/>
  <c r="AW111" i="2"/>
  <c r="AW93" i="2"/>
  <c r="AW106" i="2"/>
  <c r="AZ88" i="12"/>
  <c r="AZ89" i="12"/>
  <c r="AZ90" i="12"/>
  <c r="AZ91" i="12"/>
  <c r="AW147" i="2"/>
  <c r="AW190" i="2"/>
  <c r="AW189" i="2" s="1"/>
  <c r="AW223" i="2" s="1"/>
  <c r="AW87" i="2"/>
  <c r="AW101" i="2"/>
  <c r="AW92" i="2"/>
  <c r="AW86" i="2"/>
  <c r="AW263" i="6" s="1"/>
  <c r="AZ426" i="12"/>
  <c r="BG432" i="12" s="1"/>
  <c r="AZ163" i="12"/>
  <c r="AZ229" i="2"/>
  <c r="AW23" i="2"/>
  <c r="AW229" i="2" s="1"/>
  <c r="AZ40" i="2"/>
  <c r="AW41" i="2"/>
  <c r="AW40" i="2" s="1"/>
  <c r="AW94" i="2"/>
  <c r="AW95" i="2"/>
  <c r="AW161" i="2"/>
  <c r="AZ373" i="12"/>
  <c r="AW75" i="12"/>
  <c r="AW373" i="12" s="1"/>
  <c r="AZ333" i="12"/>
  <c r="AZ388" i="12"/>
  <c r="AW24" i="12"/>
  <c r="AW388" i="12" s="1"/>
  <c r="AZ427" i="12"/>
  <c r="BG433" i="12" s="1"/>
  <c r="AZ265" i="12"/>
  <c r="AZ230" i="2"/>
  <c r="AW24" i="2"/>
  <c r="AW230" i="2" s="1"/>
  <c r="AW122" i="2"/>
  <c r="AZ389" i="12"/>
  <c r="AW31" i="12"/>
  <c r="AW389" i="12" s="1"/>
  <c r="AZ153" i="12"/>
  <c r="AZ268" i="12"/>
  <c r="AZ336" i="12"/>
  <c r="AW26" i="2"/>
  <c r="AW56" i="2"/>
  <c r="AW218" i="2" s="1"/>
  <c r="AW217" i="2" s="1"/>
  <c r="AW71" i="2"/>
  <c r="AZ164" i="2"/>
  <c r="AW165" i="2"/>
  <c r="AW164" i="2" s="1"/>
  <c r="AZ424" i="12"/>
  <c r="BG430" i="12" s="1"/>
  <c r="AZ425" i="12"/>
  <c r="BG431" i="12" s="1"/>
  <c r="AZ203" i="12"/>
  <c r="AZ127" i="2"/>
  <c r="AW130" i="2"/>
  <c r="AW127" i="2" s="1"/>
  <c r="AZ324" i="12"/>
  <c r="AZ339" i="12"/>
  <c r="AZ330" i="12"/>
  <c r="AZ77" i="2"/>
  <c r="AW82" i="2"/>
  <c r="AW77" i="2" s="1"/>
  <c r="AZ154" i="2"/>
  <c r="AZ356" i="12"/>
  <c r="AW356" i="12" s="1"/>
  <c r="AW179" i="6"/>
  <c r="AZ208" i="6"/>
  <c r="AW176" i="6"/>
  <c r="AZ357" i="12"/>
  <c r="AW357" i="12" s="1"/>
  <c r="AW180" i="6"/>
  <c r="AZ229" i="6"/>
  <c r="AW26" i="6"/>
  <c r="AW229" i="6" s="1"/>
  <c r="AZ198" i="6"/>
  <c r="AW87" i="6"/>
  <c r="AZ359" i="12"/>
  <c r="AW359" i="12" s="1"/>
  <c r="AW182" i="6"/>
  <c r="AZ358" i="12"/>
  <c r="AW358" i="12" s="1"/>
  <c r="AW181" i="6"/>
  <c r="AZ360" i="12"/>
  <c r="AW183" i="6"/>
  <c r="AZ202" i="6"/>
  <c r="AW71" i="6"/>
  <c r="AW202" i="6" s="1"/>
  <c r="AZ230" i="6"/>
  <c r="AW27" i="6"/>
  <c r="AW230" i="6" s="1"/>
  <c r="AZ215" i="2"/>
  <c r="AW187" i="6"/>
  <c r="AW195" i="6"/>
  <c r="AW9" i="2"/>
  <c r="AW7" i="2" s="1"/>
  <c r="AZ71" i="2"/>
  <c r="AZ21" i="12"/>
  <c r="AW21" i="12" s="1"/>
  <c r="AZ86" i="2"/>
  <c r="AZ263" i="6" s="1"/>
  <c r="AZ122" i="2"/>
  <c r="AZ171" i="6"/>
  <c r="AZ106" i="2"/>
  <c r="AZ178" i="6"/>
  <c r="AW178" i="6" s="1"/>
  <c r="AZ348" i="12"/>
  <c r="AZ380" i="12" s="1"/>
  <c r="AZ101" i="2"/>
  <c r="AZ147" i="2"/>
  <c r="AZ327" i="12"/>
  <c r="AZ111" i="2"/>
  <c r="AZ87" i="2"/>
  <c r="AZ161" i="2"/>
  <c r="AZ88" i="2"/>
  <c r="AZ153" i="2"/>
  <c r="AZ120" i="2"/>
  <c r="AZ121" i="2"/>
  <c r="AZ94" i="2"/>
  <c r="AZ92" i="2"/>
  <c r="AZ95" i="2"/>
  <c r="AZ93" i="2"/>
  <c r="AZ237" i="2"/>
  <c r="AZ56" i="2"/>
  <c r="AZ218" i="2" s="1"/>
  <c r="AZ217" i="2" s="1"/>
  <c r="AZ26" i="2"/>
  <c r="AZ227" i="2" s="1"/>
  <c r="AZ342" i="12"/>
  <c r="AZ378" i="12" s="1"/>
  <c r="AZ323" i="12"/>
  <c r="AZ397" i="12" s="1"/>
  <c r="AZ322" i="12"/>
  <c r="AZ422" i="12"/>
  <c r="BG428" i="12" s="1"/>
  <c r="AZ274" i="12"/>
  <c r="AZ271" i="12"/>
  <c r="AZ253" i="12"/>
  <c r="AZ204" i="12"/>
  <c r="AZ226" i="12"/>
  <c r="AZ202" i="12"/>
  <c r="AZ206" i="12"/>
  <c r="AZ205" i="12"/>
  <c r="AZ201" i="12"/>
  <c r="AZ217" i="12"/>
  <c r="AZ200" i="12"/>
  <c r="AZ192" i="12"/>
  <c r="AZ151" i="12"/>
  <c r="AZ184" i="12"/>
  <c r="AZ150" i="12"/>
  <c r="AZ152" i="12"/>
  <c r="AZ149" i="12"/>
  <c r="AZ176" i="12"/>
  <c r="AZ170" i="12"/>
  <c r="AZ155" i="12"/>
  <c r="AZ148" i="12"/>
  <c r="AZ94" i="12"/>
  <c r="AZ71" i="12"/>
  <c r="AZ55" i="12"/>
  <c r="AW55" i="12" s="1"/>
  <c r="AZ7" i="12"/>
  <c r="AZ238" i="6"/>
  <c r="AZ184" i="6"/>
  <c r="AZ67" i="6"/>
  <c r="AZ86" i="12" l="1"/>
  <c r="AW89" i="2"/>
  <c r="AZ321" i="12"/>
  <c r="AZ199" i="12"/>
  <c r="AW237" i="2"/>
  <c r="AZ7" i="2"/>
  <c r="AW248" i="2"/>
  <c r="AZ248" i="2"/>
  <c r="AW152" i="2"/>
  <c r="AZ152" i="2"/>
  <c r="AZ372" i="12"/>
  <c r="AZ371" i="12" s="1"/>
  <c r="AW71" i="12"/>
  <c r="AW372" i="12" s="1"/>
  <c r="AW371" i="12" s="1"/>
  <c r="AW227" i="2"/>
  <c r="AW25" i="2"/>
  <c r="AZ141" i="12"/>
  <c r="AZ246" i="12" s="1"/>
  <c r="AZ144" i="12"/>
  <c r="AZ259" i="6" s="1"/>
  <c r="AZ248" i="12"/>
  <c r="AZ143" i="12"/>
  <c r="AZ258" i="6" s="1"/>
  <c r="AZ212" i="2"/>
  <c r="AW215" i="2"/>
  <c r="AW212" i="2" s="1"/>
  <c r="AW153" i="2"/>
  <c r="AZ140" i="12"/>
  <c r="AZ366" i="12" s="1"/>
  <c r="AW120" i="2"/>
  <c r="AZ142" i="12"/>
  <c r="AZ368" i="12" s="1"/>
  <c r="AZ407" i="12" s="1"/>
  <c r="AZ6" i="12"/>
  <c r="AW6" i="12" s="1"/>
  <c r="AW7" i="12"/>
  <c r="AW385" i="12" s="1"/>
  <c r="AZ251" i="12"/>
  <c r="AW88" i="2"/>
  <c r="AZ355" i="12"/>
  <c r="AW360" i="12"/>
  <c r="AW355" i="12" s="1"/>
  <c r="AW226" i="2"/>
  <c r="AZ201" i="6"/>
  <c r="AZ200" i="6" s="1"/>
  <c r="AW67" i="6"/>
  <c r="AW201" i="6" s="1"/>
  <c r="AW200" i="6" s="1"/>
  <c r="AZ264" i="6"/>
  <c r="AZ260" i="6" s="1"/>
  <c r="AZ177" i="6"/>
  <c r="AW177" i="6" s="1"/>
  <c r="AW184" i="6"/>
  <c r="AW14" i="6"/>
  <c r="AW9" i="6"/>
  <c r="AW107" i="6"/>
  <c r="AW100" i="6"/>
  <c r="AW37" i="6"/>
  <c r="AZ145" i="2"/>
  <c r="AZ170" i="2" s="1"/>
  <c r="AZ83" i="2"/>
  <c r="AZ261" i="12"/>
  <c r="AZ385" i="12"/>
  <c r="AZ226" i="2"/>
  <c r="AZ225" i="2" s="1"/>
  <c r="AZ231" i="2" s="1"/>
  <c r="AZ228" i="2" s="1"/>
  <c r="AZ146" i="2"/>
  <c r="AZ117" i="2"/>
  <c r="AZ89" i="2"/>
  <c r="AZ25" i="2"/>
  <c r="AZ147" i="12"/>
  <c r="AZ109" i="12"/>
  <c r="AW276" i="12"/>
  <c r="AW270" i="12"/>
  <c r="AW267" i="12"/>
  <c r="AW158" i="12"/>
  <c r="AZ377" i="12" l="1"/>
  <c r="AZ247" i="12"/>
  <c r="AZ287" i="12" s="1"/>
  <c r="AZ296" i="12" s="1"/>
  <c r="AZ257" i="6"/>
  <c r="AZ396" i="12"/>
  <c r="AZ249" i="12"/>
  <c r="AZ289" i="12" s="1"/>
  <c r="AZ297" i="12" s="1"/>
  <c r="AZ367" i="12"/>
  <c r="AZ406" i="12" s="1"/>
  <c r="AZ369" i="12"/>
  <c r="AZ408" i="12" s="1"/>
  <c r="AZ245" i="12"/>
  <c r="AZ285" i="12" s="1"/>
  <c r="AZ294" i="12" s="1"/>
  <c r="AW225" i="2"/>
  <c r="AW231" i="2" s="1"/>
  <c r="AW228" i="2" s="1"/>
  <c r="AZ364" i="12"/>
  <c r="AZ175" i="2"/>
  <c r="AZ252" i="2" s="1"/>
  <c r="AZ286" i="12"/>
  <c r="AZ295" i="12" s="1"/>
  <c r="AZ291" i="12"/>
  <c r="AZ256" i="6"/>
  <c r="AW83" i="2"/>
  <c r="AW146" i="2"/>
  <c r="AW264" i="6"/>
  <c r="AW260" i="6" s="1"/>
  <c r="AW117" i="2"/>
  <c r="AW145" i="2"/>
  <c r="AZ255" i="6"/>
  <c r="AZ370" i="12"/>
  <c r="AZ409" i="12" s="1"/>
  <c r="AZ38" i="12"/>
  <c r="AW50" i="12"/>
  <c r="AZ139" i="12"/>
  <c r="AZ363" i="12" s="1"/>
  <c r="AZ250" i="12"/>
  <c r="AZ288" i="12"/>
  <c r="AZ108" i="6"/>
  <c r="AW109" i="6"/>
  <c r="AW106" i="6"/>
  <c r="AW99" i="6"/>
  <c r="AZ245" i="2"/>
  <c r="AW95" i="6"/>
  <c r="AZ176" i="2"/>
  <c r="AZ285" i="6" s="1"/>
  <c r="AZ171" i="2"/>
  <c r="AZ307" i="6" s="1"/>
  <c r="AZ142" i="2"/>
  <c r="AZ306" i="6"/>
  <c r="AZ256" i="2"/>
  <c r="AW227" i="12"/>
  <c r="AZ297" i="6" l="1"/>
  <c r="AZ254" i="6"/>
  <c r="AZ253" i="6" s="1"/>
  <c r="AZ362" i="12"/>
  <c r="AZ404" i="12" s="1"/>
  <c r="AZ419" i="12"/>
  <c r="AZ298" i="6"/>
  <c r="AZ244" i="12"/>
  <c r="AZ376" i="12" s="1"/>
  <c r="AZ375" i="12" s="1"/>
  <c r="AZ284" i="6"/>
  <c r="AZ281" i="6" s="1"/>
  <c r="AZ296" i="6"/>
  <c r="AZ274" i="6"/>
  <c r="AZ303" i="6"/>
  <c r="AZ290" i="12"/>
  <c r="AZ386" i="12"/>
  <c r="AZ384" i="12" s="1"/>
  <c r="AZ390" i="12" s="1"/>
  <c r="AZ387" i="12" s="1"/>
  <c r="AW38" i="12"/>
  <c r="AW386" i="12" s="1"/>
  <c r="AW384" i="12" s="1"/>
  <c r="AW390" i="12" s="1"/>
  <c r="AW387" i="12" s="1"/>
  <c r="AZ37" i="12"/>
  <c r="AW37" i="12" s="1"/>
  <c r="AW176" i="2"/>
  <c r="AW285" i="6" s="1"/>
  <c r="AW171" i="2"/>
  <c r="AW307" i="6" s="1"/>
  <c r="AW142" i="2"/>
  <c r="AW245" i="2"/>
  <c r="AZ300" i="6"/>
  <c r="AZ420" i="12"/>
  <c r="AZ302" i="6"/>
  <c r="AW170" i="2"/>
  <c r="AW175" i="2"/>
  <c r="AZ418" i="12"/>
  <c r="AZ20" i="2"/>
  <c r="AZ6" i="2" s="1"/>
  <c r="AW21" i="2"/>
  <c r="AW20" i="2" s="1"/>
  <c r="AW6" i="2" s="1"/>
  <c r="AZ299" i="6"/>
  <c r="AZ115" i="6"/>
  <c r="AW117" i="6"/>
  <c r="AZ7" i="6"/>
  <c r="AW7" i="6" s="1"/>
  <c r="AW8" i="6"/>
  <c r="AZ168" i="6"/>
  <c r="AZ237" i="6" s="1"/>
  <c r="AW169" i="6"/>
  <c r="AZ84" i="6"/>
  <c r="AW85" i="6"/>
  <c r="AZ49" i="6"/>
  <c r="AW49" i="6" s="1"/>
  <c r="AW50" i="6"/>
  <c r="AZ175" i="6"/>
  <c r="AZ97" i="6"/>
  <c r="AZ172" i="2"/>
  <c r="AZ249" i="2" s="1"/>
  <c r="AZ222" i="2"/>
  <c r="AZ221" i="2" s="1"/>
  <c r="AZ236" i="2" s="1"/>
  <c r="AZ235" i="2" s="1"/>
  <c r="AZ234" i="2" s="1"/>
  <c r="AZ232" i="2" s="1"/>
  <c r="AZ167" i="2"/>
  <c r="AZ253" i="2" s="1"/>
  <c r="AZ276" i="6"/>
  <c r="AZ413" i="12"/>
  <c r="AW156" i="12"/>
  <c r="AW157" i="12"/>
  <c r="AW159" i="12"/>
  <c r="AW160" i="12"/>
  <c r="AZ284" i="12" l="1"/>
  <c r="AZ416" i="12" s="1"/>
  <c r="AZ298" i="12"/>
  <c r="AZ395" i="12"/>
  <c r="AZ394" i="12" s="1"/>
  <c r="AZ393" i="12" s="1"/>
  <c r="AZ391" i="12" s="1"/>
  <c r="AZ226" i="6"/>
  <c r="AZ278" i="6"/>
  <c r="AZ414" i="12"/>
  <c r="AW252" i="2"/>
  <c r="AW172" i="2"/>
  <c r="AW249" i="2" s="1"/>
  <c r="AW284" i="6"/>
  <c r="AW281" i="6" s="1"/>
  <c r="AW256" i="2"/>
  <c r="AW306" i="6"/>
  <c r="AW303" i="6" s="1"/>
  <c r="AW226" i="6"/>
  <c r="AW222" i="2"/>
  <c r="AW221" i="2" s="1"/>
  <c r="AW236" i="2" s="1"/>
  <c r="AW235" i="2" s="1"/>
  <c r="AW234" i="2" s="1"/>
  <c r="AW232" i="2" s="1"/>
  <c r="AW167" i="2"/>
  <c r="AW253" i="2" s="1"/>
  <c r="AZ301" i="6"/>
  <c r="AZ295" i="6" s="1"/>
  <c r="AZ421" i="12"/>
  <c r="AZ275" i="6"/>
  <c r="AZ412" i="12"/>
  <c r="AZ207" i="6"/>
  <c r="AZ206" i="6"/>
  <c r="AZ31" i="6"/>
  <c r="AW31" i="6" s="1"/>
  <c r="AW227" i="6" s="1"/>
  <c r="AW43" i="6"/>
  <c r="AZ96" i="6"/>
  <c r="AW25" i="6"/>
  <c r="AU307" i="6"/>
  <c r="AU306" i="6"/>
  <c r="AX307" i="6"/>
  <c r="AX306" i="6"/>
  <c r="AU302" i="6"/>
  <c r="AU301" i="6"/>
  <c r="AU300" i="6"/>
  <c r="AU299" i="6"/>
  <c r="AU298" i="6"/>
  <c r="AU297" i="6"/>
  <c r="AU296" i="6"/>
  <c r="AX302" i="6"/>
  <c r="AX301" i="6"/>
  <c r="AX300" i="6"/>
  <c r="AX299" i="6"/>
  <c r="AX298" i="6"/>
  <c r="AX297" i="6"/>
  <c r="AX296" i="6"/>
  <c r="AU294" i="6"/>
  <c r="AX294" i="6"/>
  <c r="AY262" i="6"/>
  <c r="AY261" i="6"/>
  <c r="AV38" i="16"/>
  <c r="AV20" i="16"/>
  <c r="AY20" i="16"/>
  <c r="AX20" i="16"/>
  <c r="AW349" i="12"/>
  <c r="AW348" i="12" s="1"/>
  <c r="AW347" i="12"/>
  <c r="AW346" i="12"/>
  <c r="AW345" i="12"/>
  <c r="AW341" i="12"/>
  <c r="AW340" i="12"/>
  <c r="AW329" i="12"/>
  <c r="AW323" i="12" s="1"/>
  <c r="AW397" i="12" s="1"/>
  <c r="AW337" i="12"/>
  <c r="AW336" i="12" s="1"/>
  <c r="AW334" i="12"/>
  <c r="AW333" i="12" s="1"/>
  <c r="AW331" i="12"/>
  <c r="AW330" i="12" s="1"/>
  <c r="AW325" i="12"/>
  <c r="AW320" i="12"/>
  <c r="AW319" i="12"/>
  <c r="AW318" i="12"/>
  <c r="AW308" i="12"/>
  <c r="AW307" i="12"/>
  <c r="AW306" i="12"/>
  <c r="AW305" i="12"/>
  <c r="AZ293" i="12" l="1"/>
  <c r="AZ410" i="12" s="1"/>
  <c r="AW225" i="6"/>
  <c r="AW231" i="6" s="1"/>
  <c r="AW228" i="6" s="1"/>
  <c r="AW380" i="12"/>
  <c r="AU303" i="6"/>
  <c r="AW328" i="12"/>
  <c r="AW322" i="12" s="1"/>
  <c r="AV328" i="12"/>
  <c r="AW303" i="12"/>
  <c r="AW302" i="12" s="1"/>
  <c r="AW342" i="12"/>
  <c r="AW378" i="12" s="1"/>
  <c r="AW339" i="12"/>
  <c r="AW324" i="12"/>
  <c r="AZ279" i="6"/>
  <c r="AZ273" i="6" s="1"/>
  <c r="AZ415" i="12"/>
  <c r="AZ30" i="6"/>
  <c r="AW30" i="6" s="1"/>
  <c r="AZ112" i="6"/>
  <c r="AZ227" i="6"/>
  <c r="AZ225" i="6" s="1"/>
  <c r="AZ231" i="6" s="1"/>
  <c r="AZ228" i="6" s="1"/>
  <c r="AZ197" i="6"/>
  <c r="AU34" i="16"/>
  <c r="AX30" i="16"/>
  <c r="AX47" i="16"/>
  <c r="AX38" i="16"/>
  <c r="AV34" i="16"/>
  <c r="AY47" i="16"/>
  <c r="AY40" i="2"/>
  <c r="AY330" i="12"/>
  <c r="AY333" i="12"/>
  <c r="AV349" i="12"/>
  <c r="AV348" i="12" s="1"/>
  <c r="AY336" i="12"/>
  <c r="AV30" i="16"/>
  <c r="AV29" i="16"/>
  <c r="AV47" i="16" s="1"/>
  <c r="AX28" i="16"/>
  <c r="AU295" i="6"/>
  <c r="AU315" i="6" s="1"/>
  <c r="AX303" i="6"/>
  <c r="AX295" i="6"/>
  <c r="AX13" i="16"/>
  <c r="AV13" i="16"/>
  <c r="AV17" i="16" s="1"/>
  <c r="AV36" i="16" s="1"/>
  <c r="AY327" i="12"/>
  <c r="AW327" i="12" l="1"/>
  <c r="AW321" i="12" s="1"/>
  <c r="AW396" i="12" s="1"/>
  <c r="AX315" i="6"/>
  <c r="AZ119" i="6"/>
  <c r="AZ205" i="6"/>
  <c r="AZ204" i="6" s="1"/>
  <c r="AZ272" i="6" s="1"/>
  <c r="AZ23" i="6"/>
  <c r="AW24" i="6"/>
  <c r="AZ196" i="6"/>
  <c r="AZ247" i="6" s="1"/>
  <c r="AX27" i="16"/>
  <c r="AX37" i="16" s="1"/>
  <c r="AX17" i="16"/>
  <c r="AX36" i="16" s="1"/>
  <c r="AV28" i="16"/>
  <c r="AV27" i="16" s="1"/>
  <c r="AV37" i="16" s="1"/>
  <c r="AV35" i="16" s="1"/>
  <c r="AV24" i="16"/>
  <c r="AW377" i="12" l="1"/>
  <c r="AZ121" i="6"/>
  <c r="AZ249" i="6" s="1"/>
  <c r="AZ236" i="6"/>
  <c r="AZ235" i="6" s="1"/>
  <c r="AZ234" i="6" s="1"/>
  <c r="AZ232" i="6" s="1"/>
  <c r="AZ122" i="6"/>
  <c r="AZ248" i="6" s="1"/>
  <c r="AZ6" i="6"/>
  <c r="AW6" i="6" s="1"/>
  <c r="AW23" i="6"/>
  <c r="AX46" i="16"/>
  <c r="AX24" i="16"/>
  <c r="AV46" i="16"/>
  <c r="AV45" i="16"/>
  <c r="AV292" i="6"/>
  <c r="AX35" i="16"/>
  <c r="AX292" i="6" s="1"/>
  <c r="AZ218" i="6" l="1"/>
  <c r="AZ217" i="6" s="1"/>
  <c r="AZ294" i="6"/>
  <c r="AZ315" i="6" s="1"/>
  <c r="AV44" i="16"/>
  <c r="AV43" i="16" s="1"/>
  <c r="AV41" i="16" s="1"/>
  <c r="AX45" i="16"/>
  <c r="AW275" i="12"/>
  <c r="AY271" i="12"/>
  <c r="AW269" i="12"/>
  <c r="AW259" i="12"/>
  <c r="AW258" i="12"/>
  <c r="AW257" i="12"/>
  <c r="AW256" i="12"/>
  <c r="AW255" i="12"/>
  <c r="AW254" i="12"/>
  <c r="AW231" i="12"/>
  <c r="AW228" i="12"/>
  <c r="AV227" i="12"/>
  <c r="AW224" i="12"/>
  <c r="AW223" i="12"/>
  <c r="AW222" i="12"/>
  <c r="AW220" i="12"/>
  <c r="AW219" i="12"/>
  <c r="AW218" i="12"/>
  <c r="AW215" i="12"/>
  <c r="AW214" i="12"/>
  <c r="AW213" i="12"/>
  <c r="AW212" i="12"/>
  <c r="AW211" i="12"/>
  <c r="AW210" i="12"/>
  <c r="AW209" i="12"/>
  <c r="AW197" i="12"/>
  <c r="AW196" i="12"/>
  <c r="AW195" i="12"/>
  <c r="AW194" i="12"/>
  <c r="AW190" i="12"/>
  <c r="AW189" i="12"/>
  <c r="AW188" i="12"/>
  <c r="AW187" i="12"/>
  <c r="AW186" i="12"/>
  <c r="AW271" i="12" l="1"/>
  <c r="AX44" i="16"/>
  <c r="AW226" i="12"/>
  <c r="AY274" i="12"/>
  <c r="AY268" i="12"/>
  <c r="AW182" i="12"/>
  <c r="AW181" i="12"/>
  <c r="AW180" i="12"/>
  <c r="AW179" i="12"/>
  <c r="AW178" i="12"/>
  <c r="AW177" i="12"/>
  <c r="AW175" i="12"/>
  <c r="AW174" i="12"/>
  <c r="AW173" i="12"/>
  <c r="AW172" i="12"/>
  <c r="AW168" i="12"/>
  <c r="AW167" i="12"/>
  <c r="AW166" i="12"/>
  <c r="AW136" i="12"/>
  <c r="AW135" i="12"/>
  <c r="AW134" i="12"/>
  <c r="AW133" i="12"/>
  <c r="AW121" i="12"/>
  <c r="AW119" i="12"/>
  <c r="AW118" i="12"/>
  <c r="AY87" i="12"/>
  <c r="AW114" i="12"/>
  <c r="AW113" i="12"/>
  <c r="AW112" i="12"/>
  <c r="AW111" i="12"/>
  <c r="AW87" i="12" l="1"/>
  <c r="AW274" i="12"/>
  <c r="AW268" i="12"/>
  <c r="AW98" i="12"/>
  <c r="AW90" i="12" s="1"/>
  <c r="AY90" i="12"/>
  <c r="AY143" i="12" s="1"/>
  <c r="AW99" i="12"/>
  <c r="AW91" i="12" s="1"/>
  <c r="AY91" i="12"/>
  <c r="AW96" i="12"/>
  <c r="AW88" i="12" s="1"/>
  <c r="AY88" i="12"/>
  <c r="AW97" i="12"/>
  <c r="AW89" i="12" s="1"/>
  <c r="AY89" i="12"/>
  <c r="AW365" i="12"/>
  <c r="AV117" i="12"/>
  <c r="AW117" i="12"/>
  <c r="AW116" i="12" s="1"/>
  <c r="AX43" i="16"/>
  <c r="AY150" i="12"/>
  <c r="AW150" i="12" s="1"/>
  <c r="AY152" i="12"/>
  <c r="AW152" i="12" s="1"/>
  <c r="AY151" i="12"/>
  <c r="AW151" i="12" s="1"/>
  <c r="AY148" i="12"/>
  <c r="AY149" i="12"/>
  <c r="AW149" i="12" s="1"/>
  <c r="AY86" i="12" l="1"/>
  <c r="AV87" i="12"/>
  <c r="AV116" i="12"/>
  <c r="AW86" i="12"/>
  <c r="AW148" i="12"/>
  <c r="AY147" i="12"/>
  <c r="AW153" i="12"/>
  <c r="AW424" i="12"/>
  <c r="BD430" i="12" s="1"/>
  <c r="AW425" i="12"/>
  <c r="BD431" i="12" s="1"/>
  <c r="AW422" i="12"/>
  <c r="BD428" i="12" s="1"/>
  <c r="AW427" i="12"/>
  <c r="BD433" i="12" s="1"/>
  <c r="AW426" i="12"/>
  <c r="BD432" i="12" s="1"/>
  <c r="AX41" i="16"/>
  <c r="AV216" i="2"/>
  <c r="AV215" i="2"/>
  <c r="AV206" i="2"/>
  <c r="AV205" i="2"/>
  <c r="AV202" i="2"/>
  <c r="AV199" i="2"/>
  <c r="AV187" i="2"/>
  <c r="AV166" i="2"/>
  <c r="AV165" i="2"/>
  <c r="AV163" i="2"/>
  <c r="AV162" i="2"/>
  <c r="AV151" i="2"/>
  <c r="AV150" i="2"/>
  <c r="AV130" i="2"/>
  <c r="AV126" i="2"/>
  <c r="AV121" i="2" s="1"/>
  <c r="AV125" i="2"/>
  <c r="AV116" i="2"/>
  <c r="AV114" i="2"/>
  <c r="AV110" i="2"/>
  <c r="AV109" i="2"/>
  <c r="AV105" i="2"/>
  <c r="AV104" i="2"/>
  <c r="AV100" i="2"/>
  <c r="AV99" i="2"/>
  <c r="AV98" i="2"/>
  <c r="AV82" i="2"/>
  <c r="AV81" i="2"/>
  <c r="AV80" i="2"/>
  <c r="AV76" i="2"/>
  <c r="AV75" i="2"/>
  <c r="AV74" i="2"/>
  <c r="AV66" i="2"/>
  <c r="AV65" i="2"/>
  <c r="AV64" i="2"/>
  <c r="AV63" i="2"/>
  <c r="AV62" i="2"/>
  <c r="AV61" i="2"/>
  <c r="AV60" i="2"/>
  <c r="AV219" i="2" s="1"/>
  <c r="AV59" i="2"/>
  <c r="AV58" i="2"/>
  <c r="AV57" i="2"/>
  <c r="AV55" i="2"/>
  <c r="AV54" i="2"/>
  <c r="AV53" i="2"/>
  <c r="AV52" i="2"/>
  <c r="AV50" i="2"/>
  <c r="AV49" i="2"/>
  <c r="AV48" i="2"/>
  <c r="AV47" i="2"/>
  <c r="AV46" i="2"/>
  <c r="AV43" i="2"/>
  <c r="AV42" i="2"/>
  <c r="AV41" i="2"/>
  <c r="AV39" i="2"/>
  <c r="AV38" i="2"/>
  <c r="AV37" i="2"/>
  <c r="AV36" i="2"/>
  <c r="AV35" i="2"/>
  <c r="AV34" i="2"/>
  <c r="AV33" i="2"/>
  <c r="AV32" i="2"/>
  <c r="AV31" i="2"/>
  <c r="AV30" i="2"/>
  <c r="AV29" i="2"/>
  <c r="AV28" i="2"/>
  <c r="AV27" i="2"/>
  <c r="AV24" i="2"/>
  <c r="AV23" i="2"/>
  <c r="AV22" i="2"/>
  <c r="AV21" i="2"/>
  <c r="AV19" i="2"/>
  <c r="AV18" i="2"/>
  <c r="AV17" i="2"/>
  <c r="AV16" i="2"/>
  <c r="AV15" i="2"/>
  <c r="AV14" i="2"/>
  <c r="AV13" i="2"/>
  <c r="AV12" i="2"/>
  <c r="AV11" i="2"/>
  <c r="AV10" i="2"/>
  <c r="AV9" i="2"/>
  <c r="AV8" i="2"/>
  <c r="AY95" i="2"/>
  <c r="AY220" i="2"/>
  <c r="AY219" i="2"/>
  <c r="AY212" i="2"/>
  <c r="AY207" i="2"/>
  <c r="AY204" i="2"/>
  <c r="AY201" i="2"/>
  <c r="AY190" i="2"/>
  <c r="AY195" i="2"/>
  <c r="AY192" i="2"/>
  <c r="AY191" i="2"/>
  <c r="AY184" i="2"/>
  <c r="AY154" i="2"/>
  <c r="AY164" i="2"/>
  <c r="AY161" i="2"/>
  <c r="AY158" i="2"/>
  <c r="AY155" i="2"/>
  <c r="AY153" i="2"/>
  <c r="AY147" i="2"/>
  <c r="AY132" i="2"/>
  <c r="AY127" i="2"/>
  <c r="AY120" i="2"/>
  <c r="AY122" i="2"/>
  <c r="AY121" i="2"/>
  <c r="AY119" i="2"/>
  <c r="AY144" i="2" s="1"/>
  <c r="AY118" i="2"/>
  <c r="AY143" i="2" s="1"/>
  <c r="AY111" i="2"/>
  <c r="AY106" i="2"/>
  <c r="AY101" i="2"/>
  <c r="AY93" i="2"/>
  <c r="AY92" i="2"/>
  <c r="AY77" i="2"/>
  <c r="AY71" i="2"/>
  <c r="AY87" i="2"/>
  <c r="AY86" i="2"/>
  <c r="AY70" i="2"/>
  <c r="AY56" i="2"/>
  <c r="AY26" i="2"/>
  <c r="AY230" i="2"/>
  <c r="AY229" i="2"/>
  <c r="AY20" i="2"/>
  <c r="AY7" i="2"/>
  <c r="AV207" i="2"/>
  <c r="AV224" i="2" s="1"/>
  <c r="AV195" i="2"/>
  <c r="AV192" i="2"/>
  <c r="AV191" i="2"/>
  <c r="AV238" i="2" s="1"/>
  <c r="AV158" i="2"/>
  <c r="AV155" i="2"/>
  <c r="AV132" i="2"/>
  <c r="AV119" i="2"/>
  <c r="AV144" i="2" s="1"/>
  <c r="AV118" i="2"/>
  <c r="AV143" i="2" s="1"/>
  <c r="AV70" i="2"/>
  <c r="AV360" i="12"/>
  <c r="AV359" i="12"/>
  <c r="AV358" i="12"/>
  <c r="AV357" i="12"/>
  <c r="AV356" i="12"/>
  <c r="AV347" i="12"/>
  <c r="AV346" i="12"/>
  <c r="AV345" i="12"/>
  <c r="AV341" i="12"/>
  <c r="AV340" i="12"/>
  <c r="AV338" i="12"/>
  <c r="AV337" i="12"/>
  <c r="AV335" i="12"/>
  <c r="AV334" i="12"/>
  <c r="AV332" i="12"/>
  <c r="AV331" i="12"/>
  <c r="AV329" i="12"/>
  <c r="AV327" i="12" s="1"/>
  <c r="AV326" i="12"/>
  <c r="AV325" i="12"/>
  <c r="AV173" i="2" l="1"/>
  <c r="AV212" i="2"/>
  <c r="AY169" i="2"/>
  <c r="AY174" i="2"/>
  <c r="AY238" i="2"/>
  <c r="AV40" i="2"/>
  <c r="AV201" i="2"/>
  <c r="AV229" i="2"/>
  <c r="AV230" i="2"/>
  <c r="AY189" i="2"/>
  <c r="AY237" i="2" s="1"/>
  <c r="AV95" i="2"/>
  <c r="AV220" i="2"/>
  <c r="AY263" i="6"/>
  <c r="AY173" i="2"/>
  <c r="AY218" i="2"/>
  <c r="AY217" i="2" s="1"/>
  <c r="AV164" i="2"/>
  <c r="AY224" i="2"/>
  <c r="AV184" i="2"/>
  <c r="AV198" i="2"/>
  <c r="AV111" i="2"/>
  <c r="AV20" i="2"/>
  <c r="AV120" i="2"/>
  <c r="AV117" i="2" s="1"/>
  <c r="AV147" i="2"/>
  <c r="AV93" i="2"/>
  <c r="AV127" i="2"/>
  <c r="AY117" i="2"/>
  <c r="AV94" i="2"/>
  <c r="AV87" i="2"/>
  <c r="AV26" i="2"/>
  <c r="AV227" i="2" s="1"/>
  <c r="AY6" i="2"/>
  <c r="AV204" i="2"/>
  <c r="AV190" i="2"/>
  <c r="AV189" i="2" s="1"/>
  <c r="AV237" i="2" s="1"/>
  <c r="AV161" i="2"/>
  <c r="AV153" i="2"/>
  <c r="AV106" i="2"/>
  <c r="AV92" i="2"/>
  <c r="AV101" i="2"/>
  <c r="AV77" i="2"/>
  <c r="AV86" i="2"/>
  <c r="AV71" i="2"/>
  <c r="AV56" i="2"/>
  <c r="AV218" i="2" s="1"/>
  <c r="AV7" i="2"/>
  <c r="AY248" i="2"/>
  <c r="AY145" i="2"/>
  <c r="AY152" i="2"/>
  <c r="AY227" i="2"/>
  <c r="AY25" i="2"/>
  <c r="AY88" i="2"/>
  <c r="AY168" i="2"/>
  <c r="AY198" i="2"/>
  <c r="AY94" i="2"/>
  <c r="AY226" i="2"/>
  <c r="AV169" i="2"/>
  <c r="AV174" i="2"/>
  <c r="AV122" i="2"/>
  <c r="AV154" i="2"/>
  <c r="AV168" i="2"/>
  <c r="AV88" i="2"/>
  <c r="AV217" i="2" l="1"/>
  <c r="AY223" i="2"/>
  <c r="AY175" i="2"/>
  <c r="AV152" i="2"/>
  <c r="AV263" i="6"/>
  <c r="AY89" i="2"/>
  <c r="AV264" i="6"/>
  <c r="AY304" i="6"/>
  <c r="AY83" i="2"/>
  <c r="AY305" i="6"/>
  <c r="AV146" i="2"/>
  <c r="AV171" i="2" s="1"/>
  <c r="AV307" i="6" s="1"/>
  <c r="AV89" i="2"/>
  <c r="AV248" i="2"/>
  <c r="AY264" i="6"/>
  <c r="AV6" i="2"/>
  <c r="AV223" i="2"/>
  <c r="AV145" i="2"/>
  <c r="AV175" i="2" s="1"/>
  <c r="AV83" i="2"/>
  <c r="AV25" i="2"/>
  <c r="AV226" i="2"/>
  <c r="AV225" i="2" s="1"/>
  <c r="AV231" i="2" s="1"/>
  <c r="AV228" i="2" s="1"/>
  <c r="AY170" i="2"/>
  <c r="AY225" i="2"/>
  <c r="AY146" i="2"/>
  <c r="AY142" i="2" l="1"/>
  <c r="AY222" i="2" s="1"/>
  <c r="AV176" i="2"/>
  <c r="AV285" i="6" s="1"/>
  <c r="AV142" i="2"/>
  <c r="AV222" i="2" s="1"/>
  <c r="AV221" i="2" s="1"/>
  <c r="AV236" i="2" s="1"/>
  <c r="AV235" i="2" s="1"/>
  <c r="AV234" i="2" s="1"/>
  <c r="AV232" i="2" s="1"/>
  <c r="AV252" i="2"/>
  <c r="AV284" i="6"/>
  <c r="AY284" i="6"/>
  <c r="AY231" i="2"/>
  <c r="AY245" i="2"/>
  <c r="AY256" i="2"/>
  <c r="AY306" i="6"/>
  <c r="AV170" i="2"/>
  <c r="AV245" i="2"/>
  <c r="AY171" i="2"/>
  <c r="AY176" i="2"/>
  <c r="AY172" i="2" s="1"/>
  <c r="AY252" i="2"/>
  <c r="AY167" i="2" l="1"/>
  <c r="AY253" i="2" s="1"/>
  <c r="AV167" i="2"/>
  <c r="AV253" i="2" s="1"/>
  <c r="AV172" i="2"/>
  <c r="AV249" i="2" s="1"/>
  <c r="AY228" i="2"/>
  <c r="AY307" i="6"/>
  <c r="AY303" i="6" s="1"/>
  <c r="AY221" i="2"/>
  <c r="AY285" i="6"/>
  <c r="AV256" i="2"/>
  <c r="AV306" i="6"/>
  <c r="AV308" i="12"/>
  <c r="AV307" i="12"/>
  <c r="AV306" i="12"/>
  <c r="AV305" i="12"/>
  <c r="AV276" i="12"/>
  <c r="AV275" i="12"/>
  <c r="AV270" i="12"/>
  <c r="AV269" i="12"/>
  <c r="AV267" i="12"/>
  <c r="AV266" i="12"/>
  <c r="AV259" i="12"/>
  <c r="AV258" i="12"/>
  <c r="AV257" i="12"/>
  <c r="AV256" i="12"/>
  <c r="AV255" i="12"/>
  <c r="AV254" i="12"/>
  <c r="AV231" i="12"/>
  <c r="AV228" i="12"/>
  <c r="AV224" i="12"/>
  <c r="AV223" i="12"/>
  <c r="AV222" i="12"/>
  <c r="AV221" i="12"/>
  <c r="AV220" i="12"/>
  <c r="AV219" i="12"/>
  <c r="AV218" i="12"/>
  <c r="AV215" i="12"/>
  <c r="AV214" i="12"/>
  <c r="AV213" i="12"/>
  <c r="AV212" i="12"/>
  <c r="AV211" i="12"/>
  <c r="AV210" i="12"/>
  <c r="AV209" i="12"/>
  <c r="AV197" i="12"/>
  <c r="AV196" i="12"/>
  <c r="AV195" i="12"/>
  <c r="AV194" i="12"/>
  <c r="AV190" i="12"/>
  <c r="AV189" i="12"/>
  <c r="AV188" i="12"/>
  <c r="AV187" i="12"/>
  <c r="AV186" i="12"/>
  <c r="AV182" i="12"/>
  <c r="AV181" i="12"/>
  <c r="AV180" i="12"/>
  <c r="AV179" i="12"/>
  <c r="AV178" i="12"/>
  <c r="AV177" i="12"/>
  <c r="AV175" i="12"/>
  <c r="AV174" i="12"/>
  <c r="AV173" i="12"/>
  <c r="AV172" i="12"/>
  <c r="AV168" i="12"/>
  <c r="AV167" i="12"/>
  <c r="AV166" i="12"/>
  <c r="AV160" i="12"/>
  <c r="AV159" i="12"/>
  <c r="AV158" i="12"/>
  <c r="AV157" i="12"/>
  <c r="AV156" i="12"/>
  <c r="AV133" i="12"/>
  <c r="AV131" i="12" s="1"/>
  <c r="AV114" i="12"/>
  <c r="AV113" i="12"/>
  <c r="AV112" i="12"/>
  <c r="AV111" i="12"/>
  <c r="AV99" i="12"/>
  <c r="AV98" i="12"/>
  <c r="AV97" i="12"/>
  <c r="AV96" i="12"/>
  <c r="AW155" i="12"/>
  <c r="AV82" i="12"/>
  <c r="AV81" i="12"/>
  <c r="AV80" i="12"/>
  <c r="AV79" i="12"/>
  <c r="AV78" i="12"/>
  <c r="AV77" i="12"/>
  <c r="AV76" i="12"/>
  <c r="AV75" i="12"/>
  <c r="AV74" i="12"/>
  <c r="AV73" i="12"/>
  <c r="AV72" i="12"/>
  <c r="AV70" i="12"/>
  <c r="AV69" i="12"/>
  <c r="AV68" i="12"/>
  <c r="AV67" i="12"/>
  <c r="AV66" i="12"/>
  <c r="AV65" i="12"/>
  <c r="AV64" i="12"/>
  <c r="AV63" i="12"/>
  <c r="AV62" i="12"/>
  <c r="AV61" i="12"/>
  <c r="AV60" i="12"/>
  <c r="AV59" i="12"/>
  <c r="AV58" i="12"/>
  <c r="AV57" i="12"/>
  <c r="AV56" i="12"/>
  <c r="AV54" i="12"/>
  <c r="AV53" i="12"/>
  <c r="AV52" i="12"/>
  <c r="AV51" i="12"/>
  <c r="AV50" i="12"/>
  <c r="AV49" i="12"/>
  <c r="AV48" i="12"/>
  <c r="AV47" i="12"/>
  <c r="AV46" i="12"/>
  <c r="AV45" i="12"/>
  <c r="AV44" i="12"/>
  <c r="AV43" i="12"/>
  <c r="AV42" i="12"/>
  <c r="AV41" i="12"/>
  <c r="AV40" i="12"/>
  <c r="AV39" i="12"/>
  <c r="AV36" i="12"/>
  <c r="AV35" i="12"/>
  <c r="AV34" i="12"/>
  <c r="AV33" i="12"/>
  <c r="AV32" i="12"/>
  <c r="AV30" i="12"/>
  <c r="AV29" i="12"/>
  <c r="AV28" i="12"/>
  <c r="AV27" i="12"/>
  <c r="AV26" i="12"/>
  <c r="AV25" i="12"/>
  <c r="AV23" i="12"/>
  <c r="AV22" i="12"/>
  <c r="AV20" i="12"/>
  <c r="AV19" i="12"/>
  <c r="AV18" i="12"/>
  <c r="AV17" i="12"/>
  <c r="AV16" i="12"/>
  <c r="AV15" i="12"/>
  <c r="AV14" i="12"/>
  <c r="AV13" i="12"/>
  <c r="AV12" i="12"/>
  <c r="AV11" i="12"/>
  <c r="AV10" i="12"/>
  <c r="AV9" i="12"/>
  <c r="AV8" i="12"/>
  <c r="AU427" i="12"/>
  <c r="AU426" i="12"/>
  <c r="AU425" i="12"/>
  <c r="AU424" i="12"/>
  <c r="AU421" i="12"/>
  <c r="AU420" i="12"/>
  <c r="AU419" i="12"/>
  <c r="AU418" i="12"/>
  <c r="AU416" i="12"/>
  <c r="AY425" i="12"/>
  <c r="BF431" i="12" s="1"/>
  <c r="AY374" i="12"/>
  <c r="AY380" i="12"/>
  <c r="AY342" i="12"/>
  <c r="AY339" i="12"/>
  <c r="AY323" i="12"/>
  <c r="AY324" i="12"/>
  <c r="AY321" i="12" s="1"/>
  <c r="AY303" i="12"/>
  <c r="AY265" i="12"/>
  <c r="AY262" i="12"/>
  <c r="AW253" i="12"/>
  <c r="AW217" i="12"/>
  <c r="AY206" i="12"/>
  <c r="AY251" i="12" s="1"/>
  <c r="AY205" i="12"/>
  <c r="AW205" i="12" s="1"/>
  <c r="AW208" i="12"/>
  <c r="AY204" i="12"/>
  <c r="AW204" i="12" s="1"/>
  <c r="AY203" i="12"/>
  <c r="AW203" i="12" s="1"/>
  <c r="AY202" i="12"/>
  <c r="AW202" i="12" s="1"/>
  <c r="AY201" i="12"/>
  <c r="AW201" i="12" s="1"/>
  <c r="AY200" i="12"/>
  <c r="AY192" i="12"/>
  <c r="AW192" i="12" s="1"/>
  <c r="AW184" i="12"/>
  <c r="AY170" i="12"/>
  <c r="AW170" i="12" s="1"/>
  <c r="AY163" i="12"/>
  <c r="AW163" i="12" s="1"/>
  <c r="AW131" i="12"/>
  <c r="AY109" i="12"/>
  <c r="AW109" i="12" s="1"/>
  <c r="AW364" i="12" s="1"/>
  <c r="AY427" i="12"/>
  <c r="BF433" i="12" s="1"/>
  <c r="AY426" i="12"/>
  <c r="BF432" i="12" s="1"/>
  <c r="AY424" i="12"/>
  <c r="BF430" i="12" s="1"/>
  <c r="AY85" i="12"/>
  <c r="AY373" i="12"/>
  <c r="AY71" i="12"/>
  <c r="AY55" i="12"/>
  <c r="AY38" i="12"/>
  <c r="AY31" i="12"/>
  <c r="AY24" i="12"/>
  <c r="AY21" i="12"/>
  <c r="AY7" i="12"/>
  <c r="AV355" i="12"/>
  <c r="AV339" i="12"/>
  <c r="AV336" i="12"/>
  <c r="AV333" i="12"/>
  <c r="AV330" i="12"/>
  <c r="AV323" i="12"/>
  <c r="AV397" i="12" s="1"/>
  <c r="AV324" i="12"/>
  <c r="AV271" i="12"/>
  <c r="AV262" i="12"/>
  <c r="AV85" i="12"/>
  <c r="AY7" i="6"/>
  <c r="AV212" i="6"/>
  <c r="AV213" i="6"/>
  <c r="AV214" i="6"/>
  <c r="AV222" i="6"/>
  <c r="AV195" i="6"/>
  <c r="AV194" i="6"/>
  <c r="AV193" i="6"/>
  <c r="AV192" i="6"/>
  <c r="AV191" i="6"/>
  <c r="AV190" i="6"/>
  <c r="AV188" i="6"/>
  <c r="AV187" i="6"/>
  <c r="AV186" i="6"/>
  <c r="AV185" i="6"/>
  <c r="AV183" i="6"/>
  <c r="AV182" i="6"/>
  <c r="AV181" i="6"/>
  <c r="AV180" i="6"/>
  <c r="AV179" i="6"/>
  <c r="AV176" i="6"/>
  <c r="AV173" i="6"/>
  <c r="AV172" i="6"/>
  <c r="AV170" i="6"/>
  <c r="AV169" i="6"/>
  <c r="AV117" i="6"/>
  <c r="AV116" i="6"/>
  <c r="AV114" i="6"/>
  <c r="AV111" i="6"/>
  <c r="AV110" i="6"/>
  <c r="AV109" i="6"/>
  <c r="AV107" i="6"/>
  <c r="AV106" i="6"/>
  <c r="AV105" i="6"/>
  <c r="AV104" i="6"/>
  <c r="AV103" i="6"/>
  <c r="AV102" i="6"/>
  <c r="AV101" i="6"/>
  <c r="AV100" i="6"/>
  <c r="AV99" i="6"/>
  <c r="AV95" i="6"/>
  <c r="AV94" i="6"/>
  <c r="AV93" i="6"/>
  <c r="AV92" i="6"/>
  <c r="AV91" i="6"/>
  <c r="AV90" i="6"/>
  <c r="AV89" i="6"/>
  <c r="AV88" i="6"/>
  <c r="AV87" i="6"/>
  <c r="AV85" i="6"/>
  <c r="AV78" i="6"/>
  <c r="AV77" i="6"/>
  <c r="AV76" i="6"/>
  <c r="AV75" i="6"/>
  <c r="AV74" i="6"/>
  <c r="AV73" i="6"/>
  <c r="AV203" i="6" s="1"/>
  <c r="AV72" i="6"/>
  <c r="AV71" i="6"/>
  <c r="AV70" i="6"/>
  <c r="AV69" i="6"/>
  <c r="AV68" i="6"/>
  <c r="AV66" i="6"/>
  <c r="AV65" i="6"/>
  <c r="AV64" i="6"/>
  <c r="AV63" i="6"/>
  <c r="AV62" i="6"/>
  <c r="AV61" i="6"/>
  <c r="AV60" i="6"/>
  <c r="AV59" i="6"/>
  <c r="AV58" i="6"/>
  <c r="AV57" i="6"/>
  <c r="AV56" i="6"/>
  <c r="AV55" i="6"/>
  <c r="AV54" i="6"/>
  <c r="AV53" i="6"/>
  <c r="AV52" i="6"/>
  <c r="AV51" i="6"/>
  <c r="AV50" i="6"/>
  <c r="AV48" i="6"/>
  <c r="AV47" i="6"/>
  <c r="AV46" i="6"/>
  <c r="AV45" i="6"/>
  <c r="AV44" i="6"/>
  <c r="AV43" i="6"/>
  <c r="AV42" i="6"/>
  <c r="AV41" i="6"/>
  <c r="AV40" i="6"/>
  <c r="AV39" i="6"/>
  <c r="AV38" i="6"/>
  <c r="AV37" i="6"/>
  <c r="AV36" i="6"/>
  <c r="AV35" i="6"/>
  <c r="AV34" i="6"/>
  <c r="AV33" i="6"/>
  <c r="AV32" i="6"/>
  <c r="AV27" i="6"/>
  <c r="AV26" i="6"/>
  <c r="AV25" i="6"/>
  <c r="AV24" i="6"/>
  <c r="AV22" i="6"/>
  <c r="AV20" i="6"/>
  <c r="AV19" i="6"/>
  <c r="AV18" i="6"/>
  <c r="AV17" i="6"/>
  <c r="AV16" i="6"/>
  <c r="AV15" i="6"/>
  <c r="AV14" i="6"/>
  <c r="AV13" i="6"/>
  <c r="AV12" i="6"/>
  <c r="AV11" i="6"/>
  <c r="AV10" i="6"/>
  <c r="AV9" i="6"/>
  <c r="AV8" i="6"/>
  <c r="AY238" i="6"/>
  <c r="AY230" i="6"/>
  <c r="AY229" i="6"/>
  <c r="AY208" i="6"/>
  <c r="AW208" i="6" s="1"/>
  <c r="AY203" i="6"/>
  <c r="AY202" i="6"/>
  <c r="AY199" i="6"/>
  <c r="AY198" i="6"/>
  <c r="AW198" i="6" s="1"/>
  <c r="AY189" i="6"/>
  <c r="AY184" i="6"/>
  <c r="AY178" i="6"/>
  <c r="AY175" i="6"/>
  <c r="AW175" i="6" s="1"/>
  <c r="AY171" i="6"/>
  <c r="AW171" i="6" s="1"/>
  <c r="AY168" i="6"/>
  <c r="AW168" i="6" s="1"/>
  <c r="AW237" i="6" s="1"/>
  <c r="AY115" i="6"/>
  <c r="AW115" i="6" s="1"/>
  <c r="AY108" i="6"/>
  <c r="AW108" i="6" s="1"/>
  <c r="AY97" i="6"/>
  <c r="AW97" i="6" s="1"/>
  <c r="AY84" i="6"/>
  <c r="AW84" i="6" s="1"/>
  <c r="AY83" i="6"/>
  <c r="AY67" i="6"/>
  <c r="AY49" i="6"/>
  <c r="AY31" i="6"/>
  <c r="AY23" i="6"/>
  <c r="AV83" i="6"/>
  <c r="AW262" i="12" l="1"/>
  <c r="AW265" i="12"/>
  <c r="AV199" i="6"/>
  <c r="AW199" i="6"/>
  <c r="AV189" i="6"/>
  <c r="AW200" i="12"/>
  <c r="AY199" i="12"/>
  <c r="AW199" i="12" s="1"/>
  <c r="AW206" i="12"/>
  <c r="AY140" i="12"/>
  <c r="AY245" i="12" s="1"/>
  <c r="AY236" i="2"/>
  <c r="AY249" i="2"/>
  <c r="AY364" i="12"/>
  <c r="AY397" i="12"/>
  <c r="AV373" i="12"/>
  <c r="AV374" i="12"/>
  <c r="AY378" i="12"/>
  <c r="AV425" i="12"/>
  <c r="AV265" i="12"/>
  <c r="AY388" i="12"/>
  <c r="AV268" i="12"/>
  <c r="AY389" i="12"/>
  <c r="AY144" i="12"/>
  <c r="AY248" i="12"/>
  <c r="AW248" i="12" s="1"/>
  <c r="AY302" i="12"/>
  <c r="AY142" i="12"/>
  <c r="AY368" i="12" s="1"/>
  <c r="AY372" i="12"/>
  <c r="AY371" i="12" s="1"/>
  <c r="AV380" i="12"/>
  <c r="AV140" i="12"/>
  <c r="AV366" i="12" s="1"/>
  <c r="AV427" i="12"/>
  <c r="AV303" i="12"/>
  <c r="AV302" i="12" s="1"/>
  <c r="AV238" i="6"/>
  <c r="AY96" i="6"/>
  <c r="AV146" i="12"/>
  <c r="AV202" i="6"/>
  <c r="AV115" i="6"/>
  <c r="AV184" i="6"/>
  <c r="AV198" i="6"/>
  <c r="AV229" i="6"/>
  <c r="AV163" i="12"/>
  <c r="AV203" i="12"/>
  <c r="AV248" i="12" s="1"/>
  <c r="AV288" i="12" s="1"/>
  <c r="AV204" i="12"/>
  <c r="AV230" i="6"/>
  <c r="AV108" i="6"/>
  <c r="AY227" i="6"/>
  <c r="AY237" i="6"/>
  <c r="AV175" i="6"/>
  <c r="AV192" i="12"/>
  <c r="AV168" i="6"/>
  <c r="AV237" i="6" s="1"/>
  <c r="AY201" i="6"/>
  <c r="AY200" i="6" s="1"/>
  <c r="AY207" i="6"/>
  <c r="AW207" i="6" s="1"/>
  <c r="AV208" i="6"/>
  <c r="AV171" i="6"/>
  <c r="AV84" i="6"/>
  <c r="AV97" i="6"/>
  <c r="AV31" i="6"/>
  <c r="AV178" i="6"/>
  <c r="AV426" i="12"/>
  <c r="AV253" i="12"/>
  <c r="AV202" i="12"/>
  <c r="AV217" i="12"/>
  <c r="AV200" i="12"/>
  <c r="AV184" i="12"/>
  <c r="AY177" i="6"/>
  <c r="AY30" i="6"/>
  <c r="AY6" i="6"/>
  <c r="AV7" i="6"/>
  <c r="AY226" i="6"/>
  <c r="AV208" i="12"/>
  <c r="AV274" i="12"/>
  <c r="AV109" i="12"/>
  <c r="AV364" i="12" s="1"/>
  <c r="AV148" i="12"/>
  <c r="AV153" i="12"/>
  <c r="AV226" i="12"/>
  <c r="AV89" i="12"/>
  <c r="AV142" i="12" s="1"/>
  <c r="AV257" i="6" s="1"/>
  <c r="AV170" i="12"/>
  <c r="AV149" i="12"/>
  <c r="AY281" i="6"/>
  <c r="AV303" i="6"/>
  <c r="AY260" i="6"/>
  <c r="AV281" i="6"/>
  <c r="AV260" i="6"/>
  <c r="AV342" i="12"/>
  <c r="AV378" i="12" s="1"/>
  <c r="AV424" i="12"/>
  <c r="AV205" i="12"/>
  <c r="AV201" i="12"/>
  <c r="AV152" i="12"/>
  <c r="AV176" i="12"/>
  <c r="AV151" i="12"/>
  <c r="AV90" i="12"/>
  <c r="AV143" i="12" s="1"/>
  <c r="AV258" i="6" s="1"/>
  <c r="AY377" i="12"/>
  <c r="AY261" i="12"/>
  <c r="AW261" i="12" s="1"/>
  <c r="AV71" i="12"/>
  <c r="AV372" i="12" s="1"/>
  <c r="AV55" i="12"/>
  <c r="AV38" i="12"/>
  <c r="AV386" i="12" s="1"/>
  <c r="AV31" i="12"/>
  <c r="AV389" i="12" s="1"/>
  <c r="AV24" i="12"/>
  <c r="AV388" i="12" s="1"/>
  <c r="AV21" i="12"/>
  <c r="AV7" i="12"/>
  <c r="AY6" i="12"/>
  <c r="AW147" i="12"/>
  <c r="AY37" i="12"/>
  <c r="AY385" i="12"/>
  <c r="AY176" i="12"/>
  <c r="AW176" i="12" s="1"/>
  <c r="AY94" i="12"/>
  <c r="AW94" i="12" s="1"/>
  <c r="AW251" i="12"/>
  <c r="AY322" i="12"/>
  <c r="AY386" i="12"/>
  <c r="AY422" i="12"/>
  <c r="BF428" i="12" s="1"/>
  <c r="AV321" i="12"/>
  <c r="AV91" i="12"/>
  <c r="AV144" i="12" s="1"/>
  <c r="AV94" i="12"/>
  <c r="AV155" i="12"/>
  <c r="AV206" i="12"/>
  <c r="AV322" i="12"/>
  <c r="AV88" i="12"/>
  <c r="AV150" i="12"/>
  <c r="AV67" i="6"/>
  <c r="AV49" i="6"/>
  <c r="AV23" i="6"/>
  <c r="AY206" i="6"/>
  <c r="AW206" i="6" s="1"/>
  <c r="AV86" i="12" l="1"/>
  <c r="AV139" i="12" s="1"/>
  <c r="AY366" i="12"/>
  <c r="AV371" i="12"/>
  <c r="AY197" i="6"/>
  <c r="AW197" i="6" s="1"/>
  <c r="AW196" i="6" s="1"/>
  <c r="AW96" i="6"/>
  <c r="AY285" i="12"/>
  <c r="AW245" i="12"/>
  <c r="AY369" i="12"/>
  <c r="AY408" i="12" s="1"/>
  <c r="AW143" i="12"/>
  <c r="AY247" i="12"/>
  <c r="AW247" i="12" s="1"/>
  <c r="AW142" i="12"/>
  <c r="AY370" i="12"/>
  <c r="AY409" i="12" s="1"/>
  <c r="AW144" i="12"/>
  <c r="AY255" i="6"/>
  <c r="AW140" i="12"/>
  <c r="AY112" i="6"/>
  <c r="AY250" i="12"/>
  <c r="AW250" i="12" s="1"/>
  <c r="AV422" i="12"/>
  <c r="AY249" i="12"/>
  <c r="AY235" i="2"/>
  <c r="AY407" i="12"/>
  <c r="AV255" i="6"/>
  <c r="AY288" i="12"/>
  <c r="AW288" i="12" s="1"/>
  <c r="AW299" i="6" s="1"/>
  <c r="AY291" i="12"/>
  <c r="AW291" i="12" s="1"/>
  <c r="AW302" i="6" s="1"/>
  <c r="AV261" i="12"/>
  <c r="AV259" i="6"/>
  <c r="AY257" i="6"/>
  <c r="AY259" i="6"/>
  <c r="AY258" i="6"/>
  <c r="AV369" i="12"/>
  <c r="AV408" i="12" s="1"/>
  <c r="AV368" i="12"/>
  <c r="AV407" i="12" s="1"/>
  <c r="AV227" i="6"/>
  <c r="AV177" i="6"/>
  <c r="AV96" i="6"/>
  <c r="AV112" i="6" s="1"/>
  <c r="AV207" i="6"/>
  <c r="AY225" i="6"/>
  <c r="AV206" i="6"/>
  <c r="AV299" i="6"/>
  <c r="AV6" i="12"/>
  <c r="AV245" i="12"/>
  <c r="AV247" i="12"/>
  <c r="AV287" i="12" s="1"/>
  <c r="AV296" i="12" s="1"/>
  <c r="AV385" i="12"/>
  <c r="AV384" i="12" s="1"/>
  <c r="AV390" i="12" s="1"/>
  <c r="AV387" i="12" s="1"/>
  <c r="AV30" i="6"/>
  <c r="AV201" i="6"/>
  <c r="AV200" i="6" s="1"/>
  <c r="AV6" i="6"/>
  <c r="AV226" i="6"/>
  <c r="AV199" i="12"/>
  <c r="AV249" i="12"/>
  <c r="AV289" i="12" s="1"/>
  <c r="AY396" i="12"/>
  <c r="AV37" i="12"/>
  <c r="AY384" i="12"/>
  <c r="AY141" i="12"/>
  <c r="AW141" i="12" s="1"/>
  <c r="AV377" i="12"/>
  <c r="AV396" i="12"/>
  <c r="AV370" i="12"/>
  <c r="AV409" i="12" s="1"/>
  <c r="AV250" i="12"/>
  <c r="AV290" i="12" s="1"/>
  <c r="AV301" i="6" s="1"/>
  <c r="AV141" i="12"/>
  <c r="AV256" i="6" s="1"/>
  <c r="AV147" i="12"/>
  <c r="AV251" i="12"/>
  <c r="AV291" i="12" s="1"/>
  <c r="AV302" i="6" s="1"/>
  <c r="AY294" i="12" l="1"/>
  <c r="AY274" i="6" s="1"/>
  <c r="AV300" i="6"/>
  <c r="AV297" i="12"/>
  <c r="AV298" i="12"/>
  <c r="AV254" i="6"/>
  <c r="AV253" i="6" s="1"/>
  <c r="AV197" i="6"/>
  <c r="AV196" i="6" s="1"/>
  <c r="AV247" i="6" s="1"/>
  <c r="AY196" i="6"/>
  <c r="AY247" i="6" s="1"/>
  <c r="AW247" i="6"/>
  <c r="AY287" i="12"/>
  <c r="AY205" i="6"/>
  <c r="AW205" i="6" s="1"/>
  <c r="AW204" i="6" s="1"/>
  <c r="AW112" i="6"/>
  <c r="AY139" i="12"/>
  <c r="AW367" i="12"/>
  <c r="AW406" i="12" s="1"/>
  <c r="AW256" i="6"/>
  <c r="AW368" i="12"/>
  <c r="AW407" i="12" s="1"/>
  <c r="AW257" i="6"/>
  <c r="AW369" i="12"/>
  <c r="AW408" i="12" s="1"/>
  <c r="AW258" i="6"/>
  <c r="AW366" i="12"/>
  <c r="AW255" i="6"/>
  <c r="AW370" i="12"/>
  <c r="AW409" i="12" s="1"/>
  <c r="AW259" i="6"/>
  <c r="AY296" i="6"/>
  <c r="AW285" i="12"/>
  <c r="AW296" i="6" s="1"/>
  <c r="AY289" i="12"/>
  <c r="AW249" i="12"/>
  <c r="AY290" i="12"/>
  <c r="AY298" i="12" s="1"/>
  <c r="AW298" i="12" s="1"/>
  <c r="AY119" i="6"/>
  <c r="AW119" i="6" s="1"/>
  <c r="AY234" i="2"/>
  <c r="AY299" i="6"/>
  <c r="AY256" i="6"/>
  <c r="AY254" i="6" s="1"/>
  <c r="AY390" i="12"/>
  <c r="AY302" i="6"/>
  <c r="AV285" i="12"/>
  <c r="AV244" i="12"/>
  <c r="AV119" i="6"/>
  <c r="AV121" i="6" s="1"/>
  <c r="AV225" i="6"/>
  <c r="AV231" i="6" s="1"/>
  <c r="AV228" i="6" s="1"/>
  <c r="AY231" i="6"/>
  <c r="AV298" i="6"/>
  <c r="AV419" i="12"/>
  <c r="AV420" i="12"/>
  <c r="AY246" i="12"/>
  <c r="AW246" i="12" s="1"/>
  <c r="AY367" i="12"/>
  <c r="AV246" i="12"/>
  <c r="AV286" i="12" s="1"/>
  <c r="AV367" i="12"/>
  <c r="AV406" i="12" s="1"/>
  <c r="AV421" i="12"/>
  <c r="AV297" i="6" l="1"/>
  <c r="AV295" i="12"/>
  <c r="AW289" i="12"/>
  <c r="AW300" i="6" s="1"/>
  <c r="AY297" i="12"/>
  <c r="AW297" i="12" s="1"/>
  <c r="AW287" i="12"/>
  <c r="AW298" i="6" s="1"/>
  <c r="AY296" i="12"/>
  <c r="AW296" i="12" s="1"/>
  <c r="AW413" i="12" s="1"/>
  <c r="AV294" i="12"/>
  <c r="AW294" i="12"/>
  <c r="AW274" i="6" s="1"/>
  <c r="AW254" i="6"/>
  <c r="AW253" i="6" s="1"/>
  <c r="AY363" i="12"/>
  <c r="AY362" i="12" s="1"/>
  <c r="AY404" i="12" s="1"/>
  <c r="AY244" i="12"/>
  <c r="AW290" i="12"/>
  <c r="AW421" i="12" s="1"/>
  <c r="AV205" i="6"/>
  <c r="AV204" i="6" s="1"/>
  <c r="AV272" i="6" s="1"/>
  <c r="AY204" i="6"/>
  <c r="AY122" i="6" s="1"/>
  <c r="AW122" i="6" s="1"/>
  <c r="AW248" i="6" s="1"/>
  <c r="AV363" i="12"/>
  <c r="AV362" i="12" s="1"/>
  <c r="AV249" i="6"/>
  <c r="AV294" i="6"/>
  <c r="AY419" i="12"/>
  <c r="AY298" i="6"/>
  <c r="AY420" i="12"/>
  <c r="AY121" i="6"/>
  <c r="AY300" i="6"/>
  <c r="AW272" i="6"/>
  <c r="AW236" i="6"/>
  <c r="AW235" i="6" s="1"/>
  <c r="AW234" i="6" s="1"/>
  <c r="AW232" i="6" s="1"/>
  <c r="AW415" i="12"/>
  <c r="AW139" i="12"/>
  <c r="AY301" i="6"/>
  <c r="AY421" i="12"/>
  <c r="AV218" i="6"/>
  <c r="AV217" i="6" s="1"/>
  <c r="AY232" i="2"/>
  <c r="AY286" i="12"/>
  <c r="AY406" i="12"/>
  <c r="AV413" i="12"/>
  <c r="AV276" i="6"/>
  <c r="AY387" i="12"/>
  <c r="AV414" i="12"/>
  <c r="AV278" i="6"/>
  <c r="AV415" i="12"/>
  <c r="AV279" i="6"/>
  <c r="AV296" i="6"/>
  <c r="AV376" i="12"/>
  <c r="AV375" i="12" s="1"/>
  <c r="AY253" i="6"/>
  <c r="AY228" i="6"/>
  <c r="AV418" i="12"/>
  <c r="AV284" i="12"/>
  <c r="AV275" i="6"/>
  <c r="AW419" i="12" l="1"/>
  <c r="AY278" i="6"/>
  <c r="AW301" i="6"/>
  <c r="AV295" i="6"/>
  <c r="AV315" i="6" s="1"/>
  <c r="AW420" i="12"/>
  <c r="AV293" i="12"/>
  <c r="AV274" i="6"/>
  <c r="AV273" i="6" s="1"/>
  <c r="AY418" i="12"/>
  <c r="AY295" i="12"/>
  <c r="AW121" i="6"/>
  <c r="AW249" i="6" s="1"/>
  <c r="AY218" i="6"/>
  <c r="AY217" i="6" s="1"/>
  <c r="AY272" i="6"/>
  <c r="AY284" i="12"/>
  <c r="AY294" i="6"/>
  <c r="AY249" i="6"/>
  <c r="AY236" i="6"/>
  <c r="AY235" i="6" s="1"/>
  <c r="AV122" i="6"/>
  <c r="AV248" i="6" s="1"/>
  <c r="AV236" i="6"/>
  <c r="AV235" i="6" s="1"/>
  <c r="AV234" i="6" s="1"/>
  <c r="AV232" i="6" s="1"/>
  <c r="AW276" i="6"/>
  <c r="AY276" i="6"/>
  <c r="AY413" i="12"/>
  <c r="AW414" i="12"/>
  <c r="AY414" i="12"/>
  <c r="AW279" i="6"/>
  <c r="AY415" i="12"/>
  <c r="AW363" i="12"/>
  <c r="AW362" i="12" s="1"/>
  <c r="AW404" i="12" s="1"/>
  <c r="AW244" i="12"/>
  <c r="AW376" i="12" s="1"/>
  <c r="AY376" i="12"/>
  <c r="AW286" i="12"/>
  <c r="AY279" i="6"/>
  <c r="AY297" i="6"/>
  <c r="AV416" i="12"/>
  <c r="AV404" i="12"/>
  <c r="AY248" i="6"/>
  <c r="AV412" i="12"/>
  <c r="AW295" i="12" l="1"/>
  <c r="AW412" i="12" s="1"/>
  <c r="AY293" i="12"/>
  <c r="AW293" i="12" s="1"/>
  <c r="AY375" i="12"/>
  <c r="AY395" i="12" s="1"/>
  <c r="AY394" i="12" s="1"/>
  <c r="AY393" i="12" s="1"/>
  <c r="AY391" i="12" s="1"/>
  <c r="AW375" i="12"/>
  <c r="AW395" i="12" s="1"/>
  <c r="AW394" i="12" s="1"/>
  <c r="AW393" i="12" s="1"/>
  <c r="AW391" i="12" s="1"/>
  <c r="AW294" i="6"/>
  <c r="AW218" i="6"/>
  <c r="AW217" i="6" s="1"/>
  <c r="AW278" i="6"/>
  <c r="AY275" i="6"/>
  <c r="AY273" i="6" s="1"/>
  <c r="AW418" i="12"/>
  <c r="AW297" i="6"/>
  <c r="AW295" i="6" s="1"/>
  <c r="AY412" i="12"/>
  <c r="AY410" i="12"/>
  <c r="AY416" i="12"/>
  <c r="AW284" i="12"/>
  <c r="AW416" i="12" s="1"/>
  <c r="AY295" i="6"/>
  <c r="AV395" i="12"/>
  <c r="AV410" i="12"/>
  <c r="AY234" i="6"/>
  <c r="AW275" i="6" l="1"/>
  <c r="AW273" i="6" s="1"/>
  <c r="AW315" i="6"/>
  <c r="AW410" i="12"/>
  <c r="AY315" i="6"/>
  <c r="AV394" i="12"/>
  <c r="AY232" i="6"/>
  <c r="AV393" i="12" l="1"/>
  <c r="AU20" i="16"/>
  <c r="AU38" i="16"/>
  <c r="AU30" i="16"/>
  <c r="AV391" i="12" l="1"/>
  <c r="F1" i="5"/>
  <c r="AX320" i="12" l="1"/>
  <c r="AX319" i="12"/>
  <c r="AX318" i="12"/>
  <c r="AX317" i="12"/>
  <c r="AT271" i="12"/>
  <c r="AT330" i="12" l="1"/>
  <c r="AT333" i="12"/>
  <c r="AU26" i="16"/>
  <c r="AV318" i="12"/>
  <c r="AT336" i="12"/>
  <c r="AU29" i="16"/>
  <c r="AU47" i="16" s="1"/>
  <c r="AV319" i="12"/>
  <c r="AV320" i="12"/>
  <c r="AU187" i="2"/>
  <c r="AU184" i="2" s="1"/>
  <c r="AT274" i="12"/>
  <c r="AT327" i="12"/>
  <c r="AT268" i="12"/>
  <c r="AT323" i="12" l="1"/>
  <c r="AU323" i="12" s="1"/>
  <c r="AU397" i="12" s="1"/>
  <c r="AT324" i="12"/>
  <c r="AU324" i="12" s="1"/>
  <c r="AU274" i="6" l="1"/>
  <c r="AU273" i="6" s="1"/>
  <c r="AU410" i="12"/>
  <c r="AT21" i="12"/>
  <c r="AT49" i="6" l="1"/>
  <c r="AT171" i="6"/>
  <c r="AT238" i="6"/>
  <c r="AT38" i="16"/>
  <c r="AT47" i="16"/>
  <c r="AT20" i="16"/>
  <c r="AT220" i="2"/>
  <c r="AT219" i="2"/>
  <c r="AT207" i="2"/>
  <c r="AT201" i="2"/>
  <c r="AT198" i="2"/>
  <c r="AT195" i="2"/>
  <c r="AT192" i="2"/>
  <c r="AT191" i="2"/>
  <c r="AT184" i="2"/>
  <c r="AT164" i="2"/>
  <c r="AT154" i="2"/>
  <c r="AT158" i="2"/>
  <c r="AT155" i="2"/>
  <c r="AT132" i="2"/>
  <c r="AT127" i="2"/>
  <c r="AT121" i="2"/>
  <c r="AT119" i="2"/>
  <c r="AT118" i="2"/>
  <c r="AT106" i="2"/>
  <c r="AT70" i="2"/>
  <c r="AT40" i="2"/>
  <c r="AT230" i="2"/>
  <c r="AT229" i="2"/>
  <c r="AT20" i="2"/>
  <c r="AT374" i="12"/>
  <c r="AT348" i="12"/>
  <c r="AT380" i="12" s="1"/>
  <c r="AT342" i="12"/>
  <c r="AT339" i="12"/>
  <c r="AT397" i="12"/>
  <c r="AT265" i="12"/>
  <c r="AT262" i="12"/>
  <c r="AT203" i="12"/>
  <c r="AT202" i="12"/>
  <c r="AT201" i="12"/>
  <c r="AT200" i="12"/>
  <c r="AT153" i="12"/>
  <c r="AT184" i="12"/>
  <c r="AT152" i="12"/>
  <c r="AT151" i="12"/>
  <c r="AT116" i="12"/>
  <c r="AT427" i="12"/>
  <c r="BA433" i="12" s="1"/>
  <c r="AT90" i="12"/>
  <c r="AT425" i="12"/>
  <c r="BA431" i="12" s="1"/>
  <c r="AT424" i="12"/>
  <c r="BA430" i="12" s="1"/>
  <c r="AT85" i="12"/>
  <c r="AT373" i="12"/>
  <c r="AT24" i="12"/>
  <c r="AT388" i="12" s="1"/>
  <c r="AT262" i="6"/>
  <c r="AT261" i="6"/>
  <c r="AT203" i="6"/>
  <c r="AT199" i="6"/>
  <c r="AT189" i="6"/>
  <c r="AT184" i="6"/>
  <c r="AT178" i="6"/>
  <c r="AT208" i="6"/>
  <c r="AT108" i="6"/>
  <c r="AT175" i="6"/>
  <c r="AT198" i="6"/>
  <c r="AT83" i="6"/>
  <c r="AT202" i="6"/>
  <c r="AT230" i="6"/>
  <c r="AT7" i="6"/>
  <c r="AT248" i="12" l="1"/>
  <c r="AT238" i="2"/>
  <c r="AT144" i="2"/>
  <c r="AT143" i="12"/>
  <c r="AT258" i="6" s="1"/>
  <c r="AT378" i="12"/>
  <c r="AT224" i="2"/>
  <c r="AT207" i="6"/>
  <c r="AT111" i="2"/>
  <c r="AT92" i="2"/>
  <c r="AT7" i="2"/>
  <c r="AT6" i="2" s="1"/>
  <c r="AT101" i="2"/>
  <c r="AT71" i="2"/>
  <c r="AT168" i="6"/>
  <c r="AT93" i="2"/>
  <c r="AT212" i="2"/>
  <c r="AT204" i="2"/>
  <c r="AT176" i="12"/>
  <c r="AT205" i="12"/>
  <c r="AT250" i="12" s="1"/>
  <c r="AT298" i="12" s="1"/>
  <c r="AT253" i="12"/>
  <c r="AT355" i="12"/>
  <c r="AT84" i="6"/>
  <c r="AT204" i="12"/>
  <c r="AT26" i="2"/>
  <c r="AT227" i="2" s="1"/>
  <c r="AT56" i="2"/>
  <c r="AT218" i="2" s="1"/>
  <c r="AT217" i="2" s="1"/>
  <c r="AT122" i="2"/>
  <c r="AT161" i="2"/>
  <c r="AT67" i="6"/>
  <c r="AT201" i="6" s="1"/>
  <c r="AT200" i="6" s="1"/>
  <c r="AT31" i="12"/>
  <c r="AT389" i="12" s="1"/>
  <c r="AT163" i="12"/>
  <c r="AT97" i="6"/>
  <c r="AT55" i="12"/>
  <c r="AT155" i="12"/>
  <c r="AT226" i="12"/>
  <c r="AT426" i="12"/>
  <c r="BA432" i="12" s="1"/>
  <c r="AT77" i="2"/>
  <c r="AT71" i="12"/>
  <c r="AT372" i="12" s="1"/>
  <c r="AT371" i="12" s="1"/>
  <c r="AT192" i="12"/>
  <c r="AT217" i="12"/>
  <c r="AT315" i="12"/>
  <c r="AX315" i="12" s="1"/>
  <c r="AT87" i="12"/>
  <c r="AT131" i="12"/>
  <c r="AT149" i="12"/>
  <c r="AT170" i="12"/>
  <c r="AT208" i="12"/>
  <c r="AT261" i="12"/>
  <c r="AT147" i="2"/>
  <c r="AT115" i="6"/>
  <c r="AT150" i="12"/>
  <c r="AT86" i="2"/>
  <c r="AT206" i="12"/>
  <c r="AT303" i="12"/>
  <c r="AT87" i="2"/>
  <c r="AT95" i="2"/>
  <c r="AT88" i="2"/>
  <c r="AT94" i="2"/>
  <c r="AT120" i="2"/>
  <c r="AT143" i="2"/>
  <c r="AT153" i="2"/>
  <c r="AT190" i="2"/>
  <c r="AT321" i="12"/>
  <c r="AT88" i="12"/>
  <c r="AT89" i="12"/>
  <c r="AT148" i="12"/>
  <c r="AT7" i="12"/>
  <c r="AT109" i="12"/>
  <c r="AT38" i="12"/>
  <c r="AT322" i="12"/>
  <c r="AU322" i="12" s="1"/>
  <c r="AT94" i="12"/>
  <c r="AT226" i="6"/>
  <c r="AT177" i="6"/>
  <c r="AT229" i="6"/>
  <c r="AT140" i="12" l="1"/>
  <c r="AT366" i="12" s="1"/>
  <c r="AT86" i="12"/>
  <c r="AT199" i="12"/>
  <c r="AU321" i="12"/>
  <c r="AU396" i="12" s="1"/>
  <c r="AT377" i="12"/>
  <c r="AT369" i="12"/>
  <c r="AT408" i="12" s="1"/>
  <c r="AT142" i="12"/>
  <c r="AT302" i="12"/>
  <c r="AT206" i="6"/>
  <c r="AT174" i="2"/>
  <c r="AT283" i="6" s="1"/>
  <c r="AT152" i="2"/>
  <c r="AT169" i="2"/>
  <c r="AT305" i="6" s="1"/>
  <c r="AT251" i="12"/>
  <c r="AT364" i="12"/>
  <c r="AT189" i="2"/>
  <c r="AT237" i="2" s="1"/>
  <c r="AT141" i="12"/>
  <c r="AT249" i="12"/>
  <c r="AT297" i="12" s="1"/>
  <c r="AT117" i="2"/>
  <c r="AT96" i="6"/>
  <c r="AT112" i="6" s="1"/>
  <c r="AT288" i="12"/>
  <c r="AT264" i="6"/>
  <c r="AT248" i="2"/>
  <c r="AT25" i="2"/>
  <c r="AT226" i="2"/>
  <c r="AT225" i="2" s="1"/>
  <c r="AT231" i="2" s="1"/>
  <c r="AT228" i="2" s="1"/>
  <c r="AT237" i="6"/>
  <c r="AT89" i="2"/>
  <c r="AT263" i="6"/>
  <c r="AT422" i="12"/>
  <c r="BA428" i="12" s="1"/>
  <c r="AT147" i="12"/>
  <c r="AT37" i="12"/>
  <c r="AT6" i="12"/>
  <c r="AT146" i="2"/>
  <c r="AT145" i="2"/>
  <c r="AT83" i="2"/>
  <c r="AT168" i="2"/>
  <c r="AT173" i="2"/>
  <c r="AT255" i="6"/>
  <c r="AT245" i="12"/>
  <c r="AT294" i="12" s="1"/>
  <c r="AT396" i="12"/>
  <c r="AT385" i="12"/>
  <c r="AT386" i="12"/>
  <c r="AO183" i="2"/>
  <c r="AO182" i="2"/>
  <c r="AO181" i="2"/>
  <c r="AP183" i="2"/>
  <c r="AP182" i="2"/>
  <c r="AP181" i="2"/>
  <c r="AP313" i="6"/>
  <c r="AP312" i="6"/>
  <c r="AP293" i="6"/>
  <c r="AP291" i="6"/>
  <c r="AP290" i="6"/>
  <c r="AP271" i="6"/>
  <c r="AP270" i="6"/>
  <c r="AP269" i="6"/>
  <c r="AP174" i="6"/>
  <c r="AP185" i="6"/>
  <c r="AP186" i="6"/>
  <c r="AP190" i="6"/>
  <c r="AP191" i="6"/>
  <c r="AP192" i="6"/>
  <c r="AP193" i="6"/>
  <c r="AP194" i="6"/>
  <c r="AP212" i="6"/>
  <c r="AP213" i="6"/>
  <c r="AP214" i="6"/>
  <c r="AP220" i="6"/>
  <c r="AP221" i="6"/>
  <c r="AP223" i="6"/>
  <c r="AP224" i="6"/>
  <c r="AP233" i="6"/>
  <c r="AP88" i="6"/>
  <c r="AP89" i="6"/>
  <c r="AP93" i="6"/>
  <c r="AP101" i="6"/>
  <c r="AP102" i="6"/>
  <c r="AP104" i="6"/>
  <c r="AP113" i="6"/>
  <c r="AP118" i="6"/>
  <c r="AP120" i="6"/>
  <c r="AT257" i="6" l="1"/>
  <c r="AT247" i="12"/>
  <c r="AT296" i="12" s="1"/>
  <c r="AU377" i="12"/>
  <c r="AU375" i="12" s="1"/>
  <c r="AU395" i="12" s="1"/>
  <c r="AU394" i="12" s="1"/>
  <c r="AU393" i="12" s="1"/>
  <c r="AU391" i="12" s="1"/>
  <c r="AT368" i="12"/>
  <c r="AT407" i="12" s="1"/>
  <c r="AT223" i="2"/>
  <c r="AT259" i="6"/>
  <c r="AT370" i="12"/>
  <c r="AT409" i="12" s="1"/>
  <c r="AT205" i="6"/>
  <c r="AT285" i="12"/>
  <c r="AT296" i="6" s="1"/>
  <c r="AT290" i="12"/>
  <c r="AT256" i="6"/>
  <c r="AT260" i="6"/>
  <c r="AT246" i="12"/>
  <c r="AT295" i="12" s="1"/>
  <c r="AT139" i="12"/>
  <c r="AT367" i="12"/>
  <c r="AT299" i="6"/>
  <c r="AT289" i="12"/>
  <c r="AT291" i="12"/>
  <c r="AT176" i="2"/>
  <c r="AT197" i="6"/>
  <c r="AT119" i="6"/>
  <c r="AT384" i="12"/>
  <c r="AT390" i="12" s="1"/>
  <c r="AT387" i="12" s="1"/>
  <c r="AT171" i="2"/>
  <c r="AT245" i="2"/>
  <c r="AT142" i="2"/>
  <c r="AT170" i="2"/>
  <c r="AT175" i="2"/>
  <c r="AT282" i="6"/>
  <c r="AT304" i="6"/>
  <c r="AT293" i="12" l="1"/>
  <c r="AT363" i="12"/>
  <c r="AT362" i="12" s="1"/>
  <c r="AT244" i="12"/>
  <c r="AT376" i="12" s="1"/>
  <c r="AT375" i="12" s="1"/>
  <c r="AT254" i="6"/>
  <c r="AT253" i="6" s="1"/>
  <c r="AT274" i="6"/>
  <c r="AT421" i="12"/>
  <c r="AT121" i="6"/>
  <c r="AT218" i="6" s="1"/>
  <c r="AT420" i="12"/>
  <c r="AT300" i="6"/>
  <c r="AT286" i="12"/>
  <c r="AT301" i="6"/>
  <c r="AT285" i="6"/>
  <c r="AT406" i="12"/>
  <c r="AT287" i="12"/>
  <c r="AT307" i="6"/>
  <c r="AT302" i="6"/>
  <c r="AT172" i="2"/>
  <c r="AT196" i="6"/>
  <c r="AT204" i="6"/>
  <c r="AT222" i="2"/>
  <c r="AT167" i="2"/>
  <c r="AT252" i="2"/>
  <c r="AT284" i="6"/>
  <c r="AT306" i="6"/>
  <c r="AT256" i="2"/>
  <c r="AT284" i="12" l="1"/>
  <c r="AT294" i="6"/>
  <c r="AT249" i="2"/>
  <c r="AT217" i="6"/>
  <c r="AT303" i="6"/>
  <c r="AT281" i="6"/>
  <c r="AT298" i="6"/>
  <c r="AT419" i="12"/>
  <c r="AT278" i="6"/>
  <c r="AT414" i="12"/>
  <c r="AT272" i="6"/>
  <c r="AT236" i="6"/>
  <c r="AT122" i="6"/>
  <c r="AT249" i="6"/>
  <c r="AT253" i="2"/>
  <c r="AT404" i="12"/>
  <c r="AT247" i="6"/>
  <c r="AT279" i="6"/>
  <c r="AT415" i="12"/>
  <c r="AT221" i="2"/>
  <c r="AT297" i="6"/>
  <c r="AT418" i="12"/>
  <c r="AT412" i="12" l="1"/>
  <c r="AT275" i="6"/>
  <c r="AT295" i="6"/>
  <c r="AT413" i="12"/>
  <c r="AT276" i="6"/>
  <c r="AT416" i="12"/>
  <c r="AT248" i="6"/>
  <c r="AT236" i="2"/>
  <c r="AT235" i="6"/>
  <c r="AT395" i="12"/>
  <c r="AT31" i="6"/>
  <c r="AS38" i="16"/>
  <c r="AS30" i="16"/>
  <c r="AP42" i="16"/>
  <c r="AP23" i="16"/>
  <c r="AP21" i="16"/>
  <c r="AP18" i="16"/>
  <c r="AP12" i="16"/>
  <c r="AP11" i="16"/>
  <c r="AP10" i="16"/>
  <c r="AP9" i="16"/>
  <c r="AP8" i="16"/>
  <c r="AP7" i="16"/>
  <c r="AT235" i="2" l="1"/>
  <c r="AT315" i="6"/>
  <c r="AT234" i="6"/>
  <c r="AT410" i="12"/>
  <c r="AT394" i="12"/>
  <c r="AT273" i="6"/>
  <c r="AT23" i="6"/>
  <c r="AT6" i="6" s="1"/>
  <c r="AT227" i="6"/>
  <c r="AT225" i="6" s="1"/>
  <c r="AT231" i="6" s="1"/>
  <c r="AT228" i="6" s="1"/>
  <c r="AT30" i="6"/>
  <c r="AS13" i="16"/>
  <c r="AT232" i="6" l="1"/>
  <c r="AT393" i="12"/>
  <c r="AT234" i="2"/>
  <c r="AS17" i="16"/>
  <c r="AT391" i="12" l="1"/>
  <c r="AT232" i="2"/>
  <c r="AS36" i="16"/>
  <c r="AP17" i="2" l="1"/>
  <c r="AS220" i="2"/>
  <c r="AP220" i="2" s="1"/>
  <c r="AS219" i="2"/>
  <c r="AS207" i="2"/>
  <c r="AS195" i="2"/>
  <c r="AS192" i="2"/>
  <c r="AS191" i="2"/>
  <c r="AS238" i="2" s="1"/>
  <c r="AS184" i="2"/>
  <c r="AS158" i="2"/>
  <c r="AS155" i="2"/>
  <c r="AS132" i="2"/>
  <c r="AS119" i="2"/>
  <c r="AS144" i="2" s="1"/>
  <c r="AS118" i="2"/>
  <c r="AS143" i="2" s="1"/>
  <c r="AS70" i="2"/>
  <c r="AP233" i="2"/>
  <c r="AP214" i="2"/>
  <c r="AP213" i="2"/>
  <c r="AP211" i="2"/>
  <c r="AP210" i="2"/>
  <c r="AP209" i="2"/>
  <c r="AP208" i="2"/>
  <c r="AP203" i="2"/>
  <c r="AP200" i="2"/>
  <c r="AP197" i="2"/>
  <c r="AP196" i="2"/>
  <c r="AP194" i="2"/>
  <c r="AP193" i="2"/>
  <c r="AP188" i="2"/>
  <c r="AP186" i="2"/>
  <c r="AP185" i="2"/>
  <c r="AP160" i="2"/>
  <c r="AP159" i="2"/>
  <c r="AP157" i="2"/>
  <c r="AP156" i="2"/>
  <c r="AP149" i="2"/>
  <c r="AP148" i="2"/>
  <c r="AP136" i="2"/>
  <c r="AP135" i="2"/>
  <c r="AP134" i="2"/>
  <c r="AP133" i="2"/>
  <c r="AP131" i="2"/>
  <c r="AP129" i="2"/>
  <c r="AP128" i="2"/>
  <c r="AP124" i="2"/>
  <c r="AP123" i="2"/>
  <c r="AP115" i="2"/>
  <c r="AP113" i="2"/>
  <c r="AP112" i="2"/>
  <c r="AP108" i="2"/>
  <c r="AP107" i="2"/>
  <c r="AP103" i="2"/>
  <c r="AP102" i="2"/>
  <c r="AP97" i="2"/>
  <c r="AP96" i="2"/>
  <c r="AP91" i="2"/>
  <c r="AP90" i="2"/>
  <c r="AP85" i="2"/>
  <c r="AP84" i="2"/>
  <c r="AP79" i="2"/>
  <c r="AP78" i="2"/>
  <c r="AP73" i="2"/>
  <c r="AP72" i="2"/>
  <c r="AP70" i="2"/>
  <c r="AS173" i="2" l="1"/>
  <c r="AS169" i="2"/>
  <c r="AS224" i="2"/>
  <c r="AS174" i="2"/>
  <c r="AS168" i="2"/>
  <c r="AP219" i="2"/>
  <c r="AP57" i="12" l="1"/>
  <c r="AS374" i="12"/>
  <c r="AP374" i="12" s="1"/>
  <c r="AS315" i="12"/>
  <c r="AS303" i="12"/>
  <c r="AS85" i="12"/>
  <c r="AP74" i="12"/>
  <c r="AP392" i="12"/>
  <c r="AP353" i="12"/>
  <c r="AP352" i="12"/>
  <c r="AP344" i="12"/>
  <c r="AP343" i="12"/>
  <c r="AP338" i="12"/>
  <c r="AP335" i="12"/>
  <c r="AP332" i="12"/>
  <c r="AP314" i="12"/>
  <c r="AP313" i="12"/>
  <c r="AP312" i="12"/>
  <c r="AP311" i="12"/>
  <c r="AP310" i="12"/>
  <c r="AP272" i="12"/>
  <c r="AP266" i="12"/>
  <c r="AP230" i="12"/>
  <c r="AP221" i="12"/>
  <c r="AP171" i="12"/>
  <c r="AP165" i="12"/>
  <c r="AP164" i="12"/>
  <c r="AP120" i="12"/>
  <c r="AP110" i="12"/>
  <c r="AP85" i="12"/>
  <c r="AS425" i="12"/>
  <c r="AZ431" i="12" s="1"/>
  <c r="AP27" i="12"/>
  <c r="AP26" i="12"/>
  <c r="AP29" i="12"/>
  <c r="AP30" i="12"/>
  <c r="AP34" i="12"/>
  <c r="AP33" i="12"/>
  <c r="AP35" i="12"/>
  <c r="AP36" i="12"/>
  <c r="AP31" i="2"/>
  <c r="AP14" i="12"/>
  <c r="AP11" i="12"/>
  <c r="AP9" i="2"/>
  <c r="AP13" i="2"/>
  <c r="AP35" i="2"/>
  <c r="AP15" i="2"/>
  <c r="AP12" i="2"/>
  <c r="AP13" i="12"/>
  <c r="AP66" i="2"/>
  <c r="AP64" i="12"/>
  <c r="AP45" i="12"/>
  <c r="AP10" i="12"/>
  <c r="AS305" i="6"/>
  <c r="AS304" i="6"/>
  <c r="AS283" i="6"/>
  <c r="AS282" i="6"/>
  <c r="AS262" i="6"/>
  <c r="AS261" i="6"/>
  <c r="AS203" i="6"/>
  <c r="AS199" i="6"/>
  <c r="AS189" i="6"/>
  <c r="AS83" i="6"/>
  <c r="AP83" i="6"/>
  <c r="AP229" i="12" l="1"/>
  <c r="AS161" i="2"/>
  <c r="AP20" i="12"/>
  <c r="AP8" i="12"/>
  <c r="AP82" i="12"/>
  <c r="AP62" i="12"/>
  <c r="AP60" i="12"/>
  <c r="AP58" i="12"/>
  <c r="AP47" i="12"/>
  <c r="AP46" i="12"/>
  <c r="AP43" i="12"/>
  <c r="AP42" i="12"/>
  <c r="AS155" i="12"/>
  <c r="AP32" i="2"/>
  <c r="AP10" i="2"/>
  <c r="AP33" i="2"/>
  <c r="AP23" i="2"/>
  <c r="AS204" i="2"/>
  <c r="AP57" i="2"/>
  <c r="AS95" i="2"/>
  <c r="AP59" i="12"/>
  <c r="AP8" i="2"/>
  <c r="AP73" i="12"/>
  <c r="AS111" i="2"/>
  <c r="AP92" i="6"/>
  <c r="AP78" i="12"/>
  <c r="AP64" i="2"/>
  <c r="AS89" i="12"/>
  <c r="AP8" i="6"/>
  <c r="AP66" i="12"/>
  <c r="AP63" i="12"/>
  <c r="AS268" i="12"/>
  <c r="AP58" i="6"/>
  <c r="AP69" i="12"/>
  <c r="AP54" i="6"/>
  <c r="AP12" i="12"/>
  <c r="AP48" i="6"/>
  <c r="AP19" i="2"/>
  <c r="AP70" i="12"/>
  <c r="AP56" i="12"/>
  <c r="AP54" i="12"/>
  <c r="AS424" i="12"/>
  <c r="AZ430" i="12" s="1"/>
  <c r="AP27" i="2"/>
  <c r="AP39" i="12"/>
  <c r="AP216" i="2"/>
  <c r="AP59" i="6"/>
  <c r="AP14" i="6"/>
  <c r="AS40" i="2"/>
  <c r="AP40" i="2" s="1"/>
  <c r="AP55" i="2"/>
  <c r="AP48" i="12"/>
  <c r="AS229" i="6"/>
  <c r="AP351" i="12"/>
  <c r="AS271" i="12"/>
  <c r="AS192" i="12"/>
  <c r="AS336" i="12"/>
  <c r="AS426" i="12"/>
  <c r="AZ432" i="12" s="1"/>
  <c r="AS153" i="12"/>
  <c r="AS274" i="12"/>
  <c r="AS106" i="2"/>
  <c r="AS92" i="2"/>
  <c r="AP19" i="12"/>
  <c r="AS101" i="2"/>
  <c r="AS91" i="12"/>
  <c r="AS154" i="2"/>
  <c r="AS423" i="12"/>
  <c r="AS20" i="16"/>
  <c r="AP22" i="16"/>
  <c r="AP11" i="6"/>
  <c r="AP12" i="6"/>
  <c r="AP40" i="6"/>
  <c r="AS203" i="12"/>
  <c r="AS248" i="12" s="1"/>
  <c r="AS288" i="12" s="1"/>
  <c r="AS427" i="12"/>
  <c r="AZ433" i="12" s="1"/>
  <c r="AS87" i="12"/>
  <c r="AS31" i="12"/>
  <c r="AP31" i="12" s="1"/>
  <c r="AS24" i="12"/>
  <c r="AS302" i="12"/>
  <c r="AP25" i="12"/>
  <c r="AS153" i="2" l="1"/>
  <c r="AS90" i="12"/>
  <c r="AS327" i="12"/>
  <c r="AS339" i="12"/>
  <c r="AS201" i="12"/>
  <c r="AS87" i="2"/>
  <c r="AS229" i="2"/>
  <c r="AP229" i="2" s="1"/>
  <c r="AS323" i="12"/>
  <c r="AS397" i="12" s="1"/>
  <c r="AS94" i="2"/>
  <c r="AS86" i="2"/>
  <c r="AS248" i="2" s="1"/>
  <c r="AS71" i="2"/>
  <c r="AP27" i="6"/>
  <c r="AS205" i="12"/>
  <c r="AS422" i="12"/>
  <c r="AZ428" i="12" s="1"/>
  <c r="AS208" i="12"/>
  <c r="AS55" i="12"/>
  <c r="AP55" i="12" s="1"/>
  <c r="AS109" i="12"/>
  <c r="AS364" i="12" s="1"/>
  <c r="AS204" i="12"/>
  <c r="AS226" i="12"/>
  <c r="AP32" i="6"/>
  <c r="AS94" i="12"/>
  <c r="AP61" i="6"/>
  <c r="AS365" i="12"/>
  <c r="AP56" i="6"/>
  <c r="AP35" i="6"/>
  <c r="AS148" i="12"/>
  <c r="AP52" i="6"/>
  <c r="AS355" i="12"/>
  <c r="AP38" i="6"/>
  <c r="AP65" i="6"/>
  <c r="AP72" i="12"/>
  <c r="AS144" i="12"/>
  <c r="AS259" i="6" s="1"/>
  <c r="AS7" i="2"/>
  <c r="AP7" i="2" s="1"/>
  <c r="AS206" i="12"/>
  <c r="AS170" i="12"/>
  <c r="AP40" i="12"/>
  <c r="AP33" i="6"/>
  <c r="AP81" i="12"/>
  <c r="AS149" i="12"/>
  <c r="AS150" i="12"/>
  <c r="AS151" i="12"/>
  <c r="AS176" i="12"/>
  <c r="AS93" i="2"/>
  <c r="AS143" i="12"/>
  <c r="AP19" i="6"/>
  <c r="AP22" i="6"/>
  <c r="AS147" i="2"/>
  <c r="AP41" i="6"/>
  <c r="AP41" i="12"/>
  <c r="AP34" i="6"/>
  <c r="AP26" i="6"/>
  <c r="AP20" i="16"/>
  <c r="AS24" i="16"/>
  <c r="AS202" i="12"/>
  <c r="AS127" i="2"/>
  <c r="AS140" i="12"/>
  <c r="AS366" i="12" s="1"/>
  <c r="AS164" i="2"/>
  <c r="AS152" i="2" s="1"/>
  <c r="AS47" i="16"/>
  <c r="AS28" i="16"/>
  <c r="AP80" i="12"/>
  <c r="AS184" i="12"/>
  <c r="AS163" i="12"/>
  <c r="AS265" i="12"/>
  <c r="AS198" i="2"/>
  <c r="AS190" i="2"/>
  <c r="AS152" i="12"/>
  <c r="AS342" i="12"/>
  <c r="AS121" i="2"/>
  <c r="AS322" i="12"/>
  <c r="AS324" i="12"/>
  <c r="AS348" i="12"/>
  <c r="AS330" i="12"/>
  <c r="AS262" i="12"/>
  <c r="AS201" i="2"/>
  <c r="AS333" i="12"/>
  <c r="AP215" i="2"/>
  <c r="AS212" i="2"/>
  <c r="AP212" i="2" s="1"/>
  <c r="AP13" i="6"/>
  <c r="AS217" i="12"/>
  <c r="AS122" i="2"/>
  <c r="AS120" i="2"/>
  <c r="AS142" i="12"/>
  <c r="AS257" i="6" s="1"/>
  <c r="AS184" i="6"/>
  <c r="AS230" i="2"/>
  <c r="AP230" i="2" s="1"/>
  <c r="AP24" i="2"/>
  <c r="AS389" i="12"/>
  <c r="AP389" i="12" s="1"/>
  <c r="AS388" i="12"/>
  <c r="AP388" i="12" s="1"/>
  <c r="AP24" i="12"/>
  <c r="AS299" i="6"/>
  <c r="AS263" i="6" l="1"/>
  <c r="AS370" i="12"/>
  <c r="AS409" i="12" s="1"/>
  <c r="AS230" i="6"/>
  <c r="AS89" i="2"/>
  <c r="AS200" i="12"/>
  <c r="AS245" i="12" s="1"/>
  <c r="AS285" i="12" s="1"/>
  <c r="AS294" i="12" s="1"/>
  <c r="AS226" i="2"/>
  <c r="AP226" i="2" s="1"/>
  <c r="AS178" i="6"/>
  <c r="AS250" i="12"/>
  <c r="AS290" i="12" s="1"/>
  <c r="AS298" i="12" s="1"/>
  <c r="AS251" i="12"/>
  <c r="AS291" i="12" s="1"/>
  <c r="AP34" i="16"/>
  <c r="AS198" i="6"/>
  <c r="AP23" i="12"/>
  <c r="AP68" i="6"/>
  <c r="AS321" i="12"/>
  <c r="AS396" i="12" s="1"/>
  <c r="AP63" i="2"/>
  <c r="AS56" i="2"/>
  <c r="AS258" i="6"/>
  <c r="AS369" i="12"/>
  <c r="AS408" i="12" s="1"/>
  <c r="AS249" i="12"/>
  <c r="AS289" i="12" s="1"/>
  <c r="AS300" i="6" s="1"/>
  <c r="AP53" i="6"/>
  <c r="AP91" i="6"/>
  <c r="AP70" i="6"/>
  <c r="AS253" i="12"/>
  <c r="AS147" i="12"/>
  <c r="AP22" i="2"/>
  <c r="AS261" i="12"/>
  <c r="AS116" i="12"/>
  <c r="AS88" i="12"/>
  <c r="AS71" i="12"/>
  <c r="AS202" i="6"/>
  <c r="AP57" i="6"/>
  <c r="AS380" i="12"/>
  <c r="AP36" i="6"/>
  <c r="AS378" i="12"/>
  <c r="AP9" i="6"/>
  <c r="AS27" i="16"/>
  <c r="AP39" i="6"/>
  <c r="AS131" i="12"/>
  <c r="AS189" i="2"/>
  <c r="AS255" i="6"/>
  <c r="AS117" i="2"/>
  <c r="AP79" i="12"/>
  <c r="AS145" i="2"/>
  <c r="AP37" i="6"/>
  <c r="AS405" i="12"/>
  <c r="AS277" i="6"/>
  <c r="AS247" i="12"/>
  <c r="AS368" i="12"/>
  <c r="AP32" i="16"/>
  <c r="AP31" i="16"/>
  <c r="AP26" i="16"/>
  <c r="AS297" i="12" l="1"/>
  <c r="AS414" i="12" s="1"/>
  <c r="AS280" i="6"/>
  <c r="AS199" i="12"/>
  <c r="AS177" i="6"/>
  <c r="AS377" i="12"/>
  <c r="AS420" i="12"/>
  <c r="AP56" i="2"/>
  <c r="AS218" i="2"/>
  <c r="AP71" i="6"/>
  <c r="AS67" i="6"/>
  <c r="AP67" i="6" s="1"/>
  <c r="AS86" i="12"/>
  <c r="AS139" i="12" s="1"/>
  <c r="AS363" i="12" s="1"/>
  <c r="AS141" i="12"/>
  <c r="AP9" i="12"/>
  <c r="AS7" i="12"/>
  <c r="AP75" i="12"/>
  <c r="AS373" i="12"/>
  <c r="AP373" i="12" s="1"/>
  <c r="AR47" i="16"/>
  <c r="AP47" i="16" s="1"/>
  <c r="AP29" i="16"/>
  <c r="AR38" i="16"/>
  <c r="AP38" i="16" s="1"/>
  <c r="AP33" i="16"/>
  <c r="AS372" i="12"/>
  <c r="AP71" i="12"/>
  <c r="AP21" i="2"/>
  <c r="AS20" i="2"/>
  <c r="AS46" i="16"/>
  <c r="AS37" i="16"/>
  <c r="AP49" i="12"/>
  <c r="AS171" i="6"/>
  <c r="AP44" i="12"/>
  <c r="AS170" i="2"/>
  <c r="AS175" i="2"/>
  <c r="AS237" i="2"/>
  <c r="AS223" i="2"/>
  <c r="AS302" i="6"/>
  <c r="AS287" i="12"/>
  <c r="AS296" i="12" s="1"/>
  <c r="AS301" i="6"/>
  <c r="AS421" i="12"/>
  <c r="AS407" i="12"/>
  <c r="AS417" i="12"/>
  <c r="AS296" i="6"/>
  <c r="AS238" i="6"/>
  <c r="AP50" i="12"/>
  <c r="AR30" i="16"/>
  <c r="AP30" i="16" s="1"/>
  <c r="AP25" i="16"/>
  <c r="AP19" i="16"/>
  <c r="AP16" i="16"/>
  <c r="AP14" i="16"/>
  <c r="AS278" i="6" l="1"/>
  <c r="AS201" i="6"/>
  <c r="AS200" i="6" s="1"/>
  <c r="AS88" i="2"/>
  <c r="AS77" i="2"/>
  <c r="AS175" i="6"/>
  <c r="AS207" i="6" s="1"/>
  <c r="AS217" i="2"/>
  <c r="AP217" i="2" s="1"/>
  <c r="AP218" i="2"/>
  <c r="AS244" i="12"/>
  <c r="AS376" i="12" s="1"/>
  <c r="AS108" i="6"/>
  <c r="AS256" i="6"/>
  <c r="AS254" i="6" s="1"/>
  <c r="AS367" i="12"/>
  <c r="AS406" i="12" s="1"/>
  <c r="AS246" i="12"/>
  <c r="AS286" i="12" s="1"/>
  <c r="AS295" i="12" s="1"/>
  <c r="AS385" i="12"/>
  <c r="AP385" i="12" s="1"/>
  <c r="AP7" i="12"/>
  <c r="AS306" i="6"/>
  <c r="AS256" i="2"/>
  <c r="AS38" i="12"/>
  <c r="AS35" i="16"/>
  <c r="AP20" i="2"/>
  <c r="AS6" i="2"/>
  <c r="AP6" i="2" s="1"/>
  <c r="AS115" i="6"/>
  <c r="AP372" i="12"/>
  <c r="AS371" i="12"/>
  <c r="AP371" i="12" s="1"/>
  <c r="AP10" i="6"/>
  <c r="AS7" i="6"/>
  <c r="AP36" i="2"/>
  <c r="AS26" i="2"/>
  <c r="AR28" i="16"/>
  <c r="AP15" i="16"/>
  <c r="AS284" i="6"/>
  <c r="AS252" i="2"/>
  <c r="AS208" i="6"/>
  <c r="AS411" i="12"/>
  <c r="AS274" i="6"/>
  <c r="AS419" i="12"/>
  <c r="AS298" i="6"/>
  <c r="AS279" i="6"/>
  <c r="AS415" i="12"/>
  <c r="AS362" i="12"/>
  <c r="AS293" i="12" l="1"/>
  <c r="AS146" i="2"/>
  <c r="AS83" i="2"/>
  <c r="AS264" i="6"/>
  <c r="AS260" i="6" s="1"/>
  <c r="AS253" i="6" s="1"/>
  <c r="AP42" i="6"/>
  <c r="AS418" i="12"/>
  <c r="AS284" i="12"/>
  <c r="AS416" i="12" s="1"/>
  <c r="AS297" i="6"/>
  <c r="AS295" i="6" s="1"/>
  <c r="AS168" i="6"/>
  <c r="AS97" i="6"/>
  <c r="AS21" i="12"/>
  <c r="AP38" i="12"/>
  <c r="AS37" i="12"/>
  <c r="AP37" i="12" s="1"/>
  <c r="AS386" i="12"/>
  <c r="AR27" i="16"/>
  <c r="AP28" i="16"/>
  <c r="AS45" i="16"/>
  <c r="AS84" i="6"/>
  <c r="AP26" i="2"/>
  <c r="AS227" i="2"/>
  <c r="AS25" i="2"/>
  <c r="AP25" i="2" s="1"/>
  <c r="AS226" i="6"/>
  <c r="AP7" i="6"/>
  <c r="AP51" i="6"/>
  <c r="AS49" i="6"/>
  <c r="AP49" i="6" s="1"/>
  <c r="AS412" i="12"/>
  <c r="AS275" i="6"/>
  <c r="AS413" i="12"/>
  <c r="AS276" i="6"/>
  <c r="AS404" i="12"/>
  <c r="AS375" i="12"/>
  <c r="AR13" i="16"/>
  <c r="AP13" i="16" s="1"/>
  <c r="AO42" i="16"/>
  <c r="AO23" i="16"/>
  <c r="AO22" i="16"/>
  <c r="AO21" i="16"/>
  <c r="AO18" i="16"/>
  <c r="AO12" i="16"/>
  <c r="AO11" i="16"/>
  <c r="AO10" i="16"/>
  <c r="AO9" i="16"/>
  <c r="AO8" i="16"/>
  <c r="AO7" i="16"/>
  <c r="AS171" i="2" l="1"/>
  <c r="AS307" i="6" s="1"/>
  <c r="AS303" i="6" s="1"/>
  <c r="AS176" i="2"/>
  <c r="AS245" i="2"/>
  <c r="AS142" i="2"/>
  <c r="AP27" i="16"/>
  <c r="AR46" i="16"/>
  <c r="AP46" i="16" s="1"/>
  <c r="AR37" i="16"/>
  <c r="AP37" i="16" s="1"/>
  <c r="AS206" i="6"/>
  <c r="AS237" i="6"/>
  <c r="AS96" i="6"/>
  <c r="AP22" i="12"/>
  <c r="AP21" i="12" s="1"/>
  <c r="AP227" i="2"/>
  <c r="AS225" i="2"/>
  <c r="AP386" i="12"/>
  <c r="AS384" i="12"/>
  <c r="AS44" i="16"/>
  <c r="AS410" i="12"/>
  <c r="AS273" i="6"/>
  <c r="AS395" i="12"/>
  <c r="AR17" i="16"/>
  <c r="AP17" i="16" s="1"/>
  <c r="AS222" i="2" l="1"/>
  <c r="AS221" i="2" s="1"/>
  <c r="AS236" i="2" s="1"/>
  <c r="AS235" i="2" s="1"/>
  <c r="AS167" i="2"/>
  <c r="AS253" i="2" s="1"/>
  <c r="AS285" i="6"/>
  <c r="AS281" i="6" s="1"/>
  <c r="AS172" i="2"/>
  <c r="AS249" i="2" s="1"/>
  <c r="AS231" i="2"/>
  <c r="AP225" i="2"/>
  <c r="AS6" i="12"/>
  <c r="AP6" i="12" s="1"/>
  <c r="AS390" i="12"/>
  <c r="AP384" i="12"/>
  <c r="AS197" i="6"/>
  <c r="AS196" i="6" s="1"/>
  <c r="AS247" i="6" s="1"/>
  <c r="AS112" i="6"/>
  <c r="AS43" i="16"/>
  <c r="AS394" i="12"/>
  <c r="AP43" i="6"/>
  <c r="AS31" i="6"/>
  <c r="AR36" i="16"/>
  <c r="AP36" i="16" s="1"/>
  <c r="AR24" i="16"/>
  <c r="AP24" i="16" s="1"/>
  <c r="AP390" i="12" l="1"/>
  <c r="AS387" i="12"/>
  <c r="AP387" i="12" s="1"/>
  <c r="AS41" i="16"/>
  <c r="AS234" i="2"/>
  <c r="AS119" i="6"/>
  <c r="AS121" i="6" s="1"/>
  <c r="AS205" i="6"/>
  <c r="AS204" i="6" s="1"/>
  <c r="AP231" i="2"/>
  <c r="AS228" i="2"/>
  <c r="AP228" i="2" s="1"/>
  <c r="AS393" i="12"/>
  <c r="AS23" i="6"/>
  <c r="AP24" i="6"/>
  <c r="AS227" i="6"/>
  <c r="AS30" i="6"/>
  <c r="AP30" i="6" s="1"/>
  <c r="AP31" i="6"/>
  <c r="AR35" i="16"/>
  <c r="AP35" i="16" s="1"/>
  <c r="AS236" i="6" l="1"/>
  <c r="AS235" i="6" s="1"/>
  <c r="AS234" i="6" s="1"/>
  <c r="AS232" i="6" s="1"/>
  <c r="AS272" i="6"/>
  <c r="AS122" i="6"/>
  <c r="AS248" i="6" s="1"/>
  <c r="AS232" i="2"/>
  <c r="AS218" i="6"/>
  <c r="AS217" i="6" s="1"/>
  <c r="AS249" i="6"/>
  <c r="AS294" i="6"/>
  <c r="AS315" i="6" s="1"/>
  <c r="AS225" i="6"/>
  <c r="AS391" i="12"/>
  <c r="AP23" i="6"/>
  <c r="AS6" i="6"/>
  <c r="AP6" i="6" s="1"/>
  <c r="AR45" i="16"/>
  <c r="AO34" i="16"/>
  <c r="AL47" i="16"/>
  <c r="AK47" i="16"/>
  <c r="S47" i="16"/>
  <c r="R47" i="16"/>
  <c r="Q47" i="16"/>
  <c r="P47" i="16"/>
  <c r="O47" i="16"/>
  <c r="N47" i="16"/>
  <c r="M47" i="16"/>
  <c r="L47" i="16"/>
  <c r="K47" i="16"/>
  <c r="J47" i="16"/>
  <c r="I47" i="16"/>
  <c r="H47" i="16"/>
  <c r="G47" i="16"/>
  <c r="F47" i="16"/>
  <c r="E47" i="16"/>
  <c r="D47" i="16"/>
  <c r="C47" i="16"/>
  <c r="B47" i="16"/>
  <c r="AN42" i="16"/>
  <c r="Y38" i="16"/>
  <c r="S38" i="16"/>
  <c r="R38" i="16"/>
  <c r="Q38" i="16"/>
  <c r="P38" i="16"/>
  <c r="N38" i="16"/>
  <c r="M38" i="16"/>
  <c r="L38" i="16"/>
  <c r="K38" i="16"/>
  <c r="J38" i="16"/>
  <c r="I38" i="16"/>
  <c r="H38" i="16"/>
  <c r="G38" i="16"/>
  <c r="F38" i="16"/>
  <c r="E38" i="16"/>
  <c r="D38" i="16"/>
  <c r="C38" i="16"/>
  <c r="B38" i="16"/>
  <c r="AN34" i="16"/>
  <c r="T34" i="16"/>
  <c r="V34" i="16"/>
  <c r="AM38" i="16"/>
  <c r="AF38" i="16"/>
  <c r="AE38" i="16"/>
  <c r="X38" i="16"/>
  <c r="W38" i="16"/>
  <c r="V33" i="16"/>
  <c r="V38" i="16" s="1"/>
  <c r="O33" i="16"/>
  <c r="O38" i="16" s="1"/>
  <c r="T32" i="16"/>
  <c r="V32" i="16"/>
  <c r="AO31" i="16"/>
  <c r="V31" i="16"/>
  <c r="S30" i="16"/>
  <c r="S19" i="16" s="1"/>
  <c r="R30" i="16"/>
  <c r="R19" i="16" s="1"/>
  <c r="Q30" i="16"/>
  <c r="Q19" i="16" s="1"/>
  <c r="P30" i="16"/>
  <c r="O30" i="16"/>
  <c r="N30" i="16"/>
  <c r="N19" i="16" s="1"/>
  <c r="M30" i="16"/>
  <c r="M19" i="16" s="1"/>
  <c r="L30" i="16"/>
  <c r="L19" i="16" s="1"/>
  <c r="K30" i="16"/>
  <c r="K19" i="16" s="1"/>
  <c r="J30" i="16"/>
  <c r="J19" i="16" s="1"/>
  <c r="I30" i="16"/>
  <c r="I19" i="16" s="1"/>
  <c r="H30" i="16"/>
  <c r="G30" i="16"/>
  <c r="G19" i="16" s="1"/>
  <c r="F30" i="16"/>
  <c r="F19" i="16" s="1"/>
  <c r="E30" i="16"/>
  <c r="E19" i="16" s="1"/>
  <c r="D30" i="16"/>
  <c r="D19" i="16" s="1"/>
  <c r="C30" i="16"/>
  <c r="C19" i="16" s="1"/>
  <c r="B30" i="16"/>
  <c r="B19" i="16" s="1"/>
  <c r="AM47" i="16"/>
  <c r="AJ47" i="16"/>
  <c r="AF47" i="16"/>
  <c r="AE47" i="16"/>
  <c r="AD47" i="16"/>
  <c r="AC47" i="16"/>
  <c r="X47" i="16"/>
  <c r="W47" i="16"/>
  <c r="V29" i="16"/>
  <c r="V47" i="16" s="1"/>
  <c r="T28" i="16"/>
  <c r="V28" i="16"/>
  <c r="S27" i="16"/>
  <c r="S37" i="16" s="1"/>
  <c r="R27" i="16"/>
  <c r="R46" i="16" s="1"/>
  <c r="P27" i="16"/>
  <c r="P46" i="16" s="1"/>
  <c r="O27" i="16"/>
  <c r="N27" i="16"/>
  <c r="N46" i="16" s="1"/>
  <c r="M27" i="16"/>
  <c r="M46" i="16" s="1"/>
  <c r="L27" i="16"/>
  <c r="L46" i="16" s="1"/>
  <c r="K27" i="16"/>
  <c r="K37" i="16" s="1"/>
  <c r="J27" i="16"/>
  <c r="J46" i="16" s="1"/>
  <c r="I27" i="16"/>
  <c r="I46" i="16" s="1"/>
  <c r="H27" i="16"/>
  <c r="H46" i="16" s="1"/>
  <c r="G27" i="16"/>
  <c r="F27" i="16"/>
  <c r="F46" i="16" s="1"/>
  <c r="E27" i="16"/>
  <c r="E46" i="16" s="1"/>
  <c r="D27" i="16"/>
  <c r="D46" i="16" s="1"/>
  <c r="C27" i="16"/>
  <c r="C37" i="16" s="1"/>
  <c r="B27" i="16"/>
  <c r="B46" i="16" s="1"/>
  <c r="V26" i="16"/>
  <c r="T26" i="16"/>
  <c r="U26" i="16" s="1"/>
  <c r="AO25" i="16"/>
  <c r="AN23" i="16"/>
  <c r="AG23" i="16"/>
  <c r="AH23" i="16" s="1"/>
  <c r="AI23" i="16" s="1"/>
  <c r="Z23" i="16"/>
  <c r="AA23" i="16" s="1"/>
  <c r="AB23" i="16" s="1"/>
  <c r="T23" i="16"/>
  <c r="U23" i="16" s="1"/>
  <c r="O23" i="16"/>
  <c r="AN22" i="16"/>
  <c r="AG22" i="16"/>
  <c r="Z22" i="16"/>
  <c r="T22" i="16"/>
  <c r="U22" i="16" s="1"/>
  <c r="AN21" i="16"/>
  <c r="AG21" i="16"/>
  <c r="AH21" i="16" s="1"/>
  <c r="Z21" i="16"/>
  <c r="T21" i="16"/>
  <c r="U21" i="16" s="1"/>
  <c r="AQ20" i="16"/>
  <c r="AO20" i="16" s="1"/>
  <c r="AM20" i="16"/>
  <c r="AK20" i="16"/>
  <c r="AJ20" i="16"/>
  <c r="AF20" i="16"/>
  <c r="O20" i="16"/>
  <c r="N20" i="16"/>
  <c r="M20" i="16"/>
  <c r="L20" i="16"/>
  <c r="K20" i="16"/>
  <c r="J20" i="16"/>
  <c r="I20" i="16"/>
  <c r="H20" i="16"/>
  <c r="G20" i="16"/>
  <c r="F20" i="16"/>
  <c r="E20" i="16"/>
  <c r="D20" i="16"/>
  <c r="C20" i="16"/>
  <c r="B20" i="16"/>
  <c r="AO19" i="16"/>
  <c r="P19" i="16"/>
  <c r="O19" i="16"/>
  <c r="H19" i="16"/>
  <c r="AN18" i="16"/>
  <c r="T18" i="16"/>
  <c r="V18" i="16"/>
  <c r="Q18" i="16"/>
  <c r="AO16" i="16"/>
  <c r="T16" i="16"/>
  <c r="V16" i="16"/>
  <c r="Q16" i="16"/>
  <c r="AL28" i="16"/>
  <c r="AK27" i="16"/>
  <c r="AJ27" i="16"/>
  <c r="AE27" i="16"/>
  <c r="AD27" i="16"/>
  <c r="AC27" i="16"/>
  <c r="Y27" i="16"/>
  <c r="X27" i="16"/>
  <c r="T15" i="16"/>
  <c r="T27" i="16" s="1"/>
  <c r="V15" i="16"/>
  <c r="V27" i="16" s="1"/>
  <c r="Q15" i="16"/>
  <c r="Q27" i="16" s="1"/>
  <c r="AO14" i="16"/>
  <c r="T14" i="16"/>
  <c r="V14" i="16"/>
  <c r="Q14" i="16"/>
  <c r="S13" i="16"/>
  <c r="S17" i="16" s="1"/>
  <c r="R13" i="16"/>
  <c r="R17" i="16" s="1"/>
  <c r="P13" i="16"/>
  <c r="P17" i="16" s="1"/>
  <c r="O13" i="16"/>
  <c r="O17" i="16" s="1"/>
  <c r="N13" i="16"/>
  <c r="N17" i="16" s="1"/>
  <c r="M13" i="16"/>
  <c r="L13" i="16"/>
  <c r="K13" i="16"/>
  <c r="J13" i="16"/>
  <c r="I13" i="16"/>
  <c r="H13" i="16"/>
  <c r="G13" i="16"/>
  <c r="F13" i="16"/>
  <c r="E13" i="16"/>
  <c r="D13" i="16"/>
  <c r="C13" i="16"/>
  <c r="B13" i="16"/>
  <c r="AN12" i="16"/>
  <c r="AN11" i="16"/>
  <c r="AN10" i="16"/>
  <c r="M10" i="16"/>
  <c r="L10" i="16"/>
  <c r="K10" i="16"/>
  <c r="J10" i="16"/>
  <c r="I10" i="16"/>
  <c r="H10" i="16"/>
  <c r="G10" i="16"/>
  <c r="F10" i="16"/>
  <c r="E10" i="16"/>
  <c r="D10" i="16"/>
  <c r="C10" i="16"/>
  <c r="B10" i="16"/>
  <c r="AN9" i="16"/>
  <c r="M9" i="16"/>
  <c r="L9" i="16"/>
  <c r="K9" i="16"/>
  <c r="J9" i="16"/>
  <c r="I9" i="16"/>
  <c r="H9" i="16"/>
  <c r="G9" i="16"/>
  <c r="F9" i="16"/>
  <c r="E9" i="16"/>
  <c r="D9" i="16"/>
  <c r="C9" i="16"/>
  <c r="B9" i="16"/>
  <c r="AN8" i="16"/>
  <c r="AN7" i="16"/>
  <c r="F17" i="16" l="1"/>
  <c r="AA22" i="16"/>
  <c r="AB22" i="16" s="1"/>
  <c r="V13" i="16"/>
  <c r="V17" i="16" s="1"/>
  <c r="AR44" i="16"/>
  <c r="AP45" i="16"/>
  <c r="V30" i="16"/>
  <c r="V19" i="16" s="1"/>
  <c r="V24" i="16" s="1"/>
  <c r="AS231" i="6"/>
  <c r="AN15" i="16"/>
  <c r="AE30" i="16"/>
  <c r="AE19" i="16" s="1"/>
  <c r="AJ13" i="16"/>
  <c r="AJ17" i="16" s="1"/>
  <c r="AJ36" i="16" s="1"/>
  <c r="AG31" i="16"/>
  <c r="AQ38" i="16"/>
  <c r="AO33" i="16"/>
  <c r="AN26" i="16"/>
  <c r="AO26" i="16"/>
  <c r="AQ30" i="16"/>
  <c r="AO30" i="16" s="1"/>
  <c r="AO32" i="16"/>
  <c r="AQ28" i="16"/>
  <c r="AQ27" i="16" s="1"/>
  <c r="AO15" i="16"/>
  <c r="AQ47" i="16"/>
  <c r="AO47" i="16" s="1"/>
  <c r="AO29" i="16"/>
  <c r="AD13" i="16"/>
  <c r="AD17" i="16" s="1"/>
  <c r="AD36" i="16" s="1"/>
  <c r="Q13" i="16"/>
  <c r="Q17" i="16" s="1"/>
  <c r="Q36" i="16" s="1"/>
  <c r="AG16" i="16"/>
  <c r="AH16" i="16" s="1"/>
  <c r="AI16" i="16" s="1"/>
  <c r="AA21" i="16"/>
  <c r="AB21" i="16" s="1"/>
  <c r="W30" i="16"/>
  <c r="W19" i="16" s="1"/>
  <c r="AK30" i="16"/>
  <c r="AK19" i="16" s="1"/>
  <c r="AL30" i="16"/>
  <c r="AL19" i="16" s="1"/>
  <c r="AG14" i="16"/>
  <c r="AH14" i="16" s="1"/>
  <c r="AN25" i="16"/>
  <c r="AC30" i="16"/>
  <c r="AC19" i="16" s="1"/>
  <c r="AG33" i="16"/>
  <c r="AG38" i="16" s="1"/>
  <c r="G17" i="16"/>
  <c r="G24" i="16" s="1"/>
  <c r="T13" i="16"/>
  <c r="T17" i="16" s="1"/>
  <c r="T36" i="16" s="1"/>
  <c r="Z18" i="16"/>
  <c r="AG24" i="16"/>
  <c r="AD30" i="16"/>
  <c r="AD19" i="16" s="1"/>
  <c r="C46" i="16"/>
  <c r="AQ13" i="16"/>
  <c r="AM27" i="16"/>
  <c r="AM46" i="16" s="1"/>
  <c r="U14" i="16"/>
  <c r="Y13" i="16"/>
  <c r="Y17" i="16" s="1"/>
  <c r="Y36" i="16" s="1"/>
  <c r="Z31" i="16"/>
  <c r="AA31" i="16" s="1"/>
  <c r="AB31" i="16" s="1"/>
  <c r="AN31" i="16"/>
  <c r="U34" i="16"/>
  <c r="E17" i="16"/>
  <c r="E36" i="16" s="1"/>
  <c r="M17" i="16"/>
  <c r="M36" i="16" s="1"/>
  <c r="AF13" i="16"/>
  <c r="AF17" i="16" s="1"/>
  <c r="AF36" i="16" s="1"/>
  <c r="AI21" i="16"/>
  <c r="AG29" i="16"/>
  <c r="AH29" i="16" s="1"/>
  <c r="AL13" i="16"/>
  <c r="AL17" i="16" s="1"/>
  <c r="AL36" i="16" s="1"/>
  <c r="H17" i="16"/>
  <c r="H36" i="16" s="1"/>
  <c r="AG18" i="16"/>
  <c r="AH18" i="16" s="1"/>
  <c r="AI18" i="16" s="1"/>
  <c r="T31" i="16"/>
  <c r="U31" i="16" s="1"/>
  <c r="AF30" i="16"/>
  <c r="AF19" i="16" s="1"/>
  <c r="U32" i="16"/>
  <c r="Z16" i="16"/>
  <c r="AA16" i="16" s="1"/>
  <c r="AB16" i="16" s="1"/>
  <c r="AN20" i="16"/>
  <c r="AD20" i="16"/>
  <c r="AN32" i="16"/>
  <c r="AG34" i="16"/>
  <c r="AH34" i="16" s="1"/>
  <c r="AI34" i="16" s="1"/>
  <c r="AC13" i="16"/>
  <c r="AC17" i="16" s="1"/>
  <c r="AC36" i="16" s="1"/>
  <c r="AN14" i="16"/>
  <c r="Z28" i="16"/>
  <c r="AA28" i="16" s="1"/>
  <c r="K46" i="16"/>
  <c r="T33" i="16"/>
  <c r="T38" i="16" s="1"/>
  <c r="S46" i="16"/>
  <c r="AA18" i="16"/>
  <c r="AB18" i="16" s="1"/>
  <c r="AG26" i="16"/>
  <c r="AH26" i="16" s="1"/>
  <c r="AI26" i="16" s="1"/>
  <c r="T29" i="16"/>
  <c r="T47" i="16" s="1"/>
  <c r="Y30" i="16"/>
  <c r="Y19" i="16" s="1"/>
  <c r="X30" i="16"/>
  <c r="X19" i="16" s="1"/>
  <c r="AG32" i="16"/>
  <c r="AH32" i="16" s="1"/>
  <c r="AI32" i="16" s="1"/>
  <c r="D17" i="16"/>
  <c r="D24" i="16" s="1"/>
  <c r="L17" i="16"/>
  <c r="L24" i="16" s="1"/>
  <c r="AL20" i="16"/>
  <c r="Z34" i="16"/>
  <c r="AA34" i="16" s="1"/>
  <c r="AB34" i="16" s="1"/>
  <c r="U16" i="16"/>
  <c r="AN33" i="16"/>
  <c r="AN16" i="16"/>
  <c r="Z26" i="16"/>
  <c r="AA26" i="16" s="1"/>
  <c r="AB26" i="16" s="1"/>
  <c r="Z32" i="16"/>
  <c r="AA32" i="16" s="1"/>
  <c r="AB32" i="16" s="1"/>
  <c r="V36" i="16"/>
  <c r="AE46" i="16"/>
  <c r="AE37" i="16"/>
  <c r="O24" i="16"/>
  <c r="O36" i="16"/>
  <c r="F24" i="16"/>
  <c r="F36" i="16"/>
  <c r="N24" i="16"/>
  <c r="N36" i="16"/>
  <c r="Z33" i="16"/>
  <c r="Z38" i="16" s="1"/>
  <c r="AC38" i="16"/>
  <c r="AE13" i="16"/>
  <c r="AE17" i="16" s="1"/>
  <c r="AE36" i="16" s="1"/>
  <c r="AM13" i="16"/>
  <c r="AM17" i="16" s="1"/>
  <c r="U15" i="16"/>
  <c r="U27" i="16" s="1"/>
  <c r="AF27" i="16"/>
  <c r="AG15" i="16"/>
  <c r="AG27" i="16" s="1"/>
  <c r="W27" i="16"/>
  <c r="W13" i="16"/>
  <c r="W17" i="16" s="1"/>
  <c r="V46" i="16"/>
  <c r="V37" i="16"/>
  <c r="AJ46" i="16"/>
  <c r="AJ37" i="16"/>
  <c r="AG20" i="16"/>
  <c r="AH22" i="16"/>
  <c r="AI22" i="16" s="1"/>
  <c r="X13" i="16"/>
  <c r="X17" i="16" s="1"/>
  <c r="Z14" i="16"/>
  <c r="AA14" i="16" s="1"/>
  <c r="AB14" i="16" s="1"/>
  <c r="T46" i="16"/>
  <c r="T37" i="16"/>
  <c r="AK46" i="16"/>
  <c r="AK37" i="16"/>
  <c r="X46" i="16"/>
  <c r="X37" i="16"/>
  <c r="AL27" i="16"/>
  <c r="Q46" i="16"/>
  <c r="Q37" i="16"/>
  <c r="I17" i="16"/>
  <c r="Y46" i="16"/>
  <c r="Y37" i="16"/>
  <c r="Y35" i="16" s="1"/>
  <c r="G46" i="16"/>
  <c r="G37" i="16"/>
  <c r="O46" i="16"/>
  <c r="O37" i="16"/>
  <c r="AG28" i="16"/>
  <c r="AH28" i="16" s="1"/>
  <c r="AI28" i="16" s="1"/>
  <c r="AH31" i="16"/>
  <c r="AK38" i="16"/>
  <c r="B17" i="16"/>
  <c r="J17" i="16"/>
  <c r="R36" i="16"/>
  <c r="R24" i="16"/>
  <c r="AC46" i="16"/>
  <c r="AC37" i="16"/>
  <c r="Y47" i="16"/>
  <c r="Z29" i="16"/>
  <c r="P24" i="16"/>
  <c r="P36" i="16"/>
  <c r="C17" i="16"/>
  <c r="K17" i="16"/>
  <c r="S36" i="16"/>
  <c r="S35" i="16" s="1"/>
  <c r="S24" i="16"/>
  <c r="AK13" i="16"/>
  <c r="AK17" i="16" s="1"/>
  <c r="AK36" i="16" s="1"/>
  <c r="AD46" i="16"/>
  <c r="AD37" i="16"/>
  <c r="U18" i="16"/>
  <c r="U28" i="16"/>
  <c r="D37" i="16"/>
  <c r="L37" i="16"/>
  <c r="Z15" i="16"/>
  <c r="AE20" i="16"/>
  <c r="AJ30" i="16"/>
  <c r="AJ19" i="16" s="1"/>
  <c r="E37" i="16"/>
  <c r="M37" i="16"/>
  <c r="AJ38" i="16"/>
  <c r="F37" i="16"/>
  <c r="N37" i="16"/>
  <c r="AD38" i="16"/>
  <c r="AL38" i="16"/>
  <c r="AN29" i="16"/>
  <c r="AM30" i="16"/>
  <c r="AM19" i="16" s="1"/>
  <c r="AN19" i="16" s="1"/>
  <c r="H37" i="16"/>
  <c r="P37" i="16"/>
  <c r="I37" i="16"/>
  <c r="B37" i="16"/>
  <c r="J37" i="16"/>
  <c r="R37" i="16"/>
  <c r="Q24" i="16" l="1"/>
  <c r="H24" i="16"/>
  <c r="U29" i="16"/>
  <c r="U47" i="16" s="1"/>
  <c r="M24" i="16"/>
  <c r="AG47" i="16"/>
  <c r="G36" i="16"/>
  <c r="G35" i="16" s="1"/>
  <c r="G45" i="16" s="1"/>
  <c r="G44" i="16" s="1"/>
  <c r="G43" i="16" s="1"/>
  <c r="G41" i="16" s="1"/>
  <c r="AN28" i="16"/>
  <c r="AR43" i="16"/>
  <c r="AP44" i="16"/>
  <c r="AS228" i="6"/>
  <c r="AM37" i="16"/>
  <c r="Q35" i="16"/>
  <c r="Q45" i="16" s="1"/>
  <c r="Q44" i="16" s="1"/>
  <c r="Q43" i="16" s="1"/>
  <c r="Q41" i="16" s="1"/>
  <c r="E24" i="16"/>
  <c r="AA33" i="16"/>
  <c r="AA38" i="16" s="1"/>
  <c r="AB30" i="16"/>
  <c r="AB19" i="16" s="1"/>
  <c r="AH33" i="16"/>
  <c r="AH38" i="16" s="1"/>
  <c r="AO28" i="16"/>
  <c r="AO27" i="16"/>
  <c r="AN27" i="16"/>
  <c r="AQ46" i="16"/>
  <c r="AO46" i="16" s="1"/>
  <c r="AQ37" i="16"/>
  <c r="AO37" i="16" s="1"/>
  <c r="U30" i="16"/>
  <c r="U19" i="16" s="1"/>
  <c r="AN38" i="16"/>
  <c r="AO38" i="16"/>
  <c r="AN47" i="16"/>
  <c r="S45" i="16"/>
  <c r="S44" i="16" s="1"/>
  <c r="S43" i="16" s="1"/>
  <c r="S41" i="16" s="1"/>
  <c r="Y45" i="16"/>
  <c r="Y44" i="16" s="1"/>
  <c r="Y43" i="16" s="1"/>
  <c r="Y41" i="16" s="1"/>
  <c r="AG30" i="16"/>
  <c r="AG19" i="16" s="1"/>
  <c r="AQ17" i="16"/>
  <c r="AO13" i="16"/>
  <c r="U33" i="16"/>
  <c r="U38" i="16" s="1"/>
  <c r="T30" i="16"/>
  <c r="T19" i="16" s="1"/>
  <c r="T24" i="16" s="1"/>
  <c r="AB28" i="16"/>
  <c r="AK35" i="16"/>
  <c r="D36" i="16"/>
  <c r="D35" i="16" s="1"/>
  <c r="D45" i="16" s="1"/>
  <c r="D44" i="16" s="1"/>
  <c r="D43" i="16" s="1"/>
  <c r="D41" i="16" s="1"/>
  <c r="AE35" i="16"/>
  <c r="L36" i="16"/>
  <c r="L35" i="16" s="1"/>
  <c r="L45" i="16" s="1"/>
  <c r="L44" i="16" s="1"/>
  <c r="L43" i="16" s="1"/>
  <c r="L41" i="16" s="1"/>
  <c r="AA30" i="16"/>
  <c r="AA19" i="16" s="1"/>
  <c r="AD35" i="16"/>
  <c r="M35" i="16"/>
  <c r="M45" i="16" s="1"/>
  <c r="M44" i="16" s="1"/>
  <c r="M43" i="16" s="1"/>
  <c r="M41" i="16" s="1"/>
  <c r="AH15" i="16"/>
  <c r="AH27" i="16" s="1"/>
  <c r="U13" i="16"/>
  <c r="U17" i="16" s="1"/>
  <c r="U36" i="16" s="1"/>
  <c r="Z30" i="16"/>
  <c r="Z19" i="16" s="1"/>
  <c r="AN13" i="16"/>
  <c r="AC35" i="16"/>
  <c r="T35" i="16"/>
  <c r="AJ35" i="16"/>
  <c r="V35" i="16"/>
  <c r="F35" i="16"/>
  <c r="F45" i="16" s="1"/>
  <c r="F44" i="16" s="1"/>
  <c r="F43" i="16" s="1"/>
  <c r="F41" i="16" s="1"/>
  <c r="AA29" i="16"/>
  <c r="Z47" i="16"/>
  <c r="AH30" i="16"/>
  <c r="AH19" i="16" s="1"/>
  <c r="AI31" i="16"/>
  <c r="AI30" i="16" s="1"/>
  <c r="AI19" i="16" s="1"/>
  <c r="Z13" i="16"/>
  <c r="Z17" i="16" s="1"/>
  <c r="Z36" i="16" s="1"/>
  <c r="W46" i="16"/>
  <c r="W37" i="16"/>
  <c r="R35" i="16"/>
  <c r="W24" i="16"/>
  <c r="W36" i="16"/>
  <c r="AG46" i="16"/>
  <c r="AG37" i="16"/>
  <c r="O35" i="16"/>
  <c r="O45" i="16" s="1"/>
  <c r="O44" i="16" s="1"/>
  <c r="O43" i="16" s="1"/>
  <c r="O41" i="16" s="1"/>
  <c r="K36" i="16"/>
  <c r="K35" i="16" s="1"/>
  <c r="K45" i="16" s="1"/>
  <c r="K44" i="16" s="1"/>
  <c r="K43" i="16" s="1"/>
  <c r="K41" i="16" s="1"/>
  <c r="K24" i="16"/>
  <c r="J36" i="16"/>
  <c r="J35" i="16" s="1"/>
  <c r="J45" i="16" s="1"/>
  <c r="J44" i="16" s="1"/>
  <c r="J43" i="16" s="1"/>
  <c r="J41" i="16" s="1"/>
  <c r="J24" i="16"/>
  <c r="I36" i="16"/>
  <c r="I35" i="16" s="1"/>
  <c r="I45" i="16" s="1"/>
  <c r="I44" i="16" s="1"/>
  <c r="I43" i="16" s="1"/>
  <c r="I41" i="16" s="1"/>
  <c r="I24" i="16"/>
  <c r="E35" i="16"/>
  <c r="E45" i="16" s="1"/>
  <c r="E44" i="16" s="1"/>
  <c r="E43" i="16" s="1"/>
  <c r="E41" i="16" s="1"/>
  <c r="AF46" i="16"/>
  <c r="AF37" i="16"/>
  <c r="AF35" i="16" s="1"/>
  <c r="AL46" i="16"/>
  <c r="AL37" i="16"/>
  <c r="AL35" i="16" s="1"/>
  <c r="AI14" i="16"/>
  <c r="AH13" i="16"/>
  <c r="AH17" i="16" s="1"/>
  <c r="AH36" i="16" s="1"/>
  <c r="H35" i="16"/>
  <c r="H45" i="16" s="1"/>
  <c r="H44" i="16" s="1"/>
  <c r="H43" i="16" s="1"/>
  <c r="H41" i="16" s="1"/>
  <c r="X24" i="16"/>
  <c r="X36" i="16"/>
  <c r="X35" i="16" s="1"/>
  <c r="U46" i="16"/>
  <c r="U37" i="16"/>
  <c r="AG13" i="16"/>
  <c r="AG17" i="16" s="1"/>
  <c r="AG36" i="16" s="1"/>
  <c r="Z27" i="16"/>
  <c r="AA15" i="16"/>
  <c r="C36" i="16"/>
  <c r="C35" i="16" s="1"/>
  <c r="C45" i="16" s="1"/>
  <c r="C44" i="16" s="1"/>
  <c r="C43" i="16" s="1"/>
  <c r="C41" i="16" s="1"/>
  <c r="C24" i="16"/>
  <c r="B36" i="16"/>
  <c r="B35" i="16" s="1"/>
  <c r="B45" i="16" s="1"/>
  <c r="B44" i="16" s="1"/>
  <c r="B43" i="16" s="1"/>
  <c r="B41" i="16" s="1"/>
  <c r="B24" i="16"/>
  <c r="AN30" i="16"/>
  <c r="P35" i="16"/>
  <c r="P45" i="16" s="1"/>
  <c r="P44" i="16" s="1"/>
  <c r="P43" i="16" s="1"/>
  <c r="P41" i="16" s="1"/>
  <c r="AI29" i="16"/>
  <c r="AI47" i="16" s="1"/>
  <c r="AH47" i="16"/>
  <c r="AM24" i="16"/>
  <c r="AM36" i="16"/>
  <c r="N35" i="16"/>
  <c r="N45" i="16" s="1"/>
  <c r="N44" i="16" s="1"/>
  <c r="N43" i="16" s="1"/>
  <c r="N41" i="16" s="1"/>
  <c r="AN46" i="16" l="1"/>
  <c r="AB33" i="16"/>
  <c r="AB38" i="16" s="1"/>
  <c r="AM35" i="16"/>
  <c r="AM45" i="16" s="1"/>
  <c r="AM44" i="16" s="1"/>
  <c r="AM43" i="16" s="1"/>
  <c r="AM41" i="16" s="1"/>
  <c r="AI33" i="16"/>
  <c r="AI38" i="16" s="1"/>
  <c r="AR41" i="16"/>
  <c r="AP41" i="16" s="1"/>
  <c r="AP43" i="16"/>
  <c r="AN37" i="16"/>
  <c r="AO17" i="16"/>
  <c r="AQ36" i="16"/>
  <c r="AN36" i="16" s="1"/>
  <c r="AQ24" i="16"/>
  <c r="AO24" i="16" s="1"/>
  <c r="X45" i="16"/>
  <c r="X44" i="16" s="1"/>
  <c r="X43" i="16" s="1"/>
  <c r="X41" i="16" s="1"/>
  <c r="AE45" i="16"/>
  <c r="AE44" i="16" s="1"/>
  <c r="AE43" i="16" s="1"/>
  <c r="AE41" i="16" s="1"/>
  <c r="AN17" i="16"/>
  <c r="V45" i="16"/>
  <c r="V44" i="16" s="1"/>
  <c r="V43" i="16" s="1"/>
  <c r="V41" i="16" s="1"/>
  <c r="AK45" i="16"/>
  <c r="AK44" i="16" s="1"/>
  <c r="AK43" i="16" s="1"/>
  <c r="AK41" i="16" s="1"/>
  <c r="AD45" i="16"/>
  <c r="AD44" i="16" s="1"/>
  <c r="AD43" i="16" s="1"/>
  <c r="AD41" i="16" s="1"/>
  <c r="R45" i="16"/>
  <c r="R44" i="16" s="1"/>
  <c r="R43" i="16" s="1"/>
  <c r="R41" i="16" s="1"/>
  <c r="T45" i="16"/>
  <c r="T44" i="16" s="1"/>
  <c r="T43" i="16" s="1"/>
  <c r="T41" i="16" s="1"/>
  <c r="AL45" i="16"/>
  <c r="AL44" i="16" s="1"/>
  <c r="AL43" i="16" s="1"/>
  <c r="AL41" i="16" s="1"/>
  <c r="AJ45" i="16"/>
  <c r="AJ44" i="16" s="1"/>
  <c r="AJ43" i="16" s="1"/>
  <c r="AJ41" i="16" s="1"/>
  <c r="AF45" i="16"/>
  <c r="AF44" i="16" s="1"/>
  <c r="AF43" i="16" s="1"/>
  <c r="AF41" i="16" s="1"/>
  <c r="AC45" i="16"/>
  <c r="AC44" i="16" s="1"/>
  <c r="AC43" i="16" s="1"/>
  <c r="AC41" i="16" s="1"/>
  <c r="AI15" i="16"/>
  <c r="AI27" i="16" s="1"/>
  <c r="AI46" i="16" s="1"/>
  <c r="AG35" i="16"/>
  <c r="U24" i="16"/>
  <c r="AA27" i="16"/>
  <c r="AB15" i="16"/>
  <c r="AA13" i="16"/>
  <c r="AA17" i="16" s="1"/>
  <c r="AA36" i="16" s="1"/>
  <c r="Z46" i="16"/>
  <c r="Z37" i="16"/>
  <c r="Z35" i="16" s="1"/>
  <c r="AH46" i="16"/>
  <c r="AH37" i="16"/>
  <c r="AH35" i="16" s="1"/>
  <c r="AB29" i="16"/>
  <c r="AB47" i="16" s="1"/>
  <c r="AA47" i="16"/>
  <c r="U35" i="16"/>
  <c r="W35" i="16"/>
  <c r="AI13" i="16" l="1"/>
  <c r="AI17" i="16" s="1"/>
  <c r="AI36" i="16" s="1"/>
  <c r="AN24" i="16"/>
  <c r="AH45" i="16"/>
  <c r="AH44" i="16" s="1"/>
  <c r="AH43" i="16" s="1"/>
  <c r="AH41" i="16" s="1"/>
  <c r="AG45" i="16"/>
  <c r="AG44" i="16" s="1"/>
  <c r="AG43" i="16" s="1"/>
  <c r="AG41" i="16" s="1"/>
  <c r="W45" i="16"/>
  <c r="W44" i="16" s="1"/>
  <c r="W43" i="16" s="1"/>
  <c r="W41" i="16" s="1"/>
  <c r="AI37" i="16"/>
  <c r="AO36" i="16"/>
  <c r="AQ35" i="16"/>
  <c r="Z45" i="16"/>
  <c r="Z44" i="16" s="1"/>
  <c r="Z43" i="16" s="1"/>
  <c r="Z41" i="16" s="1"/>
  <c r="U45" i="16"/>
  <c r="U44" i="16" s="1"/>
  <c r="U43" i="16" s="1"/>
  <c r="U41" i="16" s="1"/>
  <c r="AB27" i="16"/>
  <c r="AB13" i="16"/>
  <c r="AB17" i="16" s="1"/>
  <c r="AA46" i="16"/>
  <c r="AA37" i="16"/>
  <c r="AA35" i="16" s="1"/>
  <c r="AI24" i="16" l="1"/>
  <c r="AA45" i="16"/>
  <c r="AA44" i="16" s="1"/>
  <c r="AA43" i="16" s="1"/>
  <c r="AA41" i="16" s="1"/>
  <c r="AI35" i="16"/>
  <c r="AO35" i="16"/>
  <c r="AQ45" i="16"/>
  <c r="AN35" i="16"/>
  <c r="AB24" i="16"/>
  <c r="AB36" i="16"/>
  <c r="AB46" i="16"/>
  <c r="AB37" i="16"/>
  <c r="AO45" i="16" l="1"/>
  <c r="AN45" i="16"/>
  <c r="AQ44" i="16"/>
  <c r="AI45" i="16"/>
  <c r="AI44" i="16" s="1"/>
  <c r="AI43" i="16" s="1"/>
  <c r="AI41" i="16" s="1"/>
  <c r="AB35" i="16"/>
  <c r="AO44" i="16" l="1"/>
  <c r="AQ43" i="16"/>
  <c r="AN44" i="16"/>
  <c r="AB45" i="16"/>
  <c r="AB44" i="16" s="1"/>
  <c r="AB43" i="16" s="1"/>
  <c r="AB41" i="16" s="1"/>
  <c r="AO43" i="16" l="1"/>
  <c r="AQ41" i="16"/>
  <c r="AN43" i="16"/>
  <c r="AO211" i="2"/>
  <c r="AO210" i="2"/>
  <c r="AO209" i="2"/>
  <c r="AO208" i="2"/>
  <c r="AO203" i="2"/>
  <c r="AO200" i="2"/>
  <c r="AO197" i="2"/>
  <c r="AO196" i="2"/>
  <c r="AO194" i="2"/>
  <c r="AO193" i="2"/>
  <c r="AO188" i="2"/>
  <c r="AO186" i="2"/>
  <c r="AO185" i="2"/>
  <c r="AO160" i="2"/>
  <c r="AO159" i="2"/>
  <c r="AO157" i="2"/>
  <c r="AO156" i="2"/>
  <c r="AO149" i="2"/>
  <c r="AO148" i="2"/>
  <c r="AO136" i="2"/>
  <c r="AO135" i="2"/>
  <c r="AO134" i="2"/>
  <c r="AO133" i="2"/>
  <c r="AO131" i="2"/>
  <c r="AO129" i="2"/>
  <c r="AO128" i="2"/>
  <c r="AO124" i="2"/>
  <c r="AO123" i="2"/>
  <c r="AO115" i="2"/>
  <c r="AO113" i="2"/>
  <c r="AO112" i="2"/>
  <c r="AO108" i="2"/>
  <c r="AO107" i="2"/>
  <c r="AO103" i="2"/>
  <c r="AO102" i="2"/>
  <c r="AO97" i="2"/>
  <c r="AO96" i="2"/>
  <c r="AO91" i="2"/>
  <c r="AO90" i="2"/>
  <c r="AO85" i="2"/>
  <c r="AO84" i="2"/>
  <c r="AO79" i="2"/>
  <c r="AO78" i="2"/>
  <c r="AO73" i="2"/>
  <c r="AO72" i="2"/>
  <c r="AO233" i="2"/>
  <c r="AO214" i="2"/>
  <c r="AO213" i="2"/>
  <c r="AO216" i="2"/>
  <c r="AO215" i="2"/>
  <c r="AP206" i="2"/>
  <c r="AP205" i="2"/>
  <c r="AP202" i="2"/>
  <c r="AP199" i="2"/>
  <c r="AP187" i="2"/>
  <c r="AN41" i="16" l="1"/>
  <c r="AO41" i="16"/>
  <c r="AP166" i="2"/>
  <c r="AP165" i="2"/>
  <c r="AP163" i="2"/>
  <c r="AP162" i="2"/>
  <c r="AP151" i="2"/>
  <c r="AP150" i="2"/>
  <c r="AP130" i="2"/>
  <c r="AP125" i="2"/>
  <c r="AP116" i="2"/>
  <c r="AP114" i="2"/>
  <c r="AP109" i="2"/>
  <c r="AP105" i="2"/>
  <c r="AP104" i="2"/>
  <c r="AP100" i="2"/>
  <c r="AP99" i="2"/>
  <c r="AP98" i="2"/>
  <c r="AP82" i="2"/>
  <c r="AP81" i="2"/>
  <c r="AP80" i="2"/>
  <c r="AP76" i="2"/>
  <c r="AP75" i="2"/>
  <c r="AP74" i="2"/>
  <c r="AO64" i="2"/>
  <c r="AO63" i="2"/>
  <c r="AO57" i="2"/>
  <c r="AO55" i="2"/>
  <c r="AO39" i="2"/>
  <c r="AO36" i="2"/>
  <c r="AO34" i="2"/>
  <c r="AO33" i="2"/>
  <c r="AO32" i="2"/>
  <c r="AO31" i="2"/>
  <c r="AO27" i="2"/>
  <c r="AO24" i="2"/>
  <c r="AR229" i="2"/>
  <c r="AO229" i="2" s="1"/>
  <c r="AO19" i="2"/>
  <c r="AO15" i="2"/>
  <c r="AO13" i="2"/>
  <c r="AO12" i="2"/>
  <c r="AO10" i="2"/>
  <c r="AO9" i="2"/>
  <c r="AO8" i="2"/>
  <c r="AR220" i="2"/>
  <c r="AO220" i="2" s="1"/>
  <c r="AR219" i="2"/>
  <c r="AO219" i="2" s="1"/>
  <c r="AR212" i="2"/>
  <c r="AO212" i="2" s="1"/>
  <c r="AR207" i="2"/>
  <c r="AP207" i="2" s="1"/>
  <c r="AR201" i="2"/>
  <c r="AP201" i="2" s="1"/>
  <c r="AR198" i="2"/>
  <c r="AP198" i="2" s="1"/>
  <c r="AR195" i="2"/>
  <c r="AP195" i="2" s="1"/>
  <c r="AR192" i="2"/>
  <c r="AP192" i="2" s="1"/>
  <c r="AR191" i="2"/>
  <c r="AP191" i="2" s="1"/>
  <c r="AR190" i="2"/>
  <c r="AP190" i="2" s="1"/>
  <c r="AR184" i="2"/>
  <c r="AP184" i="2" s="1"/>
  <c r="AR158" i="2"/>
  <c r="AP158" i="2" s="1"/>
  <c r="AR155" i="2"/>
  <c r="AP155" i="2" s="1"/>
  <c r="AR132" i="2"/>
  <c r="AP132" i="2" s="1"/>
  <c r="AR119" i="2"/>
  <c r="AP119" i="2" s="1"/>
  <c r="AR118" i="2"/>
  <c r="AP118" i="2" s="1"/>
  <c r="AR70" i="2"/>
  <c r="AO70" i="2"/>
  <c r="AO17" i="2"/>
  <c r="AO353" i="12"/>
  <c r="AO352" i="12"/>
  <c r="AO351" i="12"/>
  <c r="AO344" i="12"/>
  <c r="AO343" i="12"/>
  <c r="AO335" i="12"/>
  <c r="AO332" i="12"/>
  <c r="AO165" i="12"/>
  <c r="AO164" i="12"/>
  <c r="AO392" i="12"/>
  <c r="AO314" i="12"/>
  <c r="AO313" i="12"/>
  <c r="AO312" i="12"/>
  <c r="AO311" i="12"/>
  <c r="AO310" i="12"/>
  <c r="AP183" i="6"/>
  <c r="AP182" i="6"/>
  <c r="AP181" i="6"/>
  <c r="AP180" i="6"/>
  <c r="AP179" i="6"/>
  <c r="AP320" i="12"/>
  <c r="AP319" i="12"/>
  <c r="AP318" i="12"/>
  <c r="AP317" i="12"/>
  <c r="AP316" i="12"/>
  <c r="AP308" i="12"/>
  <c r="AP307" i="12"/>
  <c r="AP306" i="12"/>
  <c r="AP305" i="12"/>
  <c r="AP304" i="12"/>
  <c r="AR127" i="2" l="1"/>
  <c r="AP127" i="2" s="1"/>
  <c r="AR161" i="2"/>
  <c r="AP161" i="2" s="1"/>
  <c r="AR154" i="2"/>
  <c r="AP154" i="2" s="1"/>
  <c r="AR106" i="2"/>
  <c r="AP106" i="2" s="1"/>
  <c r="AP110" i="2"/>
  <c r="AR121" i="2"/>
  <c r="AP121" i="2" s="1"/>
  <c r="AP126" i="2"/>
  <c r="AR86" i="2"/>
  <c r="AP86" i="2" s="1"/>
  <c r="AR238" i="2"/>
  <c r="AP238" i="2" s="1"/>
  <c r="AR147" i="2"/>
  <c r="AP147" i="2" s="1"/>
  <c r="AR230" i="2"/>
  <c r="AO230" i="2" s="1"/>
  <c r="AR111" i="2"/>
  <c r="AP111" i="2" s="1"/>
  <c r="AR224" i="2"/>
  <c r="AP224" i="2" s="1"/>
  <c r="AR144" i="2"/>
  <c r="AP144" i="2" s="1"/>
  <c r="AR122" i="2"/>
  <c r="AP122" i="2" s="1"/>
  <c r="AR120" i="2"/>
  <c r="AR94" i="2"/>
  <c r="AP94" i="2" s="1"/>
  <c r="AR92" i="2"/>
  <c r="AR93" i="2"/>
  <c r="AP93" i="2" s="1"/>
  <c r="AR101" i="2"/>
  <c r="AP101" i="2" s="1"/>
  <c r="AR88" i="2"/>
  <c r="AP88" i="2" s="1"/>
  <c r="AR87" i="2"/>
  <c r="AP87" i="2" s="1"/>
  <c r="AR77" i="2"/>
  <c r="AP77" i="2" s="1"/>
  <c r="AR56" i="2"/>
  <c r="AR218" i="2" s="1"/>
  <c r="AR7" i="2"/>
  <c r="AO7" i="2" s="1"/>
  <c r="AR189" i="2"/>
  <c r="AR71" i="2"/>
  <c r="AP71" i="2" s="1"/>
  <c r="AR95" i="2"/>
  <c r="AP95" i="2" s="1"/>
  <c r="AR164" i="2"/>
  <c r="AP164" i="2" s="1"/>
  <c r="AR204" i="2"/>
  <c r="AP204" i="2" s="1"/>
  <c r="AR40" i="2"/>
  <c r="AO40" i="2" s="1"/>
  <c r="AR143" i="2"/>
  <c r="AP143" i="2" s="1"/>
  <c r="AR153" i="2"/>
  <c r="AP153" i="2" s="1"/>
  <c r="AR26" i="2"/>
  <c r="AO23" i="2"/>
  <c r="AR169" i="2" l="1"/>
  <c r="AP169" i="2" s="1"/>
  <c r="AR223" i="2"/>
  <c r="AP223" i="2" s="1"/>
  <c r="AP189" i="2"/>
  <c r="AR248" i="2"/>
  <c r="AP92" i="2"/>
  <c r="AP248" i="2" s="1"/>
  <c r="AR117" i="2"/>
  <c r="AP117" i="2" s="1"/>
  <c r="AP120" i="2"/>
  <c r="AR83" i="2"/>
  <c r="AP83" i="2" s="1"/>
  <c r="AR174" i="2"/>
  <c r="AP174" i="2" s="1"/>
  <c r="AR264" i="6"/>
  <c r="AP264" i="6" s="1"/>
  <c r="AR146" i="2"/>
  <c r="AR173" i="2"/>
  <c r="AP173" i="2" s="1"/>
  <c r="AR217" i="2"/>
  <c r="AO217" i="2" s="1"/>
  <c r="AO218" i="2"/>
  <c r="AR145" i="2"/>
  <c r="AP145" i="2" s="1"/>
  <c r="AR89" i="2"/>
  <c r="AO56" i="2"/>
  <c r="AR226" i="2"/>
  <c r="AO226" i="2" s="1"/>
  <c r="AR237" i="2"/>
  <c r="AP237" i="2" s="1"/>
  <c r="AR25" i="2"/>
  <c r="AO25" i="2" s="1"/>
  <c r="AR227" i="2"/>
  <c r="AO227" i="2" s="1"/>
  <c r="AO26" i="2"/>
  <c r="AR152" i="2"/>
  <c r="AP152" i="2" s="1"/>
  <c r="AR168" i="2"/>
  <c r="AP168" i="2" s="1"/>
  <c r="AR176" i="2" l="1"/>
  <c r="AP176" i="2" s="1"/>
  <c r="AP146" i="2"/>
  <c r="AR245" i="2"/>
  <c r="AP89" i="2"/>
  <c r="AP245" i="2" s="1"/>
  <c r="AR171" i="2"/>
  <c r="AP171" i="2" s="1"/>
  <c r="AR142" i="2"/>
  <c r="AR175" i="2"/>
  <c r="AR170" i="2"/>
  <c r="AR225" i="2"/>
  <c r="AO225" i="2" s="1"/>
  <c r="AR172" i="2" l="1"/>
  <c r="AP172" i="2" s="1"/>
  <c r="AP249" i="2" s="1"/>
  <c r="AP175" i="2"/>
  <c r="AP252" i="2" s="1"/>
  <c r="AR167" i="2"/>
  <c r="AP142" i="2"/>
  <c r="AR256" i="2"/>
  <c r="AP170" i="2"/>
  <c r="AP256" i="2" s="1"/>
  <c r="AR252" i="2"/>
  <c r="AR222" i="2"/>
  <c r="AR231" i="2"/>
  <c r="AO231" i="2" s="1"/>
  <c r="AR249" i="2" l="1"/>
  <c r="AR253" i="2"/>
  <c r="AP167" i="2"/>
  <c r="AP253" i="2" s="1"/>
  <c r="AR221" i="2"/>
  <c r="AP221" i="2" s="1"/>
  <c r="AP222" i="2"/>
  <c r="AR228" i="2"/>
  <c r="AO228" i="2" s="1"/>
  <c r="AR236" i="2" l="1"/>
  <c r="AP236" i="2" s="1"/>
  <c r="AR235" i="2" l="1"/>
  <c r="AP235" i="2" s="1"/>
  <c r="AR234" i="2" l="1"/>
  <c r="AP234" i="2" s="1"/>
  <c r="AR232" i="2" l="1"/>
  <c r="AP232" i="2" s="1"/>
  <c r="AO22" i="2"/>
  <c r="AR20" i="2" l="1"/>
  <c r="AO21" i="2"/>
  <c r="AO20" i="2" l="1"/>
  <c r="AR6" i="2"/>
  <c r="AO6" i="2" s="1"/>
  <c r="AP329" i="12" l="1"/>
  <c r="AP328" i="12"/>
  <c r="AP326" i="12"/>
  <c r="AP325" i="12"/>
  <c r="AP350" i="12"/>
  <c r="AP349" i="12"/>
  <c r="AP347" i="12"/>
  <c r="AP346" i="12"/>
  <c r="AP345" i="12"/>
  <c r="AP341" i="12"/>
  <c r="AP340" i="12"/>
  <c r="AP276" i="12"/>
  <c r="AP273" i="12"/>
  <c r="AP270" i="12"/>
  <c r="AP267" i="12"/>
  <c r="AP264" i="12"/>
  <c r="AP275" i="12"/>
  <c r="AP269" i="12"/>
  <c r="AP263" i="12"/>
  <c r="AP259" i="12"/>
  <c r="AP258" i="12"/>
  <c r="AP257" i="12"/>
  <c r="AP256" i="12"/>
  <c r="AP255" i="12"/>
  <c r="AP254" i="12"/>
  <c r="AP228" i="12"/>
  <c r="AP233" i="12"/>
  <c r="AP232" i="12"/>
  <c r="AP231" i="12"/>
  <c r="AP227" i="12"/>
  <c r="AR330" i="12" l="1"/>
  <c r="AP330" i="12" s="1"/>
  <c r="AP331" i="12"/>
  <c r="AR333" i="12"/>
  <c r="AP333" i="12" s="1"/>
  <c r="AP334" i="12"/>
  <c r="AR336" i="12"/>
  <c r="AP336" i="12" s="1"/>
  <c r="AP337" i="12"/>
  <c r="AR327" i="12"/>
  <c r="AP327" i="12" s="1"/>
  <c r="AP224" i="12"/>
  <c r="AP223" i="12"/>
  <c r="AP222" i="12"/>
  <c r="AP220" i="12"/>
  <c r="AP219" i="12"/>
  <c r="AP218" i="12"/>
  <c r="AP215" i="12"/>
  <c r="AP214" i="12"/>
  <c r="AP213" i="12"/>
  <c r="AP212" i="12"/>
  <c r="AP211" i="12"/>
  <c r="AP210" i="12"/>
  <c r="AP209" i="12"/>
  <c r="AP197" i="12"/>
  <c r="AP196" i="12"/>
  <c r="AP195" i="12"/>
  <c r="AP194" i="12"/>
  <c r="AP193" i="12"/>
  <c r="AP190" i="12"/>
  <c r="AP189" i="12"/>
  <c r="AP188" i="12"/>
  <c r="AP187" i="12"/>
  <c r="AP186" i="12"/>
  <c r="AP185" i="12"/>
  <c r="AP182" i="12"/>
  <c r="AP181" i="12"/>
  <c r="AP180" i="12"/>
  <c r="AP179" i="12"/>
  <c r="AP178" i="12"/>
  <c r="AP177" i="12"/>
  <c r="AP175" i="12"/>
  <c r="AP174" i="12"/>
  <c r="AP173" i="12"/>
  <c r="AP172" i="12"/>
  <c r="AP168" i="12"/>
  <c r="AP167" i="12"/>
  <c r="AP166" i="12"/>
  <c r="AP160" i="12"/>
  <c r="AP159" i="12"/>
  <c r="AP158" i="12"/>
  <c r="AP157" i="12"/>
  <c r="AP156" i="12"/>
  <c r="AP136" i="12"/>
  <c r="AP135" i="12"/>
  <c r="AP134" i="12"/>
  <c r="AP133" i="12"/>
  <c r="AP132" i="12"/>
  <c r="AP119" i="12"/>
  <c r="AP121" i="12"/>
  <c r="AP118" i="12"/>
  <c r="AP117" i="12"/>
  <c r="AP114" i="12"/>
  <c r="AP112" i="12"/>
  <c r="AP98" i="12"/>
  <c r="AP426" i="12" s="1"/>
  <c r="AV432" i="12" s="1"/>
  <c r="AP97" i="12"/>
  <c r="AP425" i="12" s="1"/>
  <c r="AV431" i="12" s="1"/>
  <c r="AO82" i="12"/>
  <c r="AO81" i="12"/>
  <c r="AO80" i="12"/>
  <c r="AO79" i="12"/>
  <c r="AO78" i="12"/>
  <c r="AR374" i="12"/>
  <c r="AO374" i="12" s="1"/>
  <c r="AO75" i="12"/>
  <c r="AO73" i="12"/>
  <c r="AO72" i="12"/>
  <c r="AO70" i="12"/>
  <c r="AO69" i="12"/>
  <c r="AO66" i="12"/>
  <c r="AO64" i="12"/>
  <c r="AO63" i="12"/>
  <c r="AO62" i="12"/>
  <c r="AO60" i="12"/>
  <c r="AO59" i="12"/>
  <c r="AO58" i="12"/>
  <c r="AO57" i="12"/>
  <c r="AO56" i="12"/>
  <c r="AO54" i="12"/>
  <c r="AO49" i="12"/>
  <c r="AO48" i="12"/>
  <c r="AO47" i="12"/>
  <c r="AO46" i="12"/>
  <c r="AO45" i="12"/>
  <c r="AO44" i="12"/>
  <c r="AO43" i="12"/>
  <c r="AO42" i="12"/>
  <c r="AO41" i="12"/>
  <c r="AO40" i="12"/>
  <c r="AO39" i="12"/>
  <c r="AO36" i="12"/>
  <c r="AO34" i="12"/>
  <c r="AO33" i="12"/>
  <c r="AO30" i="12"/>
  <c r="AO29" i="12"/>
  <c r="AO27" i="12"/>
  <c r="AO26" i="12"/>
  <c r="AO23" i="12"/>
  <c r="AO20" i="12"/>
  <c r="AO10" i="12"/>
  <c r="AO9" i="12"/>
  <c r="AO19" i="12"/>
  <c r="AO14" i="12"/>
  <c r="AO13" i="12"/>
  <c r="AO12" i="12"/>
  <c r="AO11" i="12"/>
  <c r="AO8" i="12"/>
  <c r="AR348" i="12"/>
  <c r="AP348" i="12" s="1"/>
  <c r="AR342" i="12"/>
  <c r="AP342" i="12" s="1"/>
  <c r="AR339" i="12"/>
  <c r="AP339" i="12" s="1"/>
  <c r="AR323" i="12"/>
  <c r="AP323" i="12" s="1"/>
  <c r="AR322" i="12"/>
  <c r="AP322" i="12" s="1"/>
  <c r="AR324" i="12"/>
  <c r="AP324" i="12" s="1"/>
  <c r="AR315" i="12"/>
  <c r="AP315" i="12" s="1"/>
  <c r="AR274" i="12"/>
  <c r="AR271" i="12"/>
  <c r="AR268" i="12"/>
  <c r="AR265" i="12"/>
  <c r="AR262" i="12"/>
  <c r="AR253" i="12"/>
  <c r="AP253" i="12" s="1"/>
  <c r="AR226" i="12"/>
  <c r="AP226" i="12" s="1"/>
  <c r="AR85" i="12"/>
  <c r="AO85" i="12"/>
  <c r="AP222" i="6"/>
  <c r="AP219" i="6"/>
  <c r="AP216" i="6"/>
  <c r="AP215" i="6"/>
  <c r="AP188" i="6"/>
  <c r="AP187" i="6"/>
  <c r="AR360" i="12"/>
  <c r="AP360" i="12" s="1"/>
  <c r="AR359" i="12"/>
  <c r="AP359" i="12" s="1"/>
  <c r="AR358" i="12"/>
  <c r="AP358" i="12" s="1"/>
  <c r="AR357" i="12"/>
  <c r="AP357" i="12" s="1"/>
  <c r="AR356" i="12"/>
  <c r="AP356" i="12" s="1"/>
  <c r="AP117" i="6"/>
  <c r="AP107" i="6"/>
  <c r="AP106" i="6"/>
  <c r="AP105" i="6"/>
  <c r="AP103" i="6"/>
  <c r="AP100" i="6"/>
  <c r="AP98" i="6"/>
  <c r="AP95" i="6"/>
  <c r="AP94" i="6"/>
  <c r="AP90" i="6"/>
  <c r="AP85" i="6"/>
  <c r="AO61" i="6"/>
  <c r="AO59" i="6"/>
  <c r="AO58" i="6"/>
  <c r="AO57" i="6"/>
  <c r="AO56" i="6"/>
  <c r="AO54" i="6"/>
  <c r="AO53" i="6"/>
  <c r="AO50" i="6"/>
  <c r="AO39" i="6"/>
  <c r="AO38" i="6"/>
  <c r="AO35" i="6"/>
  <c r="AP173" i="6"/>
  <c r="AO26" i="6"/>
  <c r="AO34" i="6"/>
  <c r="AO36" i="6"/>
  <c r="AO40" i="6"/>
  <c r="AO41" i="6"/>
  <c r="AO48" i="6"/>
  <c r="AO78" i="6"/>
  <c r="AO75" i="6"/>
  <c r="AO14" i="6"/>
  <c r="AO65" i="6"/>
  <c r="AO12" i="6"/>
  <c r="AO13" i="6"/>
  <c r="AO10" i="6"/>
  <c r="AO19" i="6"/>
  <c r="AO70" i="6"/>
  <c r="AO9" i="6"/>
  <c r="AO22" i="6"/>
  <c r="AO11" i="6"/>
  <c r="AO37" i="6"/>
  <c r="AP111" i="6"/>
  <c r="AP172" i="6"/>
  <c r="AP114" i="6"/>
  <c r="AO25" i="6"/>
  <c r="AO68" i="6"/>
  <c r="AR311" i="6"/>
  <c r="AP311" i="6" s="1"/>
  <c r="AR310" i="6"/>
  <c r="AP310" i="6" s="1"/>
  <c r="AR309" i="6"/>
  <c r="AP309" i="6" s="1"/>
  <c r="AR307" i="6"/>
  <c r="AP307" i="6" s="1"/>
  <c r="AR306" i="6"/>
  <c r="AP306" i="6" s="1"/>
  <c r="AR305" i="6"/>
  <c r="AP305" i="6" s="1"/>
  <c r="AR304" i="6"/>
  <c r="AP304" i="6" s="1"/>
  <c r="AR289" i="6"/>
  <c r="AP289" i="6" s="1"/>
  <c r="AR288" i="6"/>
  <c r="AP288" i="6" s="1"/>
  <c r="AR287" i="6"/>
  <c r="AP287" i="6" s="1"/>
  <c r="AR285" i="6"/>
  <c r="AP285" i="6" s="1"/>
  <c r="AR284" i="6"/>
  <c r="AP284" i="6" s="1"/>
  <c r="AR283" i="6"/>
  <c r="AP283" i="6" s="1"/>
  <c r="AR282" i="6"/>
  <c r="AP282" i="6" s="1"/>
  <c r="AR268" i="6"/>
  <c r="AP268" i="6" s="1"/>
  <c r="AR267" i="6"/>
  <c r="AP267" i="6" s="1"/>
  <c r="AR266" i="6"/>
  <c r="AR263" i="6"/>
  <c r="AP263" i="6" s="1"/>
  <c r="AR262" i="6"/>
  <c r="AP262" i="6" s="1"/>
  <c r="AR261" i="6"/>
  <c r="AP261" i="6" s="1"/>
  <c r="AR203" i="6"/>
  <c r="AP203" i="6" s="1"/>
  <c r="AR199" i="6"/>
  <c r="AP199" i="6" s="1"/>
  <c r="AR189" i="6"/>
  <c r="AP189" i="6" s="1"/>
  <c r="AR83" i="6"/>
  <c r="AO83" i="6"/>
  <c r="AP271" i="12" l="1"/>
  <c r="AP274" i="12"/>
  <c r="AP262" i="12"/>
  <c r="AP265" i="12"/>
  <c r="AP268" i="12"/>
  <c r="AP113" i="12"/>
  <c r="AR425" i="12"/>
  <c r="AY431" i="12" s="1"/>
  <c r="AR203" i="12"/>
  <c r="AP203" i="12" s="1"/>
  <c r="AR286" i="6"/>
  <c r="AP286" i="6" s="1"/>
  <c r="AR265" i="6"/>
  <c r="AP265" i="6" s="1"/>
  <c r="AP266" i="6"/>
  <c r="AR175" i="6"/>
  <c r="AP99" i="6"/>
  <c r="AR427" i="12"/>
  <c r="AY433" i="12" s="1"/>
  <c r="AP99" i="12"/>
  <c r="AP427" i="12" s="1"/>
  <c r="AV433" i="12" s="1"/>
  <c r="AR365" i="12"/>
  <c r="AP365" i="12" s="1"/>
  <c r="AP111" i="12"/>
  <c r="AR198" i="6"/>
  <c r="AP198" i="6" s="1"/>
  <c r="AP87" i="6"/>
  <c r="AR423" i="12"/>
  <c r="AP95" i="12"/>
  <c r="AP423" i="12" s="1"/>
  <c r="AR424" i="12"/>
  <c r="AY430" i="12" s="1"/>
  <c r="AP96" i="12"/>
  <c r="AP424" i="12" s="1"/>
  <c r="AV430" i="12" s="1"/>
  <c r="AR184" i="6"/>
  <c r="AP184" i="6" s="1"/>
  <c r="AR171" i="6"/>
  <c r="AP171" i="6" s="1"/>
  <c r="AR84" i="6"/>
  <c r="AR308" i="6"/>
  <c r="AP308" i="6" s="1"/>
  <c r="AR303" i="6"/>
  <c r="AP303" i="6" s="1"/>
  <c r="AR260" i="6"/>
  <c r="AP260" i="6" s="1"/>
  <c r="AR281" i="6"/>
  <c r="AP281" i="6" s="1"/>
  <c r="AR153" i="12"/>
  <c r="AR206" i="12"/>
  <c r="AP206" i="12" s="1"/>
  <c r="AR217" i="12"/>
  <c r="AP217" i="12" s="1"/>
  <c r="AR87" i="12"/>
  <c r="AR204" i="12"/>
  <c r="AP204" i="12" s="1"/>
  <c r="AR355" i="12"/>
  <c r="AP355" i="12" s="1"/>
  <c r="AR380" i="12"/>
  <c r="AP380" i="12" s="1"/>
  <c r="AR178" i="6"/>
  <c r="AR90" i="12"/>
  <c r="AR91" i="12"/>
  <c r="AR149" i="12"/>
  <c r="AP149" i="12" s="1"/>
  <c r="AR151" i="12"/>
  <c r="AP151" i="12" s="1"/>
  <c r="AR205" i="12"/>
  <c r="AP205" i="12" s="1"/>
  <c r="AR202" i="12"/>
  <c r="AP202" i="12" s="1"/>
  <c r="AR201" i="12"/>
  <c r="AP201" i="12" s="1"/>
  <c r="AR208" i="12"/>
  <c r="AP208" i="12" s="1"/>
  <c r="AR192" i="12"/>
  <c r="AP192" i="12" s="1"/>
  <c r="AR148" i="12"/>
  <c r="AP148" i="12" s="1"/>
  <c r="AR150" i="12"/>
  <c r="AP150" i="12" s="1"/>
  <c r="AR163" i="12"/>
  <c r="AP163" i="12" s="1"/>
  <c r="AR131" i="12"/>
  <c r="AP131" i="12" s="1"/>
  <c r="AR116" i="12"/>
  <c r="AP116" i="12" s="1"/>
  <c r="AR426" i="12"/>
  <c r="AY432" i="12" s="1"/>
  <c r="AR71" i="12"/>
  <c r="AR372" i="12" s="1"/>
  <c r="AO372" i="12" s="1"/>
  <c r="AR31" i="12"/>
  <c r="AO31" i="12" s="1"/>
  <c r="AR24" i="12"/>
  <c r="AO24" i="12" s="1"/>
  <c r="AR397" i="12"/>
  <c r="AP397" i="12" s="1"/>
  <c r="AR378" i="12"/>
  <c r="AP378" i="12" s="1"/>
  <c r="AR261" i="12"/>
  <c r="AP261" i="12" s="1"/>
  <c r="AR55" i="12"/>
  <c r="AO55" i="12" s="1"/>
  <c r="AR152" i="12"/>
  <c r="AP152" i="12" s="1"/>
  <c r="AR7" i="12"/>
  <c r="AR88" i="12"/>
  <c r="AP88" i="12" s="1"/>
  <c r="AR184" i="12"/>
  <c r="AP184" i="12" s="1"/>
  <c r="AR321" i="12"/>
  <c r="AP321" i="12" s="1"/>
  <c r="AR89" i="12"/>
  <c r="AP89" i="12" s="1"/>
  <c r="AR155" i="12"/>
  <c r="AP155" i="12" s="1"/>
  <c r="AR176" i="12"/>
  <c r="AP176" i="12" s="1"/>
  <c r="AR109" i="12"/>
  <c r="AP109" i="12" s="1"/>
  <c r="AO25" i="12"/>
  <c r="AO35" i="12"/>
  <c r="AO74" i="12"/>
  <c r="AR170" i="12"/>
  <c r="AP170" i="12" s="1"/>
  <c r="AR373" i="12"/>
  <c r="AO373" i="12" s="1"/>
  <c r="AR94" i="12"/>
  <c r="AP94" i="12" s="1"/>
  <c r="AR303" i="12"/>
  <c r="AP303" i="12" s="1"/>
  <c r="AR200" i="12"/>
  <c r="AP200" i="12" s="1"/>
  <c r="AO42" i="6"/>
  <c r="AO27" i="6"/>
  <c r="AR230" i="6"/>
  <c r="AP230" i="6" s="1"/>
  <c r="AP109" i="6"/>
  <c r="AR67" i="6"/>
  <c r="AP110" i="6"/>
  <c r="AP169" i="6"/>
  <c r="AR97" i="6"/>
  <c r="AP97" i="6" s="1"/>
  <c r="AO52" i="6"/>
  <c r="AO32" i="6"/>
  <c r="AR229" i="6"/>
  <c r="AP229" i="6" s="1"/>
  <c r="AR248" i="12" l="1"/>
  <c r="AP248" i="12" s="1"/>
  <c r="AP153" i="12"/>
  <c r="AR288" i="12"/>
  <c r="AR140" i="12"/>
  <c r="AR245" i="12" s="1"/>
  <c r="AP245" i="12" s="1"/>
  <c r="AP87" i="12"/>
  <c r="AR96" i="6"/>
  <c r="AP96" i="6" s="1"/>
  <c r="AP84" i="6"/>
  <c r="AR238" i="6"/>
  <c r="AP238" i="6" s="1"/>
  <c r="AP170" i="6"/>
  <c r="AR144" i="12"/>
  <c r="AR250" i="12" s="1"/>
  <c r="AP250" i="12" s="1"/>
  <c r="AP91" i="12"/>
  <c r="AR207" i="6"/>
  <c r="AP207" i="6" s="1"/>
  <c r="AP175" i="6"/>
  <c r="AR143" i="12"/>
  <c r="AR249" i="12" s="1"/>
  <c r="AP249" i="12" s="1"/>
  <c r="AP90" i="12"/>
  <c r="AR177" i="6"/>
  <c r="AP177" i="6" s="1"/>
  <c r="AP178" i="6"/>
  <c r="AR208" i="6"/>
  <c r="AP208" i="6" s="1"/>
  <c r="AP176" i="6"/>
  <c r="AR115" i="6"/>
  <c r="AP115" i="6" s="1"/>
  <c r="AP116" i="6"/>
  <c r="AP302" i="12"/>
  <c r="AP422" i="12"/>
  <c r="AV428" i="12" s="1"/>
  <c r="AR251" i="12"/>
  <c r="AP251" i="12" s="1"/>
  <c r="AR302" i="12"/>
  <c r="AO66" i="6"/>
  <c r="AR147" i="12"/>
  <c r="AP147" i="12" s="1"/>
  <c r="AO71" i="12"/>
  <c r="AR389" i="12"/>
  <c r="AO389" i="12" s="1"/>
  <c r="AR388" i="12"/>
  <c r="AO388" i="12" s="1"/>
  <c r="AR141" i="12"/>
  <c r="AR86" i="12"/>
  <c r="AP86" i="12" s="1"/>
  <c r="AO7" i="12"/>
  <c r="AR385" i="12"/>
  <c r="AO385" i="12" s="1"/>
  <c r="AR422" i="12"/>
  <c r="AY428" i="12" s="1"/>
  <c r="AR142" i="12"/>
  <c r="AR199" i="12"/>
  <c r="AP199" i="12" s="1"/>
  <c r="AR371" i="12"/>
  <c r="AO371" i="12" s="1"/>
  <c r="AR364" i="12"/>
  <c r="AP364" i="12" s="1"/>
  <c r="AR396" i="12"/>
  <c r="AP396" i="12" s="1"/>
  <c r="AR377" i="12"/>
  <c r="AP377" i="12" s="1"/>
  <c r="AR168" i="6"/>
  <c r="AP168" i="6" s="1"/>
  <c r="AO33" i="6"/>
  <c r="AR108" i="6"/>
  <c r="AR202" i="6"/>
  <c r="AP202" i="6" s="1"/>
  <c r="AO71" i="6"/>
  <c r="AO67" i="6"/>
  <c r="AR201" i="6"/>
  <c r="AP201" i="6" s="1"/>
  <c r="AR299" i="6" l="1"/>
  <c r="AP299" i="6" s="1"/>
  <c r="AP288" i="12"/>
  <c r="AR197" i="6"/>
  <c r="AP197" i="6" s="1"/>
  <c r="AR369" i="12"/>
  <c r="AP369" i="12" s="1"/>
  <c r="AR370" i="12"/>
  <c r="AP370" i="12" s="1"/>
  <c r="AR291" i="12"/>
  <c r="AP291" i="12" s="1"/>
  <c r="AR112" i="6"/>
  <c r="AP112" i="6" s="1"/>
  <c r="AP108" i="6"/>
  <c r="AR257" i="6"/>
  <c r="AP257" i="6" s="1"/>
  <c r="AP142" i="12"/>
  <c r="AR258" i="6"/>
  <c r="AP258" i="6" s="1"/>
  <c r="AP143" i="12"/>
  <c r="AR256" i="6"/>
  <c r="AP256" i="6" s="1"/>
  <c r="AP141" i="12"/>
  <c r="AR280" i="6"/>
  <c r="AP280" i="6" s="1"/>
  <c r="AR366" i="12"/>
  <c r="AR255" i="6"/>
  <c r="AP140" i="12"/>
  <c r="AR259" i="6"/>
  <c r="AP259" i="6" s="1"/>
  <c r="AP144" i="12"/>
  <c r="AR277" i="6"/>
  <c r="AP277" i="6" s="1"/>
  <c r="AR289" i="12"/>
  <c r="AR297" i="12" s="1"/>
  <c r="AR367" i="12"/>
  <c r="AP367" i="12" s="1"/>
  <c r="AR246" i="12"/>
  <c r="AP246" i="12" s="1"/>
  <c r="AR139" i="12"/>
  <c r="AP139" i="12" s="1"/>
  <c r="AR285" i="12"/>
  <c r="AR294" i="12" s="1"/>
  <c r="AR368" i="12"/>
  <c r="AP368" i="12" s="1"/>
  <c r="AR247" i="12"/>
  <c r="AP247" i="12" s="1"/>
  <c r="AR290" i="12"/>
  <c r="AR298" i="12" s="1"/>
  <c r="AO8" i="6"/>
  <c r="AR7" i="6"/>
  <c r="AR237" i="6"/>
  <c r="AP237" i="6" s="1"/>
  <c r="AR206" i="6"/>
  <c r="AP206" i="6" s="1"/>
  <c r="AR200" i="6"/>
  <c r="AP200" i="6" s="1"/>
  <c r="AP297" i="12" l="1"/>
  <c r="AP298" i="12"/>
  <c r="AP415" i="12" s="1"/>
  <c r="AP294" i="12"/>
  <c r="AR409" i="12"/>
  <c r="AR302" i="6"/>
  <c r="AP302" i="6" s="1"/>
  <c r="AR196" i="6"/>
  <c r="AP196" i="6" s="1"/>
  <c r="AP247" i="6" s="1"/>
  <c r="AR408" i="12"/>
  <c r="AP408" i="12"/>
  <c r="AP409" i="12"/>
  <c r="AP406" i="12"/>
  <c r="AR119" i="6"/>
  <c r="AP119" i="6" s="1"/>
  <c r="AR205" i="6"/>
  <c r="AP205" i="6" s="1"/>
  <c r="AP290" i="12"/>
  <c r="AP421" i="12" s="1"/>
  <c r="AR254" i="6"/>
  <c r="AP255" i="6"/>
  <c r="AP366" i="12"/>
  <c r="AP405" i="12" s="1"/>
  <c r="AR405" i="12"/>
  <c r="AP414" i="12"/>
  <c r="AP289" i="12"/>
  <c r="AP420" i="12" s="1"/>
  <c r="AP407" i="12"/>
  <c r="AP285" i="12"/>
  <c r="AR417" i="12"/>
  <c r="AR296" i="6"/>
  <c r="AP296" i="6" s="1"/>
  <c r="AR244" i="12"/>
  <c r="AP244" i="12" s="1"/>
  <c r="AR363" i="12"/>
  <c r="AP363" i="12" s="1"/>
  <c r="AR406" i="12"/>
  <c r="AR300" i="6"/>
  <c r="AP300" i="6" s="1"/>
  <c r="AR420" i="12"/>
  <c r="AR421" i="12"/>
  <c r="AR301" i="6"/>
  <c r="AP301" i="6" s="1"/>
  <c r="AR287" i="12"/>
  <c r="AR296" i="12" s="1"/>
  <c r="AR407" i="12"/>
  <c r="AR286" i="12"/>
  <c r="AO51" i="6"/>
  <c r="AR49" i="6"/>
  <c r="AO49" i="6" s="1"/>
  <c r="AO7" i="6"/>
  <c r="AR226" i="6"/>
  <c r="AP226" i="6" s="1"/>
  <c r="AP296" i="12" l="1"/>
  <c r="AP413" i="12" s="1"/>
  <c r="AP286" i="12"/>
  <c r="AP418" i="12" s="1"/>
  <c r="AR295" i="12"/>
  <c r="AR247" i="6"/>
  <c r="AR204" i="6"/>
  <c r="AP204" i="6" s="1"/>
  <c r="AR121" i="6"/>
  <c r="AP121" i="6" s="1"/>
  <c r="AP249" i="6" s="1"/>
  <c r="AP417" i="12"/>
  <c r="AR253" i="6"/>
  <c r="AP253" i="6" s="1"/>
  <c r="AP254" i="6"/>
  <c r="AP411" i="12"/>
  <c r="AP287" i="12"/>
  <c r="AP419" i="12" s="1"/>
  <c r="AO50" i="12"/>
  <c r="AR38" i="12"/>
  <c r="AR284" i="12"/>
  <c r="AP284" i="12" s="1"/>
  <c r="AR278" i="6"/>
  <c r="AP278" i="6" s="1"/>
  <c r="AR414" i="12"/>
  <c r="AR362" i="12"/>
  <c r="AP362" i="12" s="1"/>
  <c r="AP404" i="12" s="1"/>
  <c r="AR415" i="12"/>
  <c r="AR279" i="6"/>
  <c r="AP279" i="6" s="1"/>
  <c r="AR376" i="12"/>
  <c r="AP376" i="12" s="1"/>
  <c r="AR297" i="6"/>
  <c r="AP297" i="6" s="1"/>
  <c r="AR418" i="12"/>
  <c r="AR274" i="6"/>
  <c r="AP274" i="6" s="1"/>
  <c r="AR411" i="12"/>
  <c r="AR298" i="6"/>
  <c r="AP298" i="6" s="1"/>
  <c r="AR419" i="12"/>
  <c r="R67" i="6"/>
  <c r="V67" i="6"/>
  <c r="S67" i="6" s="1"/>
  <c r="R49" i="6"/>
  <c r="V49" i="6"/>
  <c r="S49" i="6" s="1"/>
  <c r="R31" i="6"/>
  <c r="V31" i="6"/>
  <c r="S31" i="6" s="1"/>
  <c r="R23" i="6"/>
  <c r="V23" i="6"/>
  <c r="S23" i="6" s="1"/>
  <c r="R7" i="6"/>
  <c r="V7" i="6"/>
  <c r="S7" i="6" s="1"/>
  <c r="S8" i="6"/>
  <c r="S9" i="6"/>
  <c r="S10" i="6"/>
  <c r="S11" i="6"/>
  <c r="S12" i="6"/>
  <c r="S13" i="6"/>
  <c r="S14" i="6"/>
  <c r="S15" i="6"/>
  <c r="S16" i="6"/>
  <c r="S17" i="6"/>
  <c r="S18" i="6"/>
  <c r="S19" i="6"/>
  <c r="S20" i="6"/>
  <c r="S22" i="6"/>
  <c r="S24" i="6"/>
  <c r="S25" i="6"/>
  <c r="S26" i="6"/>
  <c r="S27" i="6"/>
  <c r="S28" i="6"/>
  <c r="S29" i="6"/>
  <c r="S32" i="6"/>
  <c r="S33" i="6"/>
  <c r="S34" i="6"/>
  <c r="S35" i="6"/>
  <c r="S36" i="6"/>
  <c r="S37" i="6"/>
  <c r="S38" i="6"/>
  <c r="S39" i="6"/>
  <c r="S40" i="6"/>
  <c r="S41" i="6"/>
  <c r="S42" i="6"/>
  <c r="S43" i="6"/>
  <c r="S44" i="6"/>
  <c r="S45" i="6"/>
  <c r="S46" i="6"/>
  <c r="S48" i="6"/>
  <c r="S50" i="6"/>
  <c r="S51" i="6"/>
  <c r="S52" i="6"/>
  <c r="S53" i="6"/>
  <c r="S54" i="6"/>
  <c r="S55" i="6"/>
  <c r="S56" i="6"/>
  <c r="S57" i="6"/>
  <c r="S58" i="6"/>
  <c r="S59" i="6"/>
  <c r="S60" i="6"/>
  <c r="S61" i="6"/>
  <c r="S62" i="6"/>
  <c r="S63" i="6"/>
  <c r="S65" i="6"/>
  <c r="S66" i="6"/>
  <c r="S68" i="6"/>
  <c r="S69" i="6"/>
  <c r="S70" i="6"/>
  <c r="S71" i="6"/>
  <c r="S72" i="6"/>
  <c r="S73" i="6"/>
  <c r="S74" i="6"/>
  <c r="S75" i="6"/>
  <c r="S76" i="6"/>
  <c r="S77" i="6"/>
  <c r="S78" i="6"/>
  <c r="S79" i="6"/>
  <c r="S80" i="6"/>
  <c r="T10" i="6"/>
  <c r="T17" i="6"/>
  <c r="T20" i="6"/>
  <c r="T29" i="6"/>
  <c r="T35" i="6"/>
  <c r="T52" i="6"/>
  <c r="T60" i="6"/>
  <c r="T63" i="6"/>
  <c r="T66" i="6"/>
  <c r="T69" i="6"/>
  <c r="T74" i="6"/>
  <c r="T77" i="6"/>
  <c r="T79" i="6"/>
  <c r="T80" i="6"/>
  <c r="U10" i="6"/>
  <c r="U17" i="6"/>
  <c r="U20" i="6"/>
  <c r="U29" i="6"/>
  <c r="U35" i="6"/>
  <c r="U52" i="6"/>
  <c r="U60" i="6"/>
  <c r="U63" i="6"/>
  <c r="U66" i="6"/>
  <c r="U69" i="6"/>
  <c r="U74" i="6"/>
  <c r="U77" i="6"/>
  <c r="U79" i="6"/>
  <c r="U80" i="6"/>
  <c r="AR236" i="6" l="1"/>
  <c r="AP236" i="6" s="1"/>
  <c r="AP295" i="12"/>
  <c r="AP412" i="12" s="1"/>
  <c r="AR293" i="12"/>
  <c r="AR272" i="6"/>
  <c r="AP272" i="6" s="1"/>
  <c r="AR249" i="6"/>
  <c r="AR294" i="6"/>
  <c r="AP294" i="6" s="1"/>
  <c r="AR218" i="6"/>
  <c r="AP218" i="6" s="1"/>
  <c r="AR122" i="6"/>
  <c r="AP122" i="6" s="1"/>
  <c r="AP248" i="6" s="1"/>
  <c r="AP416" i="12"/>
  <c r="AR295" i="6"/>
  <c r="AP295" i="6" s="1"/>
  <c r="AR21" i="12"/>
  <c r="AR386" i="12"/>
  <c r="AO38" i="12"/>
  <c r="AR37" i="12"/>
  <c r="AO37" i="12" s="1"/>
  <c r="AR416" i="12"/>
  <c r="AR275" i="6"/>
  <c r="AP275" i="6" s="1"/>
  <c r="AR412" i="12"/>
  <c r="AR404" i="12"/>
  <c r="AR375" i="12"/>
  <c r="AP375" i="12" s="1"/>
  <c r="AR276" i="6"/>
  <c r="AP276" i="6" s="1"/>
  <c r="AR413" i="12"/>
  <c r="AR235" i="6"/>
  <c r="AP235" i="6" s="1"/>
  <c r="V30" i="6"/>
  <c r="S30" i="6" s="1"/>
  <c r="R30" i="6"/>
  <c r="R6" i="6"/>
  <c r="V6" i="6"/>
  <c r="S6" i="6" s="1"/>
  <c r="AP293" i="12" l="1"/>
  <c r="AP410" i="12" s="1"/>
  <c r="AR248" i="6"/>
  <c r="AR217" i="6"/>
  <c r="AP217" i="6" s="1"/>
  <c r="AR410" i="12"/>
  <c r="AR315" i="6"/>
  <c r="AP315" i="6" s="1"/>
  <c r="AR273" i="6"/>
  <c r="AP273" i="6" s="1"/>
  <c r="AR384" i="12"/>
  <c r="AO386" i="12"/>
  <c r="AO22" i="12"/>
  <c r="AO21" i="12" s="1"/>
  <c r="AR395" i="12"/>
  <c r="AP395" i="12" s="1"/>
  <c r="AO43" i="6"/>
  <c r="AR31" i="6"/>
  <c r="AR234" i="6"/>
  <c r="AP234" i="6" s="1"/>
  <c r="AR390" i="12" l="1"/>
  <c r="AO384" i="12"/>
  <c r="AR6" i="12"/>
  <c r="AO6" i="12" s="1"/>
  <c r="AR394" i="12"/>
  <c r="AP394" i="12" s="1"/>
  <c r="AR227" i="6"/>
  <c r="AP227" i="6" s="1"/>
  <c r="AR30" i="6"/>
  <c r="AO30" i="6" s="1"/>
  <c r="AO31" i="6"/>
  <c r="AR232" i="6"/>
  <c r="AP232" i="6" s="1"/>
  <c r="AR387" i="12" l="1"/>
  <c r="AO387" i="12" s="1"/>
  <c r="AO390" i="12"/>
  <c r="AR393" i="12"/>
  <c r="AP393" i="12" s="1"/>
  <c r="AR225" i="6"/>
  <c r="AP225" i="6" s="1"/>
  <c r="AO24" i="6"/>
  <c r="AR23" i="6"/>
  <c r="AR391" i="12" l="1"/>
  <c r="AP391" i="12" s="1"/>
  <c r="AO23" i="6"/>
  <c r="AR6" i="6"/>
  <c r="AO6" i="6" s="1"/>
  <c r="AR231" i="6"/>
  <c r="AP231" i="6" s="1"/>
  <c r="AR228" i="6" l="1"/>
  <c r="AP228" i="6" s="1"/>
  <c r="AK20" i="2" l="1"/>
  <c r="Y40" i="2" l="1"/>
  <c r="AK7" i="2"/>
  <c r="Z22" i="2"/>
  <c r="Z23" i="2"/>
  <c r="Z24" i="2"/>
  <c r="AA22" i="2"/>
  <c r="AA23" i="2"/>
  <c r="AA24" i="2"/>
  <c r="AB22" i="2"/>
  <c r="AB23" i="2"/>
  <c r="AB24" i="2"/>
  <c r="AK6" i="2" l="1"/>
  <c r="Z30" i="12" l="1"/>
  <c r="Z23" i="12"/>
  <c r="AA30" i="12"/>
  <c r="AA23" i="12"/>
  <c r="AB42" i="12"/>
  <c r="AB30" i="12"/>
  <c r="AB23" i="12"/>
  <c r="AK21" i="12" l="1"/>
  <c r="AL21" i="12"/>
  <c r="AM21" i="12"/>
  <c r="AM71" i="12"/>
  <c r="AM24" i="12"/>
  <c r="AL38" i="12"/>
  <c r="AL55" i="12"/>
  <c r="AM7" i="12"/>
  <c r="AK71" i="12"/>
  <c r="AK55" i="12"/>
  <c r="AL24" i="12"/>
  <c r="AK38" i="12"/>
  <c r="AL7" i="12"/>
  <c r="AM38" i="12"/>
  <c r="AK7" i="12"/>
  <c r="AK24" i="12"/>
  <c r="AM55" i="12"/>
  <c r="AL71" i="12"/>
  <c r="AK6" i="12" l="1"/>
  <c r="AK37" i="12"/>
  <c r="AM6" i="12"/>
  <c r="AM37" i="12"/>
  <c r="AL37" i="12"/>
  <c r="AL6" i="12"/>
  <c r="AI153" i="12"/>
  <c r="AI182" i="12"/>
  <c r="AI190" i="12"/>
  <c r="AI206" i="12"/>
  <c r="AI215" i="12"/>
  <c r="AI224" i="12"/>
  <c r="AI233" i="12"/>
  <c r="AI251" i="12"/>
  <c r="AI259" i="12"/>
  <c r="AI291" i="12"/>
  <c r="AH153" i="12"/>
  <c r="AH182" i="12"/>
  <c r="AH190" i="12"/>
  <c r="AH206" i="12"/>
  <c r="AH215" i="12"/>
  <c r="AH224" i="12"/>
  <c r="AH233" i="12"/>
  <c r="AH251" i="12"/>
  <c r="AH259" i="12"/>
  <c r="AH291" i="12"/>
  <c r="AG153" i="12"/>
  <c r="AG182" i="12"/>
  <c r="AG190" i="12"/>
  <c r="AG206" i="12"/>
  <c r="AG215" i="12"/>
  <c r="AG224" i="12"/>
  <c r="AG233" i="12"/>
  <c r="AG251" i="12"/>
  <c r="AG259" i="12"/>
  <c r="AG291" i="12"/>
  <c r="AF336" i="12" l="1"/>
  <c r="AF324" i="12"/>
  <c r="AF327" i="12"/>
  <c r="AF330" i="12"/>
  <c r="AF333" i="12"/>
  <c r="AG276" i="12"/>
  <c r="AG273" i="12"/>
  <c r="AG270" i="12"/>
  <c r="AG267" i="12"/>
  <c r="AG264" i="12"/>
  <c r="AG263" i="12"/>
  <c r="AG258" i="12"/>
  <c r="AG257" i="12"/>
  <c r="AG256" i="12"/>
  <c r="AG255" i="12"/>
  <c r="AG254" i="12"/>
  <c r="AG223" i="12"/>
  <c r="AG222" i="12"/>
  <c r="AG221" i="12"/>
  <c r="AG220" i="12"/>
  <c r="AG219" i="12"/>
  <c r="AG218" i="12"/>
  <c r="AG214" i="12"/>
  <c r="AG213" i="12"/>
  <c r="AG212" i="12"/>
  <c r="AG211" i="12"/>
  <c r="AG210" i="12"/>
  <c r="AG209" i="12"/>
  <c r="AG177" i="12"/>
  <c r="AG160" i="12"/>
  <c r="AG156" i="12"/>
  <c r="AG159" i="12"/>
  <c r="AG158" i="12"/>
  <c r="AL336" i="12" l="1"/>
  <c r="AL333" i="12"/>
  <c r="AL330" i="12"/>
  <c r="AL327" i="12"/>
  <c r="AL322" i="12"/>
  <c r="AK324" i="12" l="1"/>
  <c r="AK336" i="12"/>
  <c r="AK333" i="12"/>
  <c r="AK330" i="12"/>
  <c r="AK327" i="12"/>
  <c r="AK323" i="12"/>
  <c r="AL323" i="12"/>
  <c r="AK322" i="12"/>
  <c r="AL324" i="12"/>
  <c r="AL321" i="12" s="1"/>
  <c r="AK321" i="12" l="1"/>
  <c r="AH276" i="12"/>
  <c r="AH273" i="12"/>
  <c r="AH267" i="12"/>
  <c r="AH264" i="12"/>
  <c r="AH160" i="12"/>
  <c r="AH177" i="12" l="1"/>
  <c r="AH220" i="12"/>
  <c r="AH209" i="12"/>
  <c r="AH158" i="12"/>
  <c r="AH222" i="12"/>
  <c r="AH159" i="12"/>
  <c r="AH212" i="12"/>
  <c r="AH219" i="12"/>
  <c r="AH218" i="12"/>
  <c r="AH210" i="12"/>
  <c r="AH270" i="12"/>
  <c r="AH214" i="12"/>
  <c r="AH156" i="12"/>
  <c r="AH223" i="12"/>
  <c r="AH221" i="12"/>
  <c r="AH211" i="12"/>
  <c r="AH213" i="12"/>
  <c r="AH228" i="12"/>
  <c r="AH232" i="12"/>
  <c r="AH229" i="12"/>
  <c r="AH230" i="12"/>
  <c r="AH257" i="12" l="1"/>
  <c r="AH256" i="12"/>
  <c r="AH254" i="12"/>
  <c r="AH227" i="12"/>
  <c r="AK184" i="12"/>
  <c r="AH255" i="12"/>
  <c r="AH231" i="12"/>
  <c r="AH258" i="12"/>
  <c r="AJ165" i="12" l="1"/>
  <c r="AJ164" i="12"/>
  <c r="AF165" i="12" l="1"/>
  <c r="AG165" i="12" s="1"/>
  <c r="AF164" i="12"/>
  <c r="AG164" i="12" s="1"/>
  <c r="AG232" i="12"/>
  <c r="AG230" i="12"/>
  <c r="AH263" i="12" l="1"/>
  <c r="AH165" i="12"/>
  <c r="AH164" i="12"/>
  <c r="AK342" i="12" l="1"/>
  <c r="AK348" i="12"/>
  <c r="AK148" i="12"/>
  <c r="AK149" i="12"/>
  <c r="AK150" i="12"/>
  <c r="AK151" i="12"/>
  <c r="AK152" i="12"/>
  <c r="AK155" i="12"/>
  <c r="AK208" i="12"/>
  <c r="AO308" i="12" l="1"/>
  <c r="AO307" i="12"/>
  <c r="AO306" i="12"/>
  <c r="AO305" i="12"/>
  <c r="AO304" i="12"/>
  <c r="W168" i="12" l="1"/>
  <c r="T168" i="12"/>
  <c r="S168" i="12"/>
  <c r="R168" i="12"/>
  <c r="Q168" i="12"/>
  <c r="P168" i="12"/>
  <c r="O168" i="12"/>
  <c r="N168" i="12"/>
  <c r="M168" i="12"/>
  <c r="L168" i="12"/>
  <c r="K168" i="12"/>
  <c r="J168" i="12"/>
  <c r="I168" i="12"/>
  <c r="H168" i="12"/>
  <c r="G168" i="12"/>
  <c r="F168" i="12"/>
  <c r="E168" i="12"/>
  <c r="D168" i="12"/>
  <c r="C168" i="12"/>
  <c r="B168" i="12"/>
  <c r="W167" i="12"/>
  <c r="T167" i="12"/>
  <c r="S167" i="12"/>
  <c r="R167" i="12"/>
  <c r="Q167" i="12"/>
  <c r="P167" i="12"/>
  <c r="O167" i="12"/>
  <c r="N167" i="12"/>
  <c r="M167" i="12"/>
  <c r="L167" i="12"/>
  <c r="K167" i="12"/>
  <c r="J167" i="12"/>
  <c r="I167" i="12"/>
  <c r="H167" i="12"/>
  <c r="G167" i="12"/>
  <c r="F167" i="12"/>
  <c r="E167" i="12"/>
  <c r="D167" i="12"/>
  <c r="C167" i="12"/>
  <c r="B167" i="12"/>
  <c r="X166" i="12"/>
  <c r="W166" i="12"/>
  <c r="T166" i="12"/>
  <c r="S166" i="12"/>
  <c r="R166" i="12"/>
  <c r="Q166" i="12"/>
  <c r="P166" i="12"/>
  <c r="O166" i="12"/>
  <c r="N166" i="12"/>
  <c r="M166" i="12"/>
  <c r="L166" i="12"/>
  <c r="K166" i="12"/>
  <c r="J166" i="12"/>
  <c r="I166" i="12"/>
  <c r="H166" i="12"/>
  <c r="G166" i="12"/>
  <c r="F166" i="12"/>
  <c r="E166" i="12"/>
  <c r="D166" i="12"/>
  <c r="C166" i="12"/>
  <c r="B166" i="12"/>
  <c r="AE165" i="12"/>
  <c r="AD165" i="12"/>
  <c r="AC165" i="12"/>
  <c r="Y165" i="12"/>
  <c r="X165" i="12"/>
  <c r="W165" i="12"/>
  <c r="T165" i="12"/>
  <c r="S165" i="12"/>
  <c r="R165" i="12"/>
  <c r="Q165" i="12"/>
  <c r="P165" i="12"/>
  <c r="O165" i="12"/>
  <c r="N165" i="12"/>
  <c r="M165" i="12"/>
  <c r="L165" i="12"/>
  <c r="K165" i="12"/>
  <c r="J165" i="12"/>
  <c r="I165" i="12"/>
  <c r="H165" i="12"/>
  <c r="G165" i="12"/>
  <c r="F165" i="12"/>
  <c r="E165" i="12"/>
  <c r="D165" i="12"/>
  <c r="C165" i="12"/>
  <c r="B165" i="12"/>
  <c r="AE164" i="12"/>
  <c r="AD164" i="12"/>
  <c r="AC164" i="12"/>
  <c r="Y164" i="12"/>
  <c r="X164" i="12"/>
  <c r="W164" i="12"/>
  <c r="T164" i="12"/>
  <c r="S164" i="12"/>
  <c r="R164" i="12"/>
  <c r="Q164" i="12"/>
  <c r="P164" i="12"/>
  <c r="O164" i="12"/>
  <c r="N164" i="12"/>
  <c r="M164" i="12"/>
  <c r="L164" i="12"/>
  <c r="K164" i="12"/>
  <c r="J164" i="12"/>
  <c r="I164" i="12"/>
  <c r="H164" i="12"/>
  <c r="G164" i="12"/>
  <c r="F164" i="12"/>
  <c r="E164" i="12"/>
  <c r="D164" i="12"/>
  <c r="C164" i="12"/>
  <c r="B164" i="12"/>
  <c r="AH216" i="2"/>
  <c r="AG216" i="2"/>
  <c r="AI214" i="2"/>
  <c r="AH214" i="2"/>
  <c r="AG214" i="2"/>
  <c r="AI213" i="2"/>
  <c r="AH213" i="2"/>
  <c r="AG213" i="2"/>
  <c r="AI24" i="2"/>
  <c r="AH24" i="2"/>
  <c r="AG24" i="2"/>
  <c r="AI23" i="2"/>
  <c r="AH23" i="2"/>
  <c r="AG23" i="2"/>
  <c r="AG22" i="2"/>
  <c r="AI42" i="12"/>
  <c r="AH42" i="12"/>
  <c r="AG42" i="12"/>
  <c r="AI30" i="12"/>
  <c r="AG23" i="12"/>
  <c r="B163" i="12" l="1"/>
  <c r="I163" i="12"/>
  <c r="Q163" i="12"/>
  <c r="G163" i="12"/>
  <c r="O163" i="12"/>
  <c r="J163" i="12"/>
  <c r="M163" i="12"/>
  <c r="W163" i="12"/>
  <c r="E163" i="12"/>
  <c r="H163" i="12"/>
  <c r="P163" i="12"/>
  <c r="K163" i="12"/>
  <c r="S163" i="12"/>
  <c r="F163" i="12"/>
  <c r="N163" i="12"/>
  <c r="R163" i="12"/>
  <c r="C163" i="12"/>
  <c r="D163" i="12"/>
  <c r="L163" i="12"/>
  <c r="T163" i="12"/>
  <c r="AN233" i="2"/>
  <c r="AN214" i="2"/>
  <c r="AN213" i="2"/>
  <c r="AN211" i="2"/>
  <c r="AN210" i="2"/>
  <c r="AN209" i="2"/>
  <c r="AN208" i="2"/>
  <c r="AN203" i="2"/>
  <c r="AN200" i="2"/>
  <c r="AN197" i="2"/>
  <c r="AN196" i="2"/>
  <c r="AN194" i="2"/>
  <c r="AN193" i="2"/>
  <c r="AN188" i="2"/>
  <c r="AN186" i="2"/>
  <c r="AN185" i="2"/>
  <c r="AN183" i="2"/>
  <c r="AN182" i="2"/>
  <c r="AN181" i="2"/>
  <c r="AN160" i="2"/>
  <c r="AN159" i="2"/>
  <c r="AN157" i="2"/>
  <c r="AN156" i="2"/>
  <c r="AN149" i="2"/>
  <c r="AN148" i="2"/>
  <c r="AN136" i="2"/>
  <c r="AN135" i="2"/>
  <c r="AN134" i="2"/>
  <c r="AN133" i="2"/>
  <c r="AN131" i="2"/>
  <c r="AN129" i="2"/>
  <c r="AN128" i="2"/>
  <c r="AN124" i="2"/>
  <c r="AN123" i="2"/>
  <c r="AN115" i="2"/>
  <c r="AN113" i="2"/>
  <c r="AN112" i="2"/>
  <c r="AN108" i="2"/>
  <c r="AN107" i="2"/>
  <c r="AN103" i="2"/>
  <c r="AN102" i="2"/>
  <c r="AN97" i="2"/>
  <c r="AN96" i="2"/>
  <c r="AN91" i="2"/>
  <c r="AN90" i="2"/>
  <c r="AN85" i="2"/>
  <c r="AN84" i="2"/>
  <c r="AN79" i="2"/>
  <c r="AN78" i="2"/>
  <c r="AN73" i="2"/>
  <c r="AN72" i="2"/>
  <c r="AN70" i="2"/>
  <c r="AN392" i="12"/>
  <c r="AN335" i="12"/>
  <c r="AN332" i="12"/>
  <c r="AN314" i="12"/>
  <c r="AN313" i="12"/>
  <c r="AN312" i="12"/>
  <c r="AN311" i="12"/>
  <c r="AN310" i="12"/>
  <c r="AN165" i="12"/>
  <c r="AN164" i="12"/>
  <c r="AN85" i="12"/>
  <c r="AN313" i="6"/>
  <c r="AN312" i="6"/>
  <c r="AN293" i="6"/>
  <c r="AN291" i="6"/>
  <c r="AN290" i="6"/>
  <c r="AN271" i="6"/>
  <c r="AN270" i="6"/>
  <c r="AN269" i="6"/>
  <c r="AN223" i="6"/>
  <c r="AN221" i="6"/>
  <c r="AN220" i="6"/>
  <c r="AN214" i="6"/>
  <c r="AN213" i="6"/>
  <c r="AN212" i="6"/>
  <c r="AN194" i="6"/>
  <c r="AN193" i="6"/>
  <c r="AN192" i="6"/>
  <c r="AN191" i="6"/>
  <c r="AN190" i="6"/>
  <c r="AN186" i="6"/>
  <c r="AN185" i="6"/>
  <c r="AN120" i="6"/>
  <c r="AN118" i="6"/>
  <c r="AN104" i="6"/>
  <c r="AN102" i="6"/>
  <c r="AN93" i="6"/>
  <c r="AN92" i="6"/>
  <c r="AN91" i="6"/>
  <c r="AN89" i="6"/>
  <c r="AN88" i="6"/>
  <c r="AN83" i="6"/>
  <c r="AQ220" i="2" l="1"/>
  <c r="AN220" i="2" s="1"/>
  <c r="AQ219" i="2"/>
  <c r="AN219" i="2" s="1"/>
  <c r="AN216" i="2"/>
  <c r="AN215" i="2"/>
  <c r="AQ207" i="2"/>
  <c r="AO206" i="2"/>
  <c r="AO205" i="2"/>
  <c r="AO202" i="2"/>
  <c r="AO199" i="2"/>
  <c r="AQ195" i="2"/>
  <c r="AO195" i="2" s="1"/>
  <c r="AQ192" i="2"/>
  <c r="AO192" i="2" s="1"/>
  <c r="AQ191" i="2"/>
  <c r="AO187" i="2"/>
  <c r="AQ238" i="2" l="1"/>
  <c r="AO238" i="2" s="1"/>
  <c r="AO191" i="2"/>
  <c r="AQ224" i="2"/>
  <c r="AO224" i="2" s="1"/>
  <c r="AO207" i="2"/>
  <c r="AQ198" i="2"/>
  <c r="AO198" i="2" s="1"/>
  <c r="AQ201" i="2"/>
  <c r="AO201" i="2" s="1"/>
  <c r="AQ204" i="2"/>
  <c r="AO204" i="2" s="1"/>
  <c r="AQ212" i="2"/>
  <c r="AN212" i="2" s="1"/>
  <c r="AQ190" i="2"/>
  <c r="AQ189" i="2" l="1"/>
  <c r="AO189" i="2" s="1"/>
  <c r="AO190" i="2"/>
  <c r="AQ237" i="2" l="1"/>
  <c r="AO237" i="2" s="1"/>
  <c r="AQ223" i="2"/>
  <c r="AO223" i="2" s="1"/>
  <c r="AQ184" i="2"/>
  <c r="AO184" i="2" s="1"/>
  <c r="AO166" i="2"/>
  <c r="AO165" i="2"/>
  <c r="AO163" i="2"/>
  <c r="AO162" i="2"/>
  <c r="AQ158" i="2"/>
  <c r="AO158" i="2" s="1"/>
  <c r="AQ155" i="2"/>
  <c r="AO155" i="2" s="1"/>
  <c r="AO151" i="2"/>
  <c r="AO150" i="2"/>
  <c r="AO130" i="2"/>
  <c r="AO126" i="2"/>
  <c r="AO125" i="2"/>
  <c r="AQ132" i="2"/>
  <c r="AO132" i="2" s="1"/>
  <c r="AQ119" i="2"/>
  <c r="AQ118" i="2"/>
  <c r="AO116" i="2"/>
  <c r="AO114" i="2"/>
  <c r="AO110" i="2"/>
  <c r="AO109" i="2"/>
  <c r="AO105" i="2"/>
  <c r="AO104" i="2"/>
  <c r="AO100" i="2"/>
  <c r="AO99" i="2"/>
  <c r="AO98" i="2"/>
  <c r="AO82" i="2"/>
  <c r="AO81" i="2"/>
  <c r="AO80" i="2"/>
  <c r="AO76" i="2"/>
  <c r="AO75" i="2"/>
  <c r="AO74" i="2"/>
  <c r="AQ70" i="2"/>
  <c r="AM70" i="2"/>
  <c r="AN64" i="2"/>
  <c r="AN63" i="2"/>
  <c r="AN36" i="2"/>
  <c r="AN33" i="2"/>
  <c r="AN32" i="2"/>
  <c r="AN31" i="2"/>
  <c r="AN27" i="2"/>
  <c r="AN22" i="2"/>
  <c r="AN19" i="2"/>
  <c r="AN17" i="2"/>
  <c r="AN13" i="2"/>
  <c r="AN12" i="2"/>
  <c r="AN10" i="2"/>
  <c r="AN9" i="2"/>
  <c r="AO350" i="12"/>
  <c r="AO349" i="12"/>
  <c r="AO347" i="12"/>
  <c r="AO346" i="12"/>
  <c r="AO345" i="12"/>
  <c r="AO341" i="12"/>
  <c r="AO340" i="12"/>
  <c r="AO326" i="12"/>
  <c r="AO337" i="12"/>
  <c r="AO334" i="12"/>
  <c r="AO329" i="12"/>
  <c r="AO328" i="12"/>
  <c r="AO325" i="12"/>
  <c r="AO320" i="12"/>
  <c r="AO319" i="12"/>
  <c r="AO318" i="12"/>
  <c r="AO317" i="12"/>
  <c r="AO316" i="12"/>
  <c r="AQ20" i="2" l="1"/>
  <c r="AN20" i="2" s="1"/>
  <c r="AQ144" i="2"/>
  <c r="AO144" i="2" s="1"/>
  <c r="AO119" i="2"/>
  <c r="AQ143" i="2"/>
  <c r="AO143" i="2" s="1"/>
  <c r="AO118" i="2"/>
  <c r="AN338" i="12"/>
  <c r="AO338" i="12"/>
  <c r="AQ330" i="12"/>
  <c r="AO330" i="12" s="1"/>
  <c r="AO331" i="12"/>
  <c r="AN21" i="2"/>
  <c r="AN8" i="2"/>
  <c r="AQ7" i="2"/>
  <c r="AN57" i="2"/>
  <c r="AQ56" i="2"/>
  <c r="AQ101" i="2"/>
  <c r="AO101" i="2" s="1"/>
  <c r="AQ339" i="12"/>
  <c r="AO339" i="12" s="1"/>
  <c r="AM153" i="12"/>
  <c r="AQ127" i="2"/>
  <c r="AO127" i="2" s="1"/>
  <c r="AQ229" i="2"/>
  <c r="AN229" i="2" s="1"/>
  <c r="AN23" i="2"/>
  <c r="AQ230" i="2"/>
  <c r="AN230" i="2" s="1"/>
  <c r="AN24" i="2"/>
  <c r="AQ86" i="2"/>
  <c r="AO86" i="2" s="1"/>
  <c r="AQ87" i="2"/>
  <c r="AO87" i="2" s="1"/>
  <c r="AQ88" i="2"/>
  <c r="AO88" i="2" s="1"/>
  <c r="AQ93" i="2"/>
  <c r="AO93" i="2" s="1"/>
  <c r="AQ121" i="2"/>
  <c r="AO121" i="2" s="1"/>
  <c r="AQ147" i="2"/>
  <c r="AO147" i="2" s="1"/>
  <c r="AQ333" i="12"/>
  <c r="AO333" i="12" s="1"/>
  <c r="AQ324" i="12"/>
  <c r="AO324" i="12" s="1"/>
  <c r="AN326" i="12"/>
  <c r="AQ40" i="2"/>
  <c r="AN40" i="2" s="1"/>
  <c r="AN55" i="2"/>
  <c r="AQ95" i="2"/>
  <c r="AO95" i="2" s="1"/>
  <c r="AQ323" i="12"/>
  <c r="AO323" i="12" s="1"/>
  <c r="AQ342" i="12"/>
  <c r="AO342" i="12" s="1"/>
  <c r="AQ154" i="2"/>
  <c r="AO154" i="2" s="1"/>
  <c r="AQ164" i="2"/>
  <c r="AO164" i="2" s="1"/>
  <c r="AQ161" i="2"/>
  <c r="AO161" i="2" s="1"/>
  <c r="AQ153" i="2"/>
  <c r="AO153" i="2" s="1"/>
  <c r="AQ120" i="2"/>
  <c r="AO120" i="2" s="1"/>
  <c r="AQ122" i="2"/>
  <c r="AO122" i="2" s="1"/>
  <c r="AQ94" i="2"/>
  <c r="AO94" i="2" s="1"/>
  <c r="AQ111" i="2"/>
  <c r="AO111" i="2" s="1"/>
  <c r="AQ92" i="2"/>
  <c r="AO92" i="2" s="1"/>
  <c r="AQ106" i="2"/>
  <c r="AO106" i="2" s="1"/>
  <c r="AQ77" i="2"/>
  <c r="AO77" i="2" s="1"/>
  <c r="AQ71" i="2"/>
  <c r="AO71" i="2" s="1"/>
  <c r="AQ26" i="2"/>
  <c r="AM206" i="12"/>
  <c r="AM208" i="12"/>
  <c r="AM163" i="12"/>
  <c r="AM155" i="12"/>
  <c r="AQ348" i="12"/>
  <c r="AO348" i="12" s="1"/>
  <c r="AQ336" i="12"/>
  <c r="AO336" i="12" s="1"/>
  <c r="AQ327" i="12"/>
  <c r="AO327" i="12" s="1"/>
  <c r="AQ322" i="12"/>
  <c r="AO322" i="12" s="1"/>
  <c r="AQ173" i="2" l="1"/>
  <c r="AQ168" i="2"/>
  <c r="AO168" i="2" s="1"/>
  <c r="AQ169" i="2"/>
  <c r="AO169" i="2" s="1"/>
  <c r="AQ174" i="2"/>
  <c r="AO174" i="2" s="1"/>
  <c r="AO173" i="2"/>
  <c r="AO248" i="2"/>
  <c r="AQ248" i="2"/>
  <c r="AQ25" i="2"/>
  <c r="AN25" i="2" s="1"/>
  <c r="AQ6" i="2"/>
  <c r="AN6" i="2" s="1"/>
  <c r="AM251" i="12"/>
  <c r="AM291" i="12" s="1"/>
  <c r="AQ89" i="2"/>
  <c r="AO89" i="2" s="1"/>
  <c r="AQ83" i="2"/>
  <c r="AQ146" i="2"/>
  <c r="AQ380" i="12"/>
  <c r="AO380" i="12" s="1"/>
  <c r="AQ218" i="2"/>
  <c r="AN56" i="2"/>
  <c r="AQ226" i="2"/>
  <c r="AN226" i="2" s="1"/>
  <c r="AN7" i="2"/>
  <c r="AQ378" i="12"/>
  <c r="AO378" i="12" s="1"/>
  <c r="AQ397" i="12"/>
  <c r="AO397" i="12" s="1"/>
  <c r="AQ227" i="2"/>
  <c r="AN26" i="2"/>
  <c r="AQ117" i="2"/>
  <c r="AO117" i="2" s="1"/>
  <c r="AQ145" i="2"/>
  <c r="AO145" i="2" s="1"/>
  <c r="AQ152" i="2"/>
  <c r="AO152" i="2" s="1"/>
  <c r="AQ321" i="12"/>
  <c r="AO321" i="12" s="1"/>
  <c r="AQ176" i="2" l="1"/>
  <c r="AO176" i="2" s="1"/>
  <c r="AO146" i="2"/>
  <c r="AQ245" i="2"/>
  <c r="AO83" i="2"/>
  <c r="AO245" i="2" s="1"/>
  <c r="AQ171" i="2"/>
  <c r="AO171" i="2" s="1"/>
  <c r="AQ225" i="2"/>
  <c r="AN227" i="2"/>
  <c r="AQ217" i="2"/>
  <c r="AN217" i="2" s="1"/>
  <c r="AN218" i="2"/>
  <c r="AQ142" i="2"/>
  <c r="AQ175" i="2"/>
  <c r="AQ170" i="2"/>
  <c r="AQ377" i="12"/>
  <c r="AQ396" i="12"/>
  <c r="AO396" i="12" s="1"/>
  <c r="AQ252" i="2" l="1"/>
  <c r="AO175" i="2"/>
  <c r="AO252" i="2" s="1"/>
  <c r="AQ256" i="2"/>
  <c r="AO170" i="2"/>
  <c r="AO256" i="2" s="1"/>
  <c r="AQ222" i="2"/>
  <c r="AO222" i="2" s="1"/>
  <c r="AO142" i="2"/>
  <c r="AO377" i="12"/>
  <c r="AQ167" i="2"/>
  <c r="AQ231" i="2"/>
  <c r="AN225" i="2"/>
  <c r="AQ172" i="2"/>
  <c r="AQ221" i="2" l="1"/>
  <c r="AO221" i="2" s="1"/>
  <c r="AQ249" i="2"/>
  <c r="AO172" i="2"/>
  <c r="AO249" i="2" s="1"/>
  <c r="AQ253" i="2"/>
  <c r="AO167" i="2"/>
  <c r="AO253" i="2" s="1"/>
  <c r="AQ228" i="2"/>
  <c r="AN228" i="2" s="1"/>
  <c r="AN231" i="2"/>
  <c r="AQ315" i="12"/>
  <c r="AO315" i="12" s="1"/>
  <c r="AN308" i="12"/>
  <c r="AN307" i="12"/>
  <c r="AN306" i="12"/>
  <c r="AN305" i="12"/>
  <c r="AN304" i="12"/>
  <c r="AQ236" i="2" l="1"/>
  <c r="AO236" i="2" s="1"/>
  <c r="AQ303" i="12"/>
  <c r="AO269" i="12"/>
  <c r="AO275" i="12"/>
  <c r="AO220" i="12"/>
  <c r="AO186" i="12"/>
  <c r="AO177" i="12"/>
  <c r="AO134" i="12"/>
  <c r="AO132" i="12"/>
  <c r="AO119" i="12"/>
  <c r="AO273" i="12"/>
  <c r="AO272" i="12"/>
  <c r="AO270" i="12"/>
  <c r="AO267" i="12"/>
  <c r="AO266" i="12"/>
  <c r="AO264" i="12"/>
  <c r="AO263" i="12"/>
  <c r="AO258" i="12"/>
  <c r="AO257" i="12"/>
  <c r="AO256" i="12"/>
  <c r="AO255" i="12"/>
  <c r="AO254" i="12"/>
  <c r="AO232" i="12"/>
  <c r="AO231" i="12"/>
  <c r="AO229" i="12"/>
  <c r="AO228" i="12"/>
  <c r="AO222" i="12"/>
  <c r="AO219" i="12"/>
  <c r="AO218" i="12"/>
  <c r="AO197" i="12"/>
  <c r="AO196" i="12"/>
  <c r="AO195" i="12"/>
  <c r="AO194" i="12"/>
  <c r="AO193" i="12"/>
  <c r="AO188" i="12"/>
  <c r="AO187" i="12"/>
  <c r="AO185" i="12"/>
  <c r="AO181" i="12"/>
  <c r="AO180" i="12"/>
  <c r="AO179" i="12"/>
  <c r="AO178" i="12"/>
  <c r="AO175" i="12"/>
  <c r="AO174" i="12"/>
  <c r="AO173" i="12"/>
  <c r="AO172" i="12"/>
  <c r="AO171" i="12"/>
  <c r="AO136" i="12"/>
  <c r="AO135" i="12"/>
  <c r="AO133" i="12"/>
  <c r="AO121" i="12"/>
  <c r="AO120" i="12"/>
  <c r="AO118" i="12"/>
  <c r="AO117" i="12"/>
  <c r="AO114" i="12"/>
  <c r="AO112" i="12"/>
  <c r="AO111" i="12"/>
  <c r="AO110" i="12"/>
  <c r="AO99" i="12"/>
  <c r="AO427" i="12" s="1"/>
  <c r="AO98" i="12"/>
  <c r="AO426" i="12" s="1"/>
  <c r="AO97" i="12"/>
  <c r="AO425" i="12" s="1"/>
  <c r="AO96" i="12"/>
  <c r="AO424" i="12" s="1"/>
  <c r="AO95" i="12"/>
  <c r="AQ85" i="12"/>
  <c r="AO113" i="12" l="1"/>
  <c r="AQ235" i="2"/>
  <c r="AO235" i="2" s="1"/>
  <c r="AQ302" i="12"/>
  <c r="AO303" i="12"/>
  <c r="AO302" i="12" s="1"/>
  <c r="AN230" i="12"/>
  <c r="AO230" i="12"/>
  <c r="AN190" i="12"/>
  <c r="AO190" i="12"/>
  <c r="AN215" i="12"/>
  <c r="AO215" i="12"/>
  <c r="AN276" i="12"/>
  <c r="AO276" i="12"/>
  <c r="AN221" i="12"/>
  <c r="AO221" i="12"/>
  <c r="AN156" i="12"/>
  <c r="AO156" i="12"/>
  <c r="AN189" i="12"/>
  <c r="AO189" i="12"/>
  <c r="AN224" i="12"/>
  <c r="AO224" i="12"/>
  <c r="AN166" i="12"/>
  <c r="AO166" i="12"/>
  <c r="AN157" i="12"/>
  <c r="AO157" i="12"/>
  <c r="AN158" i="12"/>
  <c r="AO158" i="12"/>
  <c r="AN209" i="12"/>
  <c r="AO209" i="12"/>
  <c r="AN167" i="12"/>
  <c r="AO167" i="12"/>
  <c r="AN214" i="12"/>
  <c r="AO214" i="12"/>
  <c r="AN223" i="12"/>
  <c r="AO223" i="12"/>
  <c r="AN159" i="12"/>
  <c r="AO159" i="12"/>
  <c r="AN210" i="12"/>
  <c r="AO210" i="12"/>
  <c r="AN233" i="12"/>
  <c r="AO233" i="12"/>
  <c r="AN168" i="12"/>
  <c r="AO168" i="12"/>
  <c r="AN211" i="12"/>
  <c r="AO211" i="12"/>
  <c r="AN227" i="12"/>
  <c r="AO227" i="12"/>
  <c r="AN160" i="12"/>
  <c r="AO160" i="12"/>
  <c r="AN212" i="12"/>
  <c r="AO212" i="12"/>
  <c r="AN259" i="12"/>
  <c r="AO259" i="12"/>
  <c r="AO423" i="12"/>
  <c r="AN182" i="12"/>
  <c r="AO182" i="12"/>
  <c r="AN213" i="12"/>
  <c r="AO213" i="12"/>
  <c r="AQ425" i="12"/>
  <c r="AQ426" i="12"/>
  <c r="AQ424" i="12"/>
  <c r="AQ365" i="12"/>
  <c r="AO365" i="12" s="1"/>
  <c r="AN110" i="12"/>
  <c r="AQ234" i="2"/>
  <c r="AO234" i="2" s="1"/>
  <c r="AQ89" i="12"/>
  <c r="AO89" i="12" s="1"/>
  <c r="AQ153" i="12"/>
  <c r="AQ91" i="12"/>
  <c r="AO91" i="12" s="1"/>
  <c r="AQ427" i="12"/>
  <c r="AQ109" i="12"/>
  <c r="AO109" i="12" s="1"/>
  <c r="AQ94" i="12"/>
  <c r="AO94" i="12" s="1"/>
  <c r="AQ423" i="12"/>
  <c r="AQ422" i="12"/>
  <c r="AQ88" i="12"/>
  <c r="AO88" i="12" s="1"/>
  <c r="AQ90" i="12"/>
  <c r="AO90" i="12" s="1"/>
  <c r="AQ148" i="12"/>
  <c r="AO148" i="12" s="1"/>
  <c r="AQ87" i="12"/>
  <c r="AO87" i="12" s="1"/>
  <c r="AQ253" i="12"/>
  <c r="AO253" i="12" s="1"/>
  <c r="AQ150" i="12"/>
  <c r="AO150" i="12" s="1"/>
  <c r="AQ151" i="12"/>
  <c r="AO151" i="12" s="1"/>
  <c r="AQ152" i="12"/>
  <c r="AO152" i="12" s="1"/>
  <c r="AQ149" i="12"/>
  <c r="AO149" i="12" s="1"/>
  <c r="AQ163" i="12"/>
  <c r="AQ206" i="12"/>
  <c r="AO206" i="12" s="1"/>
  <c r="AQ226" i="12"/>
  <c r="AO226" i="12" s="1"/>
  <c r="AQ217" i="12"/>
  <c r="AO217" i="12" s="1"/>
  <c r="AQ208" i="12"/>
  <c r="AQ170" i="12"/>
  <c r="AO170" i="12" s="1"/>
  <c r="AQ184" i="12"/>
  <c r="AO184" i="12" s="1"/>
  <c r="AQ176" i="12"/>
  <c r="AO176" i="12" s="1"/>
  <c r="AQ155" i="12"/>
  <c r="AQ204" i="12"/>
  <c r="AO204" i="12" s="1"/>
  <c r="AQ116" i="12"/>
  <c r="AO116" i="12" s="1"/>
  <c r="AQ131" i="12"/>
  <c r="AO131" i="12" s="1"/>
  <c r="AQ192" i="12"/>
  <c r="AO192" i="12" s="1"/>
  <c r="AQ265" i="12"/>
  <c r="AQ271" i="12"/>
  <c r="AQ203" i="12"/>
  <c r="AO203" i="12" s="1"/>
  <c r="AQ274" i="12"/>
  <c r="AQ268" i="12"/>
  <c r="AQ262" i="12"/>
  <c r="AQ205" i="12"/>
  <c r="AO205" i="12" s="1"/>
  <c r="AQ202" i="12"/>
  <c r="AO202" i="12" s="1"/>
  <c r="AQ201" i="12"/>
  <c r="AO201" i="12" s="1"/>
  <c r="AQ200" i="12"/>
  <c r="AO200" i="12" s="1"/>
  <c r="AN82" i="12"/>
  <c r="AN81" i="12"/>
  <c r="AN80" i="12"/>
  <c r="AN79" i="12"/>
  <c r="AN78" i="12"/>
  <c r="AN74" i="12"/>
  <c r="AN73" i="12"/>
  <c r="AN72" i="12"/>
  <c r="AN70" i="12"/>
  <c r="AN69" i="12"/>
  <c r="AN66" i="12"/>
  <c r="AN64" i="12"/>
  <c r="AN63" i="12"/>
  <c r="AN62" i="12"/>
  <c r="AN60" i="12"/>
  <c r="AN59" i="12"/>
  <c r="AN58" i="12"/>
  <c r="AN57" i="12"/>
  <c r="AN56" i="12"/>
  <c r="AN54" i="12"/>
  <c r="AN50" i="12"/>
  <c r="AN49" i="12"/>
  <c r="AN48" i="12"/>
  <c r="AN47" i="12"/>
  <c r="AN46" i="12"/>
  <c r="AN45" i="12"/>
  <c r="AN44" i="12"/>
  <c r="AN43" i="12"/>
  <c r="AN42" i="12"/>
  <c r="AN41" i="12"/>
  <c r="AN40" i="12"/>
  <c r="AN39" i="12"/>
  <c r="AN36" i="12"/>
  <c r="AN35" i="12"/>
  <c r="AN34" i="12"/>
  <c r="AN33" i="12"/>
  <c r="AN30" i="12"/>
  <c r="AN29" i="12"/>
  <c r="AN27" i="12"/>
  <c r="AN26" i="12"/>
  <c r="AN23" i="12"/>
  <c r="AN20" i="12"/>
  <c r="AN19" i="12"/>
  <c r="AN14" i="12"/>
  <c r="AN13" i="12"/>
  <c r="AN12" i="12"/>
  <c r="AN11" i="12"/>
  <c r="AN10" i="12"/>
  <c r="AN9" i="12"/>
  <c r="AN8" i="12"/>
  <c r="AN219" i="6"/>
  <c r="AQ311" i="6"/>
  <c r="AQ310" i="6"/>
  <c r="AQ309" i="6"/>
  <c r="AQ307" i="6"/>
  <c r="AQ306" i="6"/>
  <c r="AQ305" i="6"/>
  <c r="AQ304" i="6"/>
  <c r="AQ289" i="6"/>
  <c r="AQ288" i="6"/>
  <c r="AQ287" i="6"/>
  <c r="AQ285" i="6"/>
  <c r="AQ284" i="6"/>
  <c r="AQ283" i="6"/>
  <c r="AQ282" i="6"/>
  <c r="AQ268" i="6"/>
  <c r="AQ267" i="6"/>
  <c r="AQ266" i="6"/>
  <c r="AQ264" i="6"/>
  <c r="AQ263" i="6"/>
  <c r="AQ262" i="6"/>
  <c r="AQ261" i="6"/>
  <c r="AQ216" i="6"/>
  <c r="AQ215" i="6"/>
  <c r="AQ199" i="6"/>
  <c r="AQ189" i="6"/>
  <c r="AN189" i="6" s="1"/>
  <c r="AN188" i="6"/>
  <c r="AN187" i="6"/>
  <c r="AO271" i="12" l="1"/>
  <c r="AO265" i="12"/>
  <c r="AO262" i="12"/>
  <c r="AO268" i="12"/>
  <c r="AO274" i="12"/>
  <c r="AW430" i="12"/>
  <c r="AX430" i="12"/>
  <c r="AW433" i="12"/>
  <c r="AX433" i="12"/>
  <c r="AW432" i="12"/>
  <c r="AX432" i="12"/>
  <c r="AW428" i="12"/>
  <c r="AX428" i="12"/>
  <c r="AW431" i="12"/>
  <c r="AX431" i="12"/>
  <c r="AO422" i="12"/>
  <c r="AQ21" i="12"/>
  <c r="AN155" i="12"/>
  <c r="AO155" i="12"/>
  <c r="AN153" i="12"/>
  <c r="AO153" i="12"/>
  <c r="AN163" i="12"/>
  <c r="AO163" i="12"/>
  <c r="AN208" i="12"/>
  <c r="AO208" i="12"/>
  <c r="AN22" i="12"/>
  <c r="AN21" i="12" s="1"/>
  <c r="AQ31" i="12"/>
  <c r="AQ389" i="12" s="1"/>
  <c r="AN389" i="12" s="1"/>
  <c r="AN25" i="12"/>
  <c r="AQ24" i="12"/>
  <c r="AQ388" i="12" s="1"/>
  <c r="AN388" i="12" s="1"/>
  <c r="AQ265" i="6"/>
  <c r="AQ356" i="12"/>
  <c r="AO356" i="12" s="1"/>
  <c r="AN179" i="6"/>
  <c r="AQ360" i="12"/>
  <c r="AO360" i="12" s="1"/>
  <c r="AN183" i="6"/>
  <c r="AQ373" i="12"/>
  <c r="AN373" i="12" s="1"/>
  <c r="AN75" i="12"/>
  <c r="AQ86" i="12"/>
  <c r="AQ364" i="12"/>
  <c r="AO364" i="12" s="1"/>
  <c r="AQ142" i="12"/>
  <c r="AQ357" i="12"/>
  <c r="AO357" i="12" s="1"/>
  <c r="AN180" i="6"/>
  <c r="AQ374" i="12"/>
  <c r="AN374" i="12" s="1"/>
  <c r="AQ251" i="12"/>
  <c r="AO251" i="12" s="1"/>
  <c r="AN206" i="12"/>
  <c r="AQ358" i="12"/>
  <c r="AO358" i="12" s="1"/>
  <c r="AN181" i="6"/>
  <c r="AQ143" i="12"/>
  <c r="AQ144" i="12"/>
  <c r="AQ238" i="6"/>
  <c r="AQ208" i="6"/>
  <c r="AQ359" i="12"/>
  <c r="AO359" i="12" s="1"/>
  <c r="AN182" i="6"/>
  <c r="AQ248" i="12"/>
  <c r="AQ141" i="12"/>
  <c r="AQ232" i="2"/>
  <c r="AO232" i="2" s="1"/>
  <c r="AQ303" i="6"/>
  <c r="AQ140" i="12"/>
  <c r="AQ260" i="6"/>
  <c r="AQ286" i="6"/>
  <c r="AQ168" i="6"/>
  <c r="AQ237" i="6" s="1"/>
  <c r="AQ308" i="6"/>
  <c r="AQ147" i="12"/>
  <c r="AO147" i="12" s="1"/>
  <c r="AQ199" i="12"/>
  <c r="AO199" i="12" s="1"/>
  <c r="AQ281" i="6"/>
  <c r="AQ184" i="6"/>
  <c r="AN184" i="6" s="1"/>
  <c r="AQ171" i="6"/>
  <c r="AQ261" i="12"/>
  <c r="AQ71" i="12"/>
  <c r="AQ55" i="12"/>
  <c r="AN55" i="12" s="1"/>
  <c r="AQ38" i="12"/>
  <c r="AQ7" i="12"/>
  <c r="AQ178" i="6"/>
  <c r="AQ83" i="6"/>
  <c r="AN78" i="6"/>
  <c r="AN75" i="6"/>
  <c r="AN70" i="6"/>
  <c r="AN66" i="6"/>
  <c r="AN65" i="6"/>
  <c r="AN61" i="6"/>
  <c r="AN59" i="6"/>
  <c r="AN58" i="6"/>
  <c r="AN57" i="6"/>
  <c r="AN56" i="6"/>
  <c r="AN54" i="6"/>
  <c r="AN53" i="6"/>
  <c r="AN52" i="6"/>
  <c r="AN51" i="6"/>
  <c r="AN50" i="6"/>
  <c r="AN48" i="6"/>
  <c r="AN42" i="6"/>
  <c r="AN41" i="6"/>
  <c r="AN40" i="6"/>
  <c r="AN39" i="6"/>
  <c r="AN38" i="6"/>
  <c r="AN37" i="6"/>
  <c r="AN36" i="6"/>
  <c r="AN35" i="6"/>
  <c r="AN34" i="6"/>
  <c r="AN33" i="6"/>
  <c r="AN32" i="6"/>
  <c r="AN25" i="6"/>
  <c r="AN22" i="6"/>
  <c r="AN19" i="6"/>
  <c r="AN14" i="6"/>
  <c r="AN13" i="6"/>
  <c r="AN12" i="6"/>
  <c r="AN11" i="6"/>
  <c r="AN10" i="6"/>
  <c r="AN9" i="6"/>
  <c r="AN8" i="6"/>
  <c r="AO261" i="12" l="1"/>
  <c r="AQ249" i="12"/>
  <c r="AO249" i="12" s="1"/>
  <c r="AO143" i="12"/>
  <c r="AQ288" i="12"/>
  <c r="AO288" i="12" s="1"/>
  <c r="AO248" i="12"/>
  <c r="AO86" i="12"/>
  <c r="AQ245" i="12"/>
  <c r="AO140" i="12"/>
  <c r="AQ247" i="12"/>
  <c r="AO247" i="12" s="1"/>
  <c r="AO142" i="12"/>
  <c r="AQ246" i="12"/>
  <c r="AO141" i="12"/>
  <c r="AQ250" i="12"/>
  <c r="AO144" i="12"/>
  <c r="AN68" i="6"/>
  <c r="AQ67" i="6"/>
  <c r="AN24" i="12"/>
  <c r="AN31" i="12"/>
  <c r="AQ206" i="6"/>
  <c r="AQ355" i="12"/>
  <c r="AO355" i="12" s="1"/>
  <c r="AQ139" i="12"/>
  <c r="AQ202" i="6"/>
  <c r="AN202" i="6" s="1"/>
  <c r="AN71" i="6"/>
  <c r="AQ175" i="6"/>
  <c r="AQ386" i="12"/>
  <c r="AN386" i="12" s="1"/>
  <c r="AN38" i="12"/>
  <c r="AQ369" i="12"/>
  <c r="AO369" i="12" s="1"/>
  <c r="AQ229" i="6"/>
  <c r="AN229" i="6" s="1"/>
  <c r="AN26" i="6"/>
  <c r="AQ177" i="6"/>
  <c r="AN177" i="6" s="1"/>
  <c r="AN178" i="6"/>
  <c r="AQ366" i="12"/>
  <c r="AQ367" i="12"/>
  <c r="AQ368" i="12"/>
  <c r="AO368" i="12" s="1"/>
  <c r="AQ230" i="6"/>
  <c r="AN230" i="6" s="1"/>
  <c r="AN27" i="6"/>
  <c r="AQ203" i="6"/>
  <c r="AN203" i="6" s="1"/>
  <c r="AQ372" i="12"/>
  <c r="AN71" i="12"/>
  <c r="AQ370" i="12"/>
  <c r="AQ198" i="6"/>
  <c r="AQ385" i="12"/>
  <c r="AN385" i="12" s="1"/>
  <c r="AN7" i="12"/>
  <c r="AQ291" i="12"/>
  <c r="AN251" i="12"/>
  <c r="AQ37" i="12"/>
  <c r="AN37" i="12" s="1"/>
  <c r="AQ115" i="6"/>
  <c r="AQ108" i="6"/>
  <c r="AQ97" i="6"/>
  <c r="AQ84" i="6"/>
  <c r="AQ49" i="6"/>
  <c r="AN49" i="6" s="1"/>
  <c r="AQ7" i="6"/>
  <c r="AQ289" i="12" l="1"/>
  <c r="AQ297" i="12" s="1"/>
  <c r="AQ299" i="6"/>
  <c r="AQ287" i="12"/>
  <c r="AO367" i="12"/>
  <c r="AO406" i="12" s="1"/>
  <c r="AQ286" i="12"/>
  <c r="AQ295" i="12" s="1"/>
  <c r="AO246" i="12"/>
  <c r="AO370" i="12"/>
  <c r="AO409" i="12" s="1"/>
  <c r="AO366" i="12"/>
  <c r="AO405" i="12" s="1"/>
  <c r="AO407" i="12"/>
  <c r="AQ290" i="12"/>
  <c r="AQ298" i="12" s="1"/>
  <c r="AO250" i="12"/>
  <c r="AQ285" i="12"/>
  <c r="AO245" i="12"/>
  <c r="AO408" i="12"/>
  <c r="AN291" i="12"/>
  <c r="AO291" i="12"/>
  <c r="AQ363" i="12"/>
  <c r="AO363" i="12" s="1"/>
  <c r="AO139" i="12"/>
  <c r="AQ6" i="12"/>
  <c r="AN6" i="12" s="1"/>
  <c r="AQ244" i="12"/>
  <c r="AQ384" i="12"/>
  <c r="AQ390" i="12" s="1"/>
  <c r="AQ201" i="6"/>
  <c r="AN67" i="6"/>
  <c r="AQ96" i="6"/>
  <c r="AQ112" i="6" s="1"/>
  <c r="AQ371" i="12"/>
  <c r="AN371" i="12" s="1"/>
  <c r="AN372" i="12"/>
  <c r="AQ256" i="6"/>
  <c r="AQ406" i="12"/>
  <c r="AQ362" i="12"/>
  <c r="AO362" i="12" s="1"/>
  <c r="AQ207" i="6"/>
  <c r="AQ226" i="6"/>
  <c r="AN226" i="6" s="1"/>
  <c r="AN7" i="6"/>
  <c r="AQ259" i="6"/>
  <c r="AQ409" i="12"/>
  <c r="AQ257" i="6"/>
  <c r="AQ407" i="12"/>
  <c r="AQ255" i="6"/>
  <c r="AQ405" i="12"/>
  <c r="AQ258" i="6"/>
  <c r="AQ408" i="12"/>
  <c r="AN206" i="2"/>
  <c r="AN205" i="2"/>
  <c r="AN202" i="2"/>
  <c r="AN187" i="2"/>
  <c r="AO289" i="12" l="1"/>
  <c r="AO420" i="12" s="1"/>
  <c r="AQ300" i="6"/>
  <c r="AQ420" i="12"/>
  <c r="AQ417" i="12"/>
  <c r="AQ294" i="12"/>
  <c r="AO295" i="12"/>
  <c r="AO298" i="12"/>
  <c r="AO287" i="12"/>
  <c r="AO419" i="12" s="1"/>
  <c r="AQ296" i="12"/>
  <c r="AQ413" i="12" s="1"/>
  <c r="AO297" i="12"/>
  <c r="AO414" i="12" s="1"/>
  <c r="AQ419" i="12"/>
  <c r="AQ277" i="6"/>
  <c r="AQ298" i="6"/>
  <c r="AQ284" i="12"/>
  <c r="AO404" i="12"/>
  <c r="AO290" i="12"/>
  <c r="AO421" i="12" s="1"/>
  <c r="AQ301" i="6"/>
  <c r="AO286" i="12"/>
  <c r="AO418" i="12" s="1"/>
  <c r="AQ297" i="6"/>
  <c r="AQ376" i="12"/>
  <c r="AO244" i="12"/>
  <c r="AQ418" i="12"/>
  <c r="AQ278" i="6"/>
  <c r="AO285" i="12"/>
  <c r="AO417" i="12" s="1"/>
  <c r="AQ296" i="6"/>
  <c r="AQ421" i="12"/>
  <c r="AN384" i="12"/>
  <c r="AM198" i="2"/>
  <c r="AN198" i="2" s="1"/>
  <c r="AN199" i="2"/>
  <c r="AQ197" i="6"/>
  <c r="AQ254" i="6"/>
  <c r="AQ404" i="12"/>
  <c r="AQ387" i="12"/>
  <c r="AN387" i="12" s="1"/>
  <c r="AN390" i="12"/>
  <c r="AQ200" i="6"/>
  <c r="AN200" i="6" s="1"/>
  <c r="AN201" i="6"/>
  <c r="AQ414" i="12"/>
  <c r="AQ119" i="6"/>
  <c r="AQ205" i="6"/>
  <c r="AO284" i="12" l="1"/>
  <c r="AO416" i="12" s="1"/>
  <c r="AQ293" i="12"/>
  <c r="AQ410" i="12" s="1"/>
  <c r="AO294" i="12"/>
  <c r="AO296" i="12"/>
  <c r="AO413" i="12" s="1"/>
  <c r="AQ276" i="6"/>
  <c r="AQ416" i="12"/>
  <c r="AQ295" i="6"/>
  <c r="AO412" i="12"/>
  <c r="AQ275" i="6"/>
  <c r="AQ412" i="12"/>
  <c r="AQ375" i="12"/>
  <c r="AO376" i="12"/>
  <c r="AQ279" i="6"/>
  <c r="AO415" i="12"/>
  <c r="AQ415" i="12"/>
  <c r="AO411" i="12"/>
  <c r="AQ411" i="12"/>
  <c r="AQ274" i="6"/>
  <c r="AQ121" i="6"/>
  <c r="AQ294" i="6" s="1"/>
  <c r="AQ204" i="6"/>
  <c r="AQ122" i="6" s="1"/>
  <c r="AQ196" i="6"/>
  <c r="AO293" i="12" l="1"/>
  <c r="AO410" i="12" s="1"/>
  <c r="AQ273" i="6"/>
  <c r="AQ395" i="12"/>
  <c r="AO375" i="12"/>
  <c r="AQ218" i="6"/>
  <c r="AQ217" i="6" s="1"/>
  <c r="AQ249" i="6"/>
  <c r="AQ248" i="6"/>
  <c r="AQ272" i="6"/>
  <c r="AQ236" i="6"/>
  <c r="AQ235" i="6" s="1"/>
  <c r="AQ315" i="6"/>
  <c r="AQ253" i="6"/>
  <c r="AQ247" i="6"/>
  <c r="AM212" i="2"/>
  <c r="AM207" i="2"/>
  <c r="AN207" i="2" s="1"/>
  <c r="AM204" i="2"/>
  <c r="AN204" i="2" s="1"/>
  <c r="AM201" i="2"/>
  <c r="AN201" i="2" s="1"/>
  <c r="AM195" i="2"/>
  <c r="AN195" i="2" s="1"/>
  <c r="AM192" i="2"/>
  <c r="AN192" i="2" s="1"/>
  <c r="AM191" i="2"/>
  <c r="AM190" i="2"/>
  <c r="AN190" i="2" s="1"/>
  <c r="AM230" i="2"/>
  <c r="AM229" i="2"/>
  <c r="AM220" i="2"/>
  <c r="AM219" i="2"/>
  <c r="AM184" i="2"/>
  <c r="AN184" i="2" s="1"/>
  <c r="AN82" i="2"/>
  <c r="B88" i="2"/>
  <c r="C88" i="2"/>
  <c r="D88" i="2"/>
  <c r="E88" i="2"/>
  <c r="F88" i="2"/>
  <c r="G88" i="2"/>
  <c r="H88" i="2"/>
  <c r="I88" i="2"/>
  <c r="J88" i="2"/>
  <c r="K88" i="2"/>
  <c r="L88" i="2"/>
  <c r="M88" i="2"/>
  <c r="N88" i="2"/>
  <c r="O88" i="2"/>
  <c r="P88" i="2"/>
  <c r="Q88" i="2"/>
  <c r="Y88" i="2"/>
  <c r="AC88" i="2"/>
  <c r="AD88" i="2"/>
  <c r="AE88" i="2"/>
  <c r="AF88" i="2"/>
  <c r="AJ88" i="2"/>
  <c r="AK88" i="2"/>
  <c r="AN166" i="2"/>
  <c r="AN165" i="2"/>
  <c r="AN163" i="2"/>
  <c r="AN162" i="2"/>
  <c r="AM158" i="2"/>
  <c r="AN158" i="2" s="1"/>
  <c r="AM155" i="2"/>
  <c r="AN155" i="2" s="1"/>
  <c r="AN151" i="2"/>
  <c r="AN150" i="2"/>
  <c r="AM132" i="2"/>
  <c r="AN132" i="2" s="1"/>
  <c r="AN125" i="2"/>
  <c r="AM119" i="2"/>
  <c r="AM118" i="2"/>
  <c r="AN116" i="2"/>
  <c r="AN114" i="2"/>
  <c r="AN110" i="2"/>
  <c r="AN109" i="2"/>
  <c r="AN105" i="2"/>
  <c r="AN104" i="2"/>
  <c r="AN100" i="2"/>
  <c r="AN99" i="2"/>
  <c r="AN98" i="2"/>
  <c r="AN81" i="2"/>
  <c r="AN80" i="2"/>
  <c r="AN76" i="2"/>
  <c r="AN75" i="2"/>
  <c r="AN74" i="2"/>
  <c r="AM40" i="2"/>
  <c r="AN353" i="12"/>
  <c r="AN352" i="12"/>
  <c r="AN351" i="12"/>
  <c r="AN350" i="12"/>
  <c r="AN349" i="12"/>
  <c r="AN347" i="12"/>
  <c r="AN346" i="12"/>
  <c r="AN345" i="12"/>
  <c r="AN344" i="12"/>
  <c r="AN343" i="12"/>
  <c r="AN341" i="12"/>
  <c r="AN340" i="12"/>
  <c r="AN328" i="12"/>
  <c r="AM20" i="2" l="1"/>
  <c r="AQ394" i="12"/>
  <c r="AO395" i="12"/>
  <c r="AM56" i="2"/>
  <c r="AM224" i="2"/>
  <c r="AN224" i="2" s="1"/>
  <c r="AM26" i="2"/>
  <c r="AM227" i="2" s="1"/>
  <c r="AM7" i="2"/>
  <c r="AM323" i="12"/>
  <c r="AN329" i="12"/>
  <c r="AM121" i="2"/>
  <c r="AN121" i="2" s="1"/>
  <c r="AN126" i="2"/>
  <c r="AM324" i="12"/>
  <c r="AN324" i="12" s="1"/>
  <c r="AN325" i="12"/>
  <c r="AM330" i="12"/>
  <c r="AN330" i="12" s="1"/>
  <c r="AN331" i="12"/>
  <c r="AM336" i="12"/>
  <c r="AN336" i="12" s="1"/>
  <c r="AN337" i="12"/>
  <c r="AM127" i="2"/>
  <c r="AN127" i="2" s="1"/>
  <c r="AN130" i="2"/>
  <c r="AM333" i="12"/>
  <c r="AN333" i="12" s="1"/>
  <c r="AN334" i="12"/>
  <c r="AM238" i="2"/>
  <c r="AN238" i="2" s="1"/>
  <c r="AN191" i="2"/>
  <c r="AM143" i="2"/>
  <c r="AN143" i="2" s="1"/>
  <c r="AN118" i="2"/>
  <c r="AM144" i="2"/>
  <c r="AN144" i="2" s="1"/>
  <c r="AN119" i="2"/>
  <c r="AQ234" i="6"/>
  <c r="AM77" i="2"/>
  <c r="AN77" i="2" s="1"/>
  <c r="AM161" i="2"/>
  <c r="AN161" i="2" s="1"/>
  <c r="AM88" i="2"/>
  <c r="AN88" i="2" s="1"/>
  <c r="AM339" i="12"/>
  <c r="AN339" i="12" s="1"/>
  <c r="AM348" i="12"/>
  <c r="AM189" i="2"/>
  <c r="AM153" i="2"/>
  <c r="AN153" i="2" s="1"/>
  <c r="AG88" i="2"/>
  <c r="AM154" i="2"/>
  <c r="AN154" i="2" s="1"/>
  <c r="Z88" i="2"/>
  <c r="AM101" i="2"/>
  <c r="AN101" i="2" s="1"/>
  <c r="AM122" i="2"/>
  <c r="AN122" i="2" s="1"/>
  <c r="AM94" i="2"/>
  <c r="AN94" i="2" s="1"/>
  <c r="AM164" i="2"/>
  <c r="AN164" i="2" s="1"/>
  <c r="AM147" i="2"/>
  <c r="AN147" i="2" s="1"/>
  <c r="AM120" i="2"/>
  <c r="AM111" i="2"/>
  <c r="AN111" i="2" s="1"/>
  <c r="AM95" i="2"/>
  <c r="AN95" i="2" s="1"/>
  <c r="AM106" i="2"/>
  <c r="AN106" i="2" s="1"/>
  <c r="AM86" i="2"/>
  <c r="AM93" i="2"/>
  <c r="AN93" i="2" s="1"/>
  <c r="AM92" i="2"/>
  <c r="AN92" i="2" s="1"/>
  <c r="AM87" i="2"/>
  <c r="AN87" i="2" s="1"/>
  <c r="AM71" i="2"/>
  <c r="AN71" i="2" s="1"/>
  <c r="AM218" i="2"/>
  <c r="AM217" i="2" s="1"/>
  <c r="AM342" i="12"/>
  <c r="AM327" i="12"/>
  <c r="AM322" i="12"/>
  <c r="AN322" i="12" s="1"/>
  <c r="AN86" i="2" l="1"/>
  <c r="AN248" i="2" s="1"/>
  <c r="AM248" i="2"/>
  <c r="AQ393" i="12"/>
  <c r="AO394" i="12"/>
  <c r="AM6" i="2"/>
  <c r="AM25" i="2"/>
  <c r="AM226" i="2"/>
  <c r="AM225" i="2" s="1"/>
  <c r="AM231" i="2" s="1"/>
  <c r="AM228" i="2" s="1"/>
  <c r="AM168" i="2"/>
  <c r="AM174" i="2"/>
  <c r="AM380" i="12"/>
  <c r="AN380" i="12" s="1"/>
  <c r="AN348" i="12"/>
  <c r="AM321" i="12"/>
  <c r="AN321" i="12" s="1"/>
  <c r="AN327" i="12"/>
  <c r="AM378" i="12"/>
  <c r="AN378" i="12" s="1"/>
  <c r="AN342" i="12"/>
  <c r="AM169" i="2"/>
  <c r="AM397" i="12"/>
  <c r="AN397" i="12" s="1"/>
  <c r="AN323" i="12"/>
  <c r="AQ31" i="6"/>
  <c r="AN43" i="6"/>
  <c r="AM117" i="2"/>
  <c r="AN117" i="2" s="1"/>
  <c r="AN120" i="2"/>
  <c r="AM237" i="2"/>
  <c r="AN237" i="2" s="1"/>
  <c r="AN189" i="2"/>
  <c r="AM173" i="2"/>
  <c r="AM152" i="2"/>
  <c r="AN152" i="2" s="1"/>
  <c r="AM83" i="2"/>
  <c r="AQ23" i="6"/>
  <c r="AQ6" i="6" s="1"/>
  <c r="AM223" i="2"/>
  <c r="AN223" i="2" s="1"/>
  <c r="AM146" i="2"/>
  <c r="AN146" i="2" s="1"/>
  <c r="AM145" i="2"/>
  <c r="AN145" i="2" s="1"/>
  <c r="AM89" i="2"/>
  <c r="AN169" i="2" l="1"/>
  <c r="AN168" i="2"/>
  <c r="AN173" i="2"/>
  <c r="AN174" i="2"/>
  <c r="AN83" i="2"/>
  <c r="AM245" i="2"/>
  <c r="AQ391" i="12"/>
  <c r="AO391" i="12" s="1"/>
  <c r="AO393" i="12"/>
  <c r="AN31" i="6"/>
  <c r="AQ30" i="6"/>
  <c r="AN30" i="6" s="1"/>
  <c r="AQ227" i="6"/>
  <c r="AQ225" i="6" s="1"/>
  <c r="AM396" i="12"/>
  <c r="AN396" i="12" s="1"/>
  <c r="AM377" i="12"/>
  <c r="AN377" i="12" s="1"/>
  <c r="AN24" i="6"/>
  <c r="AM142" i="2"/>
  <c r="AN142" i="2" s="1"/>
  <c r="AN89" i="2"/>
  <c r="AM175" i="2"/>
  <c r="AM170" i="2"/>
  <c r="AM256" i="2" s="1"/>
  <c r="AM176" i="2"/>
  <c r="AN176" i="2" s="1"/>
  <c r="AM171" i="2"/>
  <c r="AN245" i="2" l="1"/>
  <c r="AN175" i="2"/>
  <c r="AN252" i="2" s="1"/>
  <c r="AM252" i="2"/>
  <c r="AN227" i="6"/>
  <c r="AQ231" i="6"/>
  <c r="AN225" i="6"/>
  <c r="AN6" i="6"/>
  <c r="AN23" i="6"/>
  <c r="AM222" i="2"/>
  <c r="AN171" i="2"/>
  <c r="AN170" i="2"/>
  <c r="AN256" i="2" s="1"/>
  <c r="AM167" i="2"/>
  <c r="AM253" i="2" s="1"/>
  <c r="AM172" i="2"/>
  <c r="AN172" i="2" l="1"/>
  <c r="AN249" i="2" s="1"/>
  <c r="AM249" i="2"/>
  <c r="AQ228" i="6"/>
  <c r="AN228" i="6" s="1"/>
  <c r="AN231" i="6"/>
  <c r="AN222" i="2"/>
  <c r="AM221" i="2"/>
  <c r="AN167" i="2"/>
  <c r="AN253" i="2" s="1"/>
  <c r="AM236" i="2" l="1"/>
  <c r="AN221" i="2"/>
  <c r="AN319" i="12"/>
  <c r="AN320" i="12"/>
  <c r="AN318" i="12"/>
  <c r="AN316" i="12"/>
  <c r="AN317" i="12"/>
  <c r="AM235" i="2" l="1"/>
  <c r="AN236" i="2"/>
  <c r="AM315" i="12"/>
  <c r="AN315" i="12" s="1"/>
  <c r="AM234" i="2" l="1"/>
  <c r="AN235" i="2"/>
  <c r="AM303" i="12"/>
  <c r="AN111" i="12"/>
  <c r="AN112" i="12"/>
  <c r="AN114" i="12"/>
  <c r="AN181" i="12"/>
  <c r="AN119" i="12"/>
  <c r="AN275" i="12"/>
  <c r="AN273" i="12"/>
  <c r="AN272" i="12"/>
  <c r="AN270" i="12"/>
  <c r="AN269" i="12"/>
  <c r="AN267" i="12"/>
  <c r="AN266" i="12"/>
  <c r="AN264" i="12"/>
  <c r="AN263" i="12"/>
  <c r="AN258" i="12"/>
  <c r="AN257" i="12"/>
  <c r="AN256" i="12"/>
  <c r="AN255" i="12"/>
  <c r="AN254" i="12"/>
  <c r="AN232" i="12"/>
  <c r="AN231" i="12"/>
  <c r="AN229" i="12"/>
  <c r="AN228" i="12"/>
  <c r="AN113" i="12" l="1"/>
  <c r="AN303" i="12"/>
  <c r="AN302" i="12" s="1"/>
  <c r="AM302" i="12"/>
  <c r="AM232" i="2"/>
  <c r="AN232" i="2" s="1"/>
  <c r="AN234" i="2"/>
  <c r="AM226" i="12"/>
  <c r="AN226" i="12" s="1"/>
  <c r="AM253" i="12"/>
  <c r="AN253" i="12" s="1"/>
  <c r="AM265" i="12"/>
  <c r="AM274" i="12"/>
  <c r="AM271" i="12"/>
  <c r="AM268" i="12"/>
  <c r="AM262" i="12"/>
  <c r="AN222" i="12"/>
  <c r="AN220" i="12"/>
  <c r="AN219" i="12"/>
  <c r="AN218" i="12"/>
  <c r="AM203" i="12"/>
  <c r="AN197" i="12"/>
  <c r="AN196" i="12"/>
  <c r="AN195" i="12"/>
  <c r="AN194" i="12"/>
  <c r="AN193" i="12"/>
  <c r="AN188" i="12"/>
  <c r="AN187" i="12"/>
  <c r="AN186" i="12"/>
  <c r="AN185" i="12"/>
  <c r="AN177" i="12"/>
  <c r="AN180" i="12"/>
  <c r="AN179" i="12"/>
  <c r="AN178" i="12"/>
  <c r="AN174" i="12"/>
  <c r="AN136" i="12"/>
  <c r="AN135" i="12"/>
  <c r="AN134" i="12"/>
  <c r="AN133" i="12"/>
  <c r="AN132" i="12"/>
  <c r="AN121" i="12"/>
  <c r="AN120" i="12"/>
  <c r="AN118" i="12"/>
  <c r="AN117" i="12"/>
  <c r="AN95" i="12"/>
  <c r="AM85" i="12"/>
  <c r="AM374" i="12"/>
  <c r="AM373" i="12"/>
  <c r="AM389" i="12"/>
  <c r="AM388" i="12"/>
  <c r="AM311" i="6"/>
  <c r="AN311" i="6" s="1"/>
  <c r="AM310" i="6"/>
  <c r="AN310" i="6" s="1"/>
  <c r="AM309" i="6"/>
  <c r="AN309" i="6" s="1"/>
  <c r="AM307" i="6"/>
  <c r="AN307" i="6" s="1"/>
  <c r="AM306" i="6"/>
  <c r="AN306" i="6" s="1"/>
  <c r="AM305" i="6"/>
  <c r="AN305" i="6" s="1"/>
  <c r="AM304" i="6"/>
  <c r="AN304" i="6" s="1"/>
  <c r="AM289" i="6"/>
  <c r="AN289" i="6" s="1"/>
  <c r="AM288" i="6"/>
  <c r="AN288" i="6" s="1"/>
  <c r="AM287" i="6"/>
  <c r="AM285" i="6"/>
  <c r="AN285" i="6" s="1"/>
  <c r="AM284" i="6"/>
  <c r="AN284" i="6" s="1"/>
  <c r="AM283" i="6"/>
  <c r="AN283" i="6" s="1"/>
  <c r="AM282" i="6"/>
  <c r="AN282" i="6" s="1"/>
  <c r="AM268" i="6"/>
  <c r="AN268" i="6" s="1"/>
  <c r="AM267" i="6"/>
  <c r="AN267" i="6" s="1"/>
  <c r="AM266" i="6"/>
  <c r="AM264" i="6"/>
  <c r="AN264" i="6" s="1"/>
  <c r="AM263" i="6"/>
  <c r="AN263" i="6" s="1"/>
  <c r="AM262" i="6"/>
  <c r="AN262" i="6" s="1"/>
  <c r="AM261" i="6"/>
  <c r="AN261" i="6" s="1"/>
  <c r="AN224" i="6"/>
  <c r="AN222" i="6"/>
  <c r="AN265" i="12" l="1"/>
  <c r="AN262" i="12"/>
  <c r="AN268" i="12"/>
  <c r="AN271" i="12"/>
  <c r="AN274" i="12"/>
  <c r="AM148" i="12"/>
  <c r="AN148" i="12" s="1"/>
  <c r="AN171" i="12"/>
  <c r="AM149" i="12"/>
  <c r="AN149" i="12" s="1"/>
  <c r="AN172" i="12"/>
  <c r="AM286" i="6"/>
  <c r="AN286" i="6" s="1"/>
  <c r="AN287" i="6"/>
  <c r="AM248" i="12"/>
  <c r="AN248" i="12" s="1"/>
  <c r="AN203" i="12"/>
  <c r="AM265" i="6"/>
  <c r="AN265" i="6" s="1"/>
  <c r="AN266" i="6"/>
  <c r="AM424" i="12"/>
  <c r="AT430" i="12" s="1"/>
  <c r="AN96" i="12"/>
  <c r="AN424" i="12" s="1"/>
  <c r="AU430" i="12" s="1"/>
  <c r="AN423" i="12"/>
  <c r="AM150" i="12"/>
  <c r="AN150" i="12" s="1"/>
  <c r="AN173" i="12"/>
  <c r="AM425" i="12"/>
  <c r="AT431" i="12" s="1"/>
  <c r="AN97" i="12"/>
  <c r="AN425" i="12" s="1"/>
  <c r="AU431" i="12" s="1"/>
  <c r="AM152" i="12"/>
  <c r="AN152" i="12" s="1"/>
  <c r="AN175" i="12"/>
  <c r="AM426" i="12"/>
  <c r="AT432" i="12" s="1"/>
  <c r="AN98" i="12"/>
  <c r="AN426" i="12" s="1"/>
  <c r="AU432" i="12" s="1"/>
  <c r="AM427" i="12"/>
  <c r="AT433" i="12" s="1"/>
  <c r="AN99" i="12"/>
  <c r="AN427" i="12" s="1"/>
  <c r="AU433" i="12" s="1"/>
  <c r="AM308" i="6"/>
  <c r="AN308" i="6" s="1"/>
  <c r="AM131" i="12"/>
  <c r="AN131" i="12" s="1"/>
  <c r="AM151" i="12"/>
  <c r="AM217" i="12"/>
  <c r="AN217" i="12" s="1"/>
  <c r="AM176" i="12"/>
  <c r="AN176" i="12" s="1"/>
  <c r="AM184" i="12"/>
  <c r="AN184" i="12" s="1"/>
  <c r="AM261" i="12"/>
  <c r="AM260" i="6"/>
  <c r="AN260" i="6" s="1"/>
  <c r="AM365" i="12"/>
  <c r="AN365" i="12" s="1"/>
  <c r="AM423" i="12"/>
  <c r="AM422" i="12"/>
  <c r="AT428" i="12" s="1"/>
  <c r="AM281" i="6"/>
  <c r="AN281" i="6" s="1"/>
  <c r="AM303" i="6"/>
  <c r="AN303" i="6" s="1"/>
  <c r="AM90" i="12"/>
  <c r="AM88" i="12"/>
  <c r="AM116" i="12"/>
  <c r="AN116" i="12" s="1"/>
  <c r="AM94" i="12"/>
  <c r="AN94" i="12" s="1"/>
  <c r="AM205" i="12"/>
  <c r="AN205" i="12" s="1"/>
  <c r="AM204" i="12"/>
  <c r="AN204" i="12" s="1"/>
  <c r="AM202" i="12"/>
  <c r="AN202" i="12" s="1"/>
  <c r="AM201" i="12"/>
  <c r="AN201" i="12" s="1"/>
  <c r="AM200" i="12"/>
  <c r="AN200" i="12" s="1"/>
  <c r="AM192" i="12"/>
  <c r="AN192" i="12" s="1"/>
  <c r="AM170" i="12"/>
  <c r="AN170" i="12" s="1"/>
  <c r="AM91" i="12"/>
  <c r="AM109" i="12"/>
  <c r="AM89" i="12"/>
  <c r="AM87" i="12"/>
  <c r="AM372" i="12"/>
  <c r="AM371" i="12" s="1"/>
  <c r="AM386" i="12"/>
  <c r="AM385" i="12"/>
  <c r="AN261" i="12" l="1"/>
  <c r="AM140" i="12"/>
  <c r="AM245" i="12" s="1"/>
  <c r="AN87" i="12"/>
  <c r="AM364" i="12"/>
  <c r="AN364" i="12" s="1"/>
  <c r="AN109" i="12"/>
  <c r="AM144" i="12"/>
  <c r="AM250" i="12" s="1"/>
  <c r="AN250" i="12" s="1"/>
  <c r="AN91" i="12"/>
  <c r="AM142" i="12"/>
  <c r="AN89" i="12"/>
  <c r="AM141" i="12"/>
  <c r="AN141" i="12" s="1"/>
  <c r="AN88" i="12"/>
  <c r="AM288" i="12"/>
  <c r="AN422" i="12"/>
  <c r="AM143" i="12"/>
  <c r="AM249" i="12" s="1"/>
  <c r="AN249" i="12" s="1"/>
  <c r="AN90" i="12"/>
  <c r="AM147" i="12"/>
  <c r="AN147" i="12" s="1"/>
  <c r="AN151" i="12"/>
  <c r="AM199" i="12"/>
  <c r="AN199" i="12" s="1"/>
  <c r="AM384" i="12"/>
  <c r="AM390" i="12" s="1"/>
  <c r="AM387" i="12" s="1"/>
  <c r="AM86" i="12"/>
  <c r="AN86" i="12" s="1"/>
  <c r="AU428" i="12" l="1"/>
  <c r="AM369" i="12"/>
  <c r="AN143" i="12"/>
  <c r="AN288" i="12"/>
  <c r="AM299" i="6"/>
  <c r="AN299" i="6" s="1"/>
  <c r="AM366" i="12"/>
  <c r="AN140" i="12"/>
  <c r="AM368" i="12"/>
  <c r="AN142" i="12"/>
  <c r="AM139" i="12"/>
  <c r="AN139" i="12" s="1"/>
  <c r="AM247" i="12"/>
  <c r="AM287" i="12" s="1"/>
  <c r="AM296" i="12" s="1"/>
  <c r="AN296" i="12" s="1"/>
  <c r="AM367" i="12"/>
  <c r="AM246" i="12"/>
  <c r="AN246" i="12" s="1"/>
  <c r="AM370" i="12"/>
  <c r="AN144" i="12"/>
  <c r="AM285" i="12"/>
  <c r="AN245" i="12"/>
  <c r="AM290" i="12"/>
  <c r="AM289" i="12"/>
  <c r="AM297" i="12" s="1"/>
  <c r="AN297" i="12" s="1"/>
  <c r="AN285" i="12" l="1"/>
  <c r="AM294" i="12"/>
  <c r="AN294" i="12" s="1"/>
  <c r="AN290" i="12"/>
  <c r="AM298" i="12"/>
  <c r="AN298" i="12" s="1"/>
  <c r="AM363" i="12"/>
  <c r="AM362" i="12" s="1"/>
  <c r="AM421" i="12"/>
  <c r="AM301" i="6"/>
  <c r="AN301" i="6" s="1"/>
  <c r="AN287" i="12"/>
  <c r="AM419" i="12"/>
  <c r="AM406" i="12"/>
  <c r="AN367" i="12"/>
  <c r="AN406" i="12" s="1"/>
  <c r="AM256" i="6"/>
  <c r="AN256" i="6" s="1"/>
  <c r="AM417" i="12"/>
  <c r="AN247" i="12"/>
  <c r="AN366" i="12"/>
  <c r="AN405" i="12" s="1"/>
  <c r="AM405" i="12"/>
  <c r="AM255" i="6"/>
  <c r="AN255" i="6" s="1"/>
  <c r="AM286" i="12"/>
  <c r="AM296" i="6"/>
  <c r="AN296" i="6" s="1"/>
  <c r="AM277" i="6"/>
  <c r="AN277" i="6" s="1"/>
  <c r="AN370" i="12"/>
  <c r="AN409" i="12" s="1"/>
  <c r="AM259" i="6"/>
  <c r="AN259" i="6" s="1"/>
  <c r="AM409" i="12"/>
  <c r="AN368" i="12"/>
  <c r="AN407" i="12" s="1"/>
  <c r="AM257" i="6"/>
  <c r="AN257" i="6" s="1"/>
  <c r="AM407" i="12"/>
  <c r="AM244" i="12"/>
  <c r="AN244" i="12" s="1"/>
  <c r="AN369" i="12"/>
  <c r="AN408" i="12" s="1"/>
  <c r="AM408" i="12"/>
  <c r="AM258" i="6"/>
  <c r="AN258" i="6" s="1"/>
  <c r="AM300" i="6"/>
  <c r="AN300" i="6" s="1"/>
  <c r="AN289" i="12"/>
  <c r="AM420" i="12"/>
  <c r="AM298" i="6"/>
  <c r="AM415" i="12" l="1"/>
  <c r="AM284" i="12"/>
  <c r="AM416" i="12" s="1"/>
  <c r="AM295" i="12"/>
  <c r="AN295" i="12" s="1"/>
  <c r="AM274" i="6"/>
  <c r="AN274" i="6" s="1"/>
  <c r="AM279" i="6"/>
  <c r="AN279" i="6" s="1"/>
  <c r="AM411" i="12"/>
  <c r="AN363" i="12"/>
  <c r="AM376" i="12"/>
  <c r="AN376" i="12" s="1"/>
  <c r="AN411" i="12"/>
  <c r="AN420" i="12"/>
  <c r="AN421" i="12"/>
  <c r="AN417" i="12"/>
  <c r="AM254" i="6"/>
  <c r="AN254" i="6" s="1"/>
  <c r="AN286" i="12"/>
  <c r="AN418" i="12" s="1"/>
  <c r="AM297" i="6"/>
  <c r="AN297" i="6" s="1"/>
  <c r="AM418" i="12"/>
  <c r="AM404" i="12"/>
  <c r="AN362" i="12"/>
  <c r="AN404" i="12" s="1"/>
  <c r="AN415" i="12"/>
  <c r="AN419" i="12"/>
  <c r="AM413" i="12"/>
  <c r="AN413" i="12"/>
  <c r="AM278" i="6"/>
  <c r="AN278" i="6" s="1"/>
  <c r="AN414" i="12"/>
  <c r="AM414" i="12"/>
  <c r="AN298" i="6"/>
  <c r="AM276" i="6"/>
  <c r="AN284" i="12" l="1"/>
  <c r="AN416" i="12" s="1"/>
  <c r="AM293" i="12"/>
  <c r="AN293" i="12" s="1"/>
  <c r="AN410" i="12" s="1"/>
  <c r="AM375" i="12"/>
  <c r="AN375" i="12" s="1"/>
  <c r="AN412" i="12"/>
  <c r="AM412" i="12"/>
  <c r="AM275" i="6"/>
  <c r="AN275" i="6" s="1"/>
  <c r="AM295" i="6"/>
  <c r="AN295" i="6" s="1"/>
  <c r="AN276" i="6"/>
  <c r="AM216" i="6"/>
  <c r="AN216" i="6" s="1"/>
  <c r="AM215" i="6"/>
  <c r="AN215" i="6" s="1"/>
  <c r="AM199" i="6"/>
  <c r="AN199" i="6" s="1"/>
  <c r="AM360" i="12"/>
  <c r="AN360" i="12" s="1"/>
  <c r="AM359" i="12"/>
  <c r="AN359" i="12" s="1"/>
  <c r="AM357" i="12"/>
  <c r="AN357" i="12" s="1"/>
  <c r="AM356" i="12"/>
  <c r="AN356" i="12" s="1"/>
  <c r="AM358" i="12"/>
  <c r="AN358" i="12" s="1"/>
  <c r="AM193" i="6"/>
  <c r="AM192" i="6"/>
  <c r="AM191" i="6"/>
  <c r="AM190" i="6"/>
  <c r="AM186" i="6"/>
  <c r="AM185" i="6"/>
  <c r="AN174" i="6"/>
  <c r="AN173" i="6"/>
  <c r="AN172" i="6"/>
  <c r="AN169" i="6"/>
  <c r="AN121" i="6"/>
  <c r="AN117" i="6"/>
  <c r="AN116" i="6"/>
  <c r="AN114" i="6"/>
  <c r="AN113" i="6"/>
  <c r="AN111" i="6"/>
  <c r="AN110" i="6"/>
  <c r="AN109" i="6"/>
  <c r="AN107" i="6"/>
  <c r="AN106" i="6"/>
  <c r="AN105" i="6"/>
  <c r="AN103" i="6"/>
  <c r="AN101" i="6"/>
  <c r="AN100" i="6"/>
  <c r="AN98" i="6"/>
  <c r="AN95" i="6"/>
  <c r="AN94" i="6"/>
  <c r="AN90" i="6"/>
  <c r="AN85" i="6"/>
  <c r="AM83" i="6"/>
  <c r="AM203" i="6"/>
  <c r="AM202" i="6"/>
  <c r="AM230" i="6"/>
  <c r="AM229" i="6"/>
  <c r="AM410" i="12" l="1"/>
  <c r="AM395" i="12"/>
  <c r="AN395" i="12" s="1"/>
  <c r="AM31" i="6"/>
  <c r="AM227" i="6" s="1"/>
  <c r="AM49" i="6"/>
  <c r="AM23" i="6"/>
  <c r="AM67" i="6"/>
  <c r="AM201" i="6" s="1"/>
  <c r="AM200" i="6" s="1"/>
  <c r="AM7" i="6"/>
  <c r="AM226" i="6" s="1"/>
  <c r="AM175" i="6"/>
  <c r="AN99" i="6"/>
  <c r="AM208" i="6"/>
  <c r="AN208" i="6" s="1"/>
  <c r="AN176" i="6"/>
  <c r="AM198" i="6"/>
  <c r="AN198" i="6" s="1"/>
  <c r="AN87" i="6"/>
  <c r="AM238" i="6"/>
  <c r="AN238" i="6" s="1"/>
  <c r="AN170" i="6"/>
  <c r="AM189" i="6"/>
  <c r="AM273" i="6"/>
  <c r="AN273" i="6" s="1"/>
  <c r="AM355" i="12"/>
  <c r="AN355" i="12" s="1"/>
  <c r="AM294" i="6"/>
  <c r="AM218" i="6"/>
  <c r="AM184" i="6"/>
  <c r="AM178" i="6"/>
  <c r="AM171" i="6"/>
  <c r="AN171" i="6" s="1"/>
  <c r="AM168" i="6"/>
  <c r="AN168" i="6" s="1"/>
  <c r="AM115" i="6"/>
  <c r="AN115" i="6" s="1"/>
  <c r="AM108" i="6"/>
  <c r="AN108" i="6" s="1"/>
  <c r="AM97" i="6"/>
  <c r="AN97" i="6" s="1"/>
  <c r="AM84" i="6"/>
  <c r="AM394" i="12" l="1"/>
  <c r="AM30" i="6"/>
  <c r="AM6" i="6"/>
  <c r="AM96" i="6"/>
  <c r="AN96" i="6" s="1"/>
  <c r="AN84" i="6"/>
  <c r="AM217" i="6"/>
  <c r="AN217" i="6" s="1"/>
  <c r="AN218" i="6"/>
  <c r="AM315" i="6"/>
  <c r="AN315" i="6" s="1"/>
  <c r="AN294" i="6"/>
  <c r="AM207" i="6"/>
  <c r="AN207" i="6" s="1"/>
  <c r="AN175" i="6"/>
  <c r="AM393" i="12"/>
  <c r="AN394" i="12"/>
  <c r="AM225" i="6"/>
  <c r="AM231" i="6" s="1"/>
  <c r="AM228" i="6" s="1"/>
  <c r="AM206" i="6"/>
  <c r="AN206" i="6" s="1"/>
  <c r="AM237" i="6"/>
  <c r="AN237" i="6" s="1"/>
  <c r="AM177" i="6"/>
  <c r="AM112" i="6" l="1"/>
  <c r="AN112" i="6" s="1"/>
  <c r="AM197" i="6"/>
  <c r="AN197" i="6" s="1"/>
  <c r="AM391" i="12"/>
  <c r="AN391" i="12" s="1"/>
  <c r="AN393" i="12"/>
  <c r="AM196" i="6" l="1"/>
  <c r="AN196" i="6" s="1"/>
  <c r="AM205" i="6"/>
  <c r="AN205" i="6" s="1"/>
  <c r="AM119" i="6"/>
  <c r="AN119" i="6" s="1"/>
  <c r="AN247" i="6" l="1"/>
  <c r="AM204" i="6"/>
  <c r="AN204" i="6" s="1"/>
  <c r="AN249" i="6"/>
  <c r="AM247" i="6"/>
  <c r="AM249" i="6"/>
  <c r="AM253" i="6"/>
  <c r="AN253" i="6" s="1"/>
  <c r="AM236" i="6" l="1"/>
  <c r="AM235" i="6" s="1"/>
  <c r="AM234" i="6" s="1"/>
  <c r="AN234" i="6" s="1"/>
  <c r="AM272" i="6"/>
  <c r="AN272" i="6" s="1"/>
  <c r="AM122" i="6"/>
  <c r="AN122" i="6" s="1"/>
  <c r="AN248" i="6" l="1"/>
  <c r="AM248" i="6"/>
  <c r="AN235" i="6"/>
  <c r="AN236" i="6"/>
  <c r="AI216" i="2" l="1"/>
  <c r="AI215" i="2"/>
  <c r="AI66" i="2"/>
  <c r="AI39" i="2"/>
  <c r="AI36" i="2"/>
  <c r="AI33" i="2"/>
  <c r="AI32" i="2"/>
  <c r="AI31" i="2"/>
  <c r="AI22" i="2"/>
  <c r="AI9" i="2"/>
  <c r="AI19" i="2"/>
  <c r="AI17" i="2"/>
  <c r="AI15" i="2"/>
  <c r="AI13" i="2"/>
  <c r="AI10" i="2"/>
  <c r="AI53" i="6"/>
  <c r="AI34" i="6"/>
  <c r="AI36" i="6"/>
  <c r="AL20" i="2" l="1"/>
  <c r="AI20" i="2" s="1"/>
  <c r="AI8" i="2"/>
  <c r="AI21" i="2"/>
  <c r="AI55" i="2"/>
  <c r="AL40" i="2"/>
  <c r="AI63" i="2"/>
  <c r="AI27" i="2"/>
  <c r="AL77" i="2"/>
  <c r="AL95" i="2"/>
  <c r="AH360" i="12" l="1"/>
  <c r="AH359" i="12"/>
  <c r="AH358" i="12"/>
  <c r="AH357" i="12"/>
  <c r="AH356" i="12"/>
  <c r="AK163" i="12"/>
  <c r="AH85" i="12" l="1"/>
  <c r="AH83" i="6"/>
  <c r="AI311" i="12"/>
  <c r="AI303" i="12"/>
  <c r="AI302" i="12" s="1"/>
  <c r="AI85" i="12"/>
  <c r="AI83" i="6" l="1"/>
  <c r="AI313" i="6"/>
  <c r="AI311" i="6"/>
  <c r="AI310" i="6"/>
  <c r="AI309" i="6"/>
  <c r="AI291" i="6"/>
  <c r="AI289" i="6"/>
  <c r="AI288" i="6"/>
  <c r="AI287" i="6"/>
  <c r="AI270" i="6"/>
  <c r="AI161" i="6"/>
  <c r="AI157" i="6"/>
  <c r="AI152" i="6"/>
  <c r="AI150" i="6"/>
  <c r="AI148" i="6"/>
  <c r="AI147" i="6"/>
  <c r="AI145" i="6"/>
  <c r="AI144" i="6"/>
  <c r="AI141" i="6"/>
  <c r="AI140" i="6"/>
  <c r="AI139" i="6"/>
  <c r="AI136" i="6"/>
  <c r="AI133" i="6"/>
  <c r="AI132" i="6"/>
  <c r="AI131" i="6" s="1"/>
  <c r="AI130" i="6"/>
  <c r="AI129" i="6"/>
  <c r="AI128" i="6"/>
  <c r="AI70" i="2"/>
  <c r="AH203" i="2"/>
  <c r="AI203" i="2" s="1"/>
  <c r="AH202" i="2"/>
  <c r="AI202" i="2" s="1"/>
  <c r="AH197" i="2"/>
  <c r="AI197" i="2" s="1"/>
  <c r="AH196" i="2"/>
  <c r="AI196" i="2" s="1"/>
  <c r="AH194" i="2"/>
  <c r="AI194" i="2" s="1"/>
  <c r="AH193" i="2"/>
  <c r="AI184" i="2"/>
  <c r="AH70" i="2"/>
  <c r="AI151" i="6" l="1"/>
  <c r="AI308" i="6"/>
  <c r="AI286" i="6"/>
  <c r="AI201" i="2"/>
  <c r="AH201" i="2"/>
  <c r="AI127" i="6"/>
  <c r="AH195" i="2"/>
  <c r="AI195" i="2"/>
  <c r="AH192" i="2"/>
  <c r="AI193" i="2"/>
  <c r="AI192" i="2" l="1"/>
  <c r="AI12" i="2" l="1"/>
  <c r="AI57" i="2" l="1"/>
  <c r="AL56" i="2"/>
  <c r="AL7" i="2"/>
  <c r="AL6" i="2" s="1"/>
  <c r="AL71" i="2"/>
  <c r="AL220" i="2"/>
  <c r="AI220" i="2" s="1"/>
  <c r="AL219" i="2"/>
  <c r="AI219" i="2" s="1"/>
  <c r="AL212" i="2"/>
  <c r="AI212" i="2" s="1"/>
  <c r="AL207" i="2"/>
  <c r="AL224" i="2" s="1"/>
  <c r="AL201" i="2"/>
  <c r="AL195" i="2"/>
  <c r="AL192" i="2"/>
  <c r="AL191" i="2"/>
  <c r="AL238" i="2" s="1"/>
  <c r="AL184" i="2"/>
  <c r="AL164" i="2"/>
  <c r="AL158" i="2"/>
  <c r="AL155" i="2"/>
  <c r="AL154" i="2"/>
  <c r="AL132" i="2"/>
  <c r="AL127" i="2"/>
  <c r="AL119" i="2"/>
  <c r="AL118" i="2"/>
  <c r="AL106" i="2"/>
  <c r="AL93" i="2"/>
  <c r="AL92" i="2"/>
  <c r="AL248" i="2" s="1"/>
  <c r="AL91" i="2"/>
  <c r="AL90" i="2"/>
  <c r="AL85" i="2"/>
  <c r="AL84" i="2"/>
  <c r="AL246" i="2" s="1"/>
  <c r="AL70" i="2"/>
  <c r="AI40" i="2"/>
  <c r="AL247" i="2" l="1"/>
  <c r="AL218" i="2"/>
  <c r="AI218" i="2" s="1"/>
  <c r="AI56" i="2"/>
  <c r="AL143" i="2"/>
  <c r="AL173" i="2" s="1"/>
  <c r="AL250" i="2" s="1"/>
  <c r="AL83" i="2"/>
  <c r="AL144" i="2"/>
  <c r="AL174" i="2" s="1"/>
  <c r="AL251" i="2" s="1"/>
  <c r="AL229" i="2"/>
  <c r="AI229" i="2" s="1"/>
  <c r="AL121" i="2"/>
  <c r="AL146" i="2" s="1"/>
  <c r="AL176" i="2" s="1"/>
  <c r="AL204" i="2"/>
  <c r="AL89" i="2"/>
  <c r="AL120" i="2"/>
  <c r="AL101" i="2"/>
  <c r="AL147" i="2"/>
  <c r="AL161" i="2"/>
  <c r="AL152" i="2" s="1"/>
  <c r="AL230" i="2"/>
  <c r="AI230" i="2" s="1"/>
  <c r="AL153" i="2"/>
  <c r="AL199" i="2"/>
  <c r="AL245" i="2" l="1"/>
  <c r="AL168" i="2"/>
  <c r="AL254" i="2" s="1"/>
  <c r="AL217" i="2"/>
  <c r="AI217" i="2" s="1"/>
  <c r="AL226" i="2"/>
  <c r="AI226" i="2" s="1"/>
  <c r="AI7" i="2"/>
  <c r="AL169" i="2"/>
  <c r="AL255" i="2" s="1"/>
  <c r="AL117" i="2"/>
  <c r="AL145" i="2"/>
  <c r="AL170" i="2" s="1"/>
  <c r="AL256" i="2" s="1"/>
  <c r="AL171" i="2"/>
  <c r="AI6" i="2"/>
  <c r="AL198" i="2"/>
  <c r="AL190" i="2"/>
  <c r="AL189" i="2" s="1"/>
  <c r="AL175" i="2" l="1"/>
  <c r="AL142" i="2"/>
  <c r="AL222" i="2" s="1"/>
  <c r="AL167" i="2"/>
  <c r="AL253" i="2" s="1"/>
  <c r="AL237" i="2"/>
  <c r="AL223" i="2"/>
  <c r="AL172" i="2" l="1"/>
  <c r="AL249" i="2" s="1"/>
  <c r="AL252" i="2"/>
  <c r="AL221" i="2"/>
  <c r="AL236" i="2" l="1"/>
  <c r="AL235" i="2" s="1"/>
  <c r="AL234" i="2" s="1"/>
  <c r="AL232" i="2" s="1"/>
  <c r="AL303" i="12" l="1"/>
  <c r="AL302" i="12" s="1"/>
  <c r="AL85" i="12"/>
  <c r="AL311" i="6" l="1"/>
  <c r="AL310" i="6"/>
  <c r="AL309" i="6"/>
  <c r="AL307" i="6"/>
  <c r="AL306" i="6"/>
  <c r="AL305" i="6"/>
  <c r="AL304" i="6"/>
  <c r="AL289" i="6"/>
  <c r="AL288" i="6"/>
  <c r="AL287" i="6"/>
  <c r="AL285" i="6"/>
  <c r="AL284" i="6"/>
  <c r="AL283" i="6"/>
  <c r="AL282" i="6"/>
  <c r="AL268" i="6"/>
  <c r="AL267" i="6"/>
  <c r="AL266" i="6"/>
  <c r="AL264" i="6"/>
  <c r="AL263" i="6"/>
  <c r="AL262" i="6"/>
  <c r="AL261" i="6"/>
  <c r="AH10" i="12"/>
  <c r="AH10" i="6"/>
  <c r="AL286" i="6" l="1"/>
  <c r="AL308" i="6"/>
  <c r="AL265" i="6"/>
  <c r="AL303" i="6"/>
  <c r="AL260" i="6"/>
  <c r="AL281" i="6"/>
  <c r="A10" i="12" l="1"/>
  <c r="A10" i="6" l="1"/>
  <c r="AH59" i="12" l="1"/>
  <c r="AH43" i="12"/>
  <c r="AH36" i="12"/>
  <c r="AH35" i="12" l="1"/>
  <c r="AH34" i="12"/>
  <c r="AH33" i="12"/>
  <c r="AH32" i="12"/>
  <c r="AH25" i="12"/>
  <c r="AH29" i="12"/>
  <c r="AH27" i="12"/>
  <c r="AH26" i="12"/>
  <c r="AH55" i="2" l="1"/>
  <c r="AK86" i="2" l="1"/>
  <c r="AK87" i="2"/>
  <c r="AK77" i="2"/>
  <c r="AH23" i="12"/>
  <c r="AH22" i="12"/>
  <c r="AH21" i="12" l="1"/>
  <c r="AH215" i="2" l="1"/>
  <c r="AH64" i="2"/>
  <c r="AH39" i="2"/>
  <c r="AH36" i="2"/>
  <c r="AH34" i="2"/>
  <c r="AH33" i="2"/>
  <c r="AH32" i="2"/>
  <c r="AH31" i="2"/>
  <c r="AK40" i="2" l="1"/>
  <c r="AH27" i="2"/>
  <c r="AK26" i="2"/>
  <c r="AH57" i="2"/>
  <c r="AK56" i="2"/>
  <c r="AH22" i="2"/>
  <c r="AH21" i="2"/>
  <c r="AH10" i="2"/>
  <c r="AH19" i="2"/>
  <c r="AH17" i="2"/>
  <c r="AH14" i="2"/>
  <c r="AH13" i="2"/>
  <c r="AH12" i="2"/>
  <c r="AH9" i="2"/>
  <c r="AK25" i="2" l="1"/>
  <c r="AH8" i="2"/>
  <c r="AK220" i="2" l="1"/>
  <c r="AH220" i="2" s="1"/>
  <c r="AK219" i="2"/>
  <c r="AH219" i="2" s="1"/>
  <c r="AK212" i="2"/>
  <c r="AH212" i="2" s="1"/>
  <c r="AK207" i="2"/>
  <c r="AK224" i="2" s="1"/>
  <c r="AK204" i="2"/>
  <c r="AK201" i="2"/>
  <c r="AK195" i="2"/>
  <c r="AK192" i="2"/>
  <c r="AK191" i="2"/>
  <c r="AK238" i="2" s="1"/>
  <c r="AK184" i="2"/>
  <c r="AK164" i="2"/>
  <c r="AK161" i="2"/>
  <c r="AK158" i="2"/>
  <c r="AK155" i="2"/>
  <c r="AK154" i="2"/>
  <c r="AK147" i="2"/>
  <c r="AK132" i="2"/>
  <c r="AK199" i="2"/>
  <c r="AK127" i="2"/>
  <c r="AK122" i="2"/>
  <c r="AK121" i="2"/>
  <c r="AK120" i="2"/>
  <c r="AK119" i="2"/>
  <c r="AK118" i="2"/>
  <c r="AK111" i="2"/>
  <c r="AK106" i="2"/>
  <c r="AK101" i="2"/>
  <c r="AK92" i="2"/>
  <c r="AK248" i="2" s="1"/>
  <c r="AK93" i="2"/>
  <c r="AK91" i="2"/>
  <c r="AK90" i="2"/>
  <c r="AK85" i="2"/>
  <c r="AK84" i="2"/>
  <c r="AK70" i="2"/>
  <c r="AH40" i="2"/>
  <c r="AH26" i="2"/>
  <c r="AK230" i="2"/>
  <c r="AH230" i="2" s="1"/>
  <c r="AH20" i="2"/>
  <c r="AK247" i="2" l="1"/>
  <c r="AK246" i="2"/>
  <c r="AK218" i="2"/>
  <c r="AH218" i="2" s="1"/>
  <c r="AH56" i="2"/>
  <c r="AK226" i="2"/>
  <c r="AH226" i="2" s="1"/>
  <c r="AH7" i="2"/>
  <c r="AK144" i="2"/>
  <c r="AK174" i="2" s="1"/>
  <c r="AK251" i="2" s="1"/>
  <c r="AK145" i="2"/>
  <c r="AK170" i="2" s="1"/>
  <c r="AK256" i="2" s="1"/>
  <c r="AK143" i="2"/>
  <c r="AK168" i="2" s="1"/>
  <c r="AK254" i="2" s="1"/>
  <c r="AK152" i="2"/>
  <c r="AK117" i="2"/>
  <c r="AK146" i="2"/>
  <c r="AK176" i="2" s="1"/>
  <c r="AK83" i="2"/>
  <c r="AK227" i="2"/>
  <c r="AH25" i="2"/>
  <c r="AK89" i="2"/>
  <c r="AK198" i="2"/>
  <c r="AK190" i="2"/>
  <c r="AK189" i="2" s="1"/>
  <c r="AH6" i="2"/>
  <c r="AK71" i="2"/>
  <c r="AK95" i="2"/>
  <c r="AK229" i="2"/>
  <c r="AH229" i="2" s="1"/>
  <c r="AK153" i="2"/>
  <c r="AK245" i="2" l="1"/>
  <c r="AK217" i="2"/>
  <c r="AH217" i="2" s="1"/>
  <c r="AK225" i="2"/>
  <c r="AH227" i="2"/>
  <c r="AK169" i="2"/>
  <c r="AK255" i="2" s="1"/>
  <c r="AK173" i="2"/>
  <c r="AK250" i="2" s="1"/>
  <c r="AK171" i="2"/>
  <c r="AK175" i="2"/>
  <c r="AK252" i="2" s="1"/>
  <c r="AK142" i="2"/>
  <c r="AK222" i="2" s="1"/>
  <c r="AK237" i="2"/>
  <c r="AK223" i="2"/>
  <c r="AK231" i="2" l="1"/>
  <c r="AH225" i="2"/>
  <c r="AK221" i="2"/>
  <c r="AK236" i="2" s="1"/>
  <c r="AK235" i="2" s="1"/>
  <c r="AK234" i="2" s="1"/>
  <c r="AK232" i="2" s="1"/>
  <c r="AK167" i="2"/>
  <c r="AK253" i="2" s="1"/>
  <c r="AK172" i="2"/>
  <c r="AK249" i="2" s="1"/>
  <c r="AH231" i="2" l="1"/>
  <c r="AK228" i="2"/>
  <c r="AH228" i="2" s="1"/>
  <c r="AH82" i="12"/>
  <c r="AH78" i="12"/>
  <c r="AH81" i="12"/>
  <c r="AH80" i="12"/>
  <c r="AH79" i="12"/>
  <c r="AH73" i="12"/>
  <c r="AH74" i="12"/>
  <c r="AH75" i="12"/>
  <c r="AH72" i="12"/>
  <c r="AH70" i="12"/>
  <c r="AH69" i="12"/>
  <c r="AH65" i="12"/>
  <c r="AH64" i="12"/>
  <c r="AH60" i="12"/>
  <c r="AH62" i="12"/>
  <c r="AH63" i="12"/>
  <c r="AH66" i="12"/>
  <c r="AH56" i="12"/>
  <c r="AH49" i="12"/>
  <c r="AH54" i="12"/>
  <c r="AH50" i="12"/>
  <c r="AH44" i="12"/>
  <c r="AH45" i="12"/>
  <c r="AH46" i="12"/>
  <c r="AH47" i="12"/>
  <c r="AH48" i="12"/>
  <c r="AH40" i="12"/>
  <c r="AH41" i="12"/>
  <c r="AH39" i="12"/>
  <c r="AH71" i="12" l="1"/>
  <c r="AH19" i="12"/>
  <c r="AH20" i="12"/>
  <c r="AH17" i="12"/>
  <c r="AH14" i="12"/>
  <c r="AH13" i="12"/>
  <c r="AH11" i="12"/>
  <c r="AH9" i="12"/>
  <c r="AK380" i="12" l="1"/>
  <c r="AK303" i="12"/>
  <c r="AK302" i="12" s="1"/>
  <c r="AK274" i="12"/>
  <c r="AK271" i="12"/>
  <c r="AK268" i="12"/>
  <c r="AK265" i="12"/>
  <c r="AK262" i="12"/>
  <c r="AK253" i="12"/>
  <c r="AK226" i="12"/>
  <c r="AK217" i="12"/>
  <c r="AK205" i="12"/>
  <c r="AK203" i="12"/>
  <c r="AK201" i="12"/>
  <c r="AK204" i="12"/>
  <c r="AK202" i="12"/>
  <c r="AK200" i="12"/>
  <c r="AK192" i="12"/>
  <c r="AK176" i="12"/>
  <c r="AK170" i="12"/>
  <c r="AK131" i="12"/>
  <c r="AK116" i="12"/>
  <c r="AK365" i="12"/>
  <c r="AK427" i="12"/>
  <c r="AK426" i="12"/>
  <c r="AK425" i="12"/>
  <c r="AK424" i="12"/>
  <c r="AK94" i="12"/>
  <c r="AK90" i="12"/>
  <c r="AK89" i="12"/>
  <c r="AK88" i="12"/>
  <c r="AK85" i="12"/>
  <c r="AK374" i="12"/>
  <c r="AH374" i="12" s="1"/>
  <c r="AK373" i="12"/>
  <c r="AH373" i="12" s="1"/>
  <c r="AK372" i="12"/>
  <c r="AH372" i="12" s="1"/>
  <c r="AH55" i="12"/>
  <c r="AH38" i="12"/>
  <c r="AR433" i="12" l="1"/>
  <c r="AR430" i="12"/>
  <c r="AR431" i="12"/>
  <c r="AR432" i="12"/>
  <c r="AK141" i="12"/>
  <c r="AK142" i="12"/>
  <c r="AK247" i="12" s="1"/>
  <c r="AK143" i="12"/>
  <c r="AK369" i="12" s="1"/>
  <c r="AK248" i="12"/>
  <c r="AH7" i="12"/>
  <c r="AH8" i="12"/>
  <c r="AK386" i="12"/>
  <c r="AH386" i="12" s="1"/>
  <c r="AH37" i="12"/>
  <c r="AK339" i="12"/>
  <c r="AH24" i="12"/>
  <c r="AK315" i="12"/>
  <c r="AK378" i="12"/>
  <c r="AK355" i="12"/>
  <c r="AH355" i="12" s="1"/>
  <c r="AK371" i="12"/>
  <c r="AH371" i="12" s="1"/>
  <c r="AK261" i="12"/>
  <c r="AK199" i="12"/>
  <c r="AK109" i="12"/>
  <c r="AK422" i="12"/>
  <c r="AK87" i="12"/>
  <c r="AK91" i="12"/>
  <c r="AK147" i="12"/>
  <c r="AK423" i="12"/>
  <c r="AR429" i="12" l="1"/>
  <c r="AR428" i="12"/>
  <c r="AK249" i="12"/>
  <c r="AK289" i="12" s="1"/>
  <c r="AK287" i="12"/>
  <c r="AK296" i="12" s="1"/>
  <c r="AK368" i="12"/>
  <c r="AI257" i="6" s="1"/>
  <c r="AK144" i="12"/>
  <c r="AK250" i="12" s="1"/>
  <c r="AK288" i="12"/>
  <c r="AK367" i="12"/>
  <c r="AK406" i="12" s="1"/>
  <c r="AK364" i="12"/>
  <c r="AK246" i="12"/>
  <c r="AK385" i="12"/>
  <c r="AH385" i="12" s="1"/>
  <c r="AK389" i="12"/>
  <c r="AH389" i="12" s="1"/>
  <c r="AH31" i="12"/>
  <c r="AK408" i="12"/>
  <c r="AI258" i="6"/>
  <c r="AK388" i="12"/>
  <c r="AH388" i="12" s="1"/>
  <c r="AH6" i="12"/>
  <c r="AK397" i="12"/>
  <c r="AK140" i="12"/>
  <c r="AK86" i="12"/>
  <c r="AI300" i="6" l="1"/>
  <c r="AK297" i="12"/>
  <c r="AK414" i="12" s="1"/>
  <c r="AK407" i="12"/>
  <c r="AK419" i="12"/>
  <c r="AI276" i="6"/>
  <c r="AI256" i="6"/>
  <c r="AI298" i="6"/>
  <c r="AK420" i="12"/>
  <c r="AK290" i="12"/>
  <c r="AI299" i="6"/>
  <c r="AK370" i="12"/>
  <c r="AK409" i="12" s="1"/>
  <c r="AK286" i="12"/>
  <c r="AK295" i="12" s="1"/>
  <c r="AK139" i="12"/>
  <c r="AK363" i="12" s="1"/>
  <c r="AK362" i="12" s="1"/>
  <c r="AK404" i="12" s="1"/>
  <c r="AK384" i="12"/>
  <c r="AK390" i="12" s="1"/>
  <c r="AK387" i="12" s="1"/>
  <c r="AH387" i="12" s="1"/>
  <c r="AK366" i="12"/>
  <c r="AK245" i="12"/>
  <c r="AI301" i="6" l="1"/>
  <c r="AK298" i="12"/>
  <c r="AK415" i="12" s="1"/>
  <c r="AK413" i="12"/>
  <c r="AI278" i="6"/>
  <c r="AK421" i="12"/>
  <c r="AI277" i="6"/>
  <c r="AI259" i="6"/>
  <c r="AI297" i="6"/>
  <c r="AK418" i="12"/>
  <c r="AH384" i="12"/>
  <c r="AK405" i="12"/>
  <c r="AI255" i="6"/>
  <c r="AK377" i="12"/>
  <c r="AK396" i="12"/>
  <c r="AK285" i="12"/>
  <c r="AK294" i="12" s="1"/>
  <c r="AK244" i="12"/>
  <c r="AI279" i="6" l="1"/>
  <c r="AI254" i="6"/>
  <c r="AK376" i="12"/>
  <c r="AI275" i="6"/>
  <c r="AK412" i="12"/>
  <c r="AI296" i="6"/>
  <c r="AI295" i="6" s="1"/>
  <c r="AK375" i="12"/>
  <c r="AK395" i="12" s="1"/>
  <c r="AK394" i="12" s="1"/>
  <c r="AK393" i="12" s="1"/>
  <c r="AK391" i="12" s="1"/>
  <c r="AK417" i="12"/>
  <c r="AK284" i="12"/>
  <c r="AI274" i="6" l="1"/>
  <c r="AI273" i="6" s="1"/>
  <c r="AK411" i="12"/>
  <c r="AK416" i="12"/>
  <c r="AK410" i="12" l="1"/>
  <c r="AH75" i="6" l="1"/>
  <c r="AH73" i="6"/>
  <c r="AH71" i="6"/>
  <c r="AH70" i="6"/>
  <c r="AH66" i="6"/>
  <c r="AH65" i="6"/>
  <c r="AH61" i="6"/>
  <c r="AH59" i="6"/>
  <c r="AH58" i="6"/>
  <c r="AH57" i="6"/>
  <c r="AH56" i="6"/>
  <c r="AH54" i="6"/>
  <c r="AH53" i="6"/>
  <c r="AH51" i="6"/>
  <c r="AH48" i="6"/>
  <c r="AH43" i="6"/>
  <c r="AH42" i="6"/>
  <c r="AH41" i="6"/>
  <c r="AH40" i="6"/>
  <c r="AH39" i="6"/>
  <c r="AH38" i="6"/>
  <c r="AH37" i="6"/>
  <c r="AH36" i="6"/>
  <c r="AH35" i="6"/>
  <c r="AH34" i="6"/>
  <c r="AH33" i="6"/>
  <c r="AH311" i="6"/>
  <c r="AH310" i="6"/>
  <c r="AH309" i="6"/>
  <c r="AH289" i="6"/>
  <c r="AH288" i="6"/>
  <c r="AH287" i="6"/>
  <c r="AH27" i="6"/>
  <c r="AH26" i="6"/>
  <c r="AH25" i="6"/>
  <c r="AH22" i="6"/>
  <c r="AH19" i="6"/>
  <c r="AH15" i="6"/>
  <c r="AH14" i="6"/>
  <c r="AH13" i="6"/>
  <c r="AH11" i="6"/>
  <c r="AH9" i="6"/>
  <c r="AH32" i="6" l="1"/>
  <c r="AK31" i="6"/>
  <c r="AH24" i="6"/>
  <c r="AK23" i="6"/>
  <c r="AH8" i="6"/>
  <c r="AK7" i="6"/>
  <c r="AK49" i="6"/>
  <c r="AH68" i="6"/>
  <c r="AK67" i="6"/>
  <c r="AH308" i="6"/>
  <c r="AH286" i="6"/>
  <c r="AK6" i="6" l="1"/>
  <c r="AH7" i="6"/>
  <c r="AK30" i="6"/>
  <c r="AK311" i="6"/>
  <c r="AK310" i="6"/>
  <c r="AK309" i="6"/>
  <c r="AK307" i="6"/>
  <c r="AK306" i="6"/>
  <c r="AK305" i="6"/>
  <c r="AK304" i="6"/>
  <c r="AK301" i="6"/>
  <c r="AK300" i="6"/>
  <c r="AK299" i="6"/>
  <c r="AK298" i="6"/>
  <c r="AK297" i="6"/>
  <c r="AK296" i="6"/>
  <c r="AK289" i="6"/>
  <c r="AK288" i="6"/>
  <c r="AK287" i="6"/>
  <c r="AK285" i="6"/>
  <c r="AK284" i="6"/>
  <c r="AK283" i="6"/>
  <c r="AK282" i="6"/>
  <c r="AK279" i="6"/>
  <c r="AK278" i="6"/>
  <c r="AK277" i="6"/>
  <c r="AK276" i="6"/>
  <c r="AK275" i="6"/>
  <c r="AK274" i="6"/>
  <c r="AK268" i="6"/>
  <c r="AK267" i="6"/>
  <c r="AK266" i="6"/>
  <c r="AK264" i="6"/>
  <c r="AK263" i="6"/>
  <c r="AK262" i="6"/>
  <c r="AK261" i="6"/>
  <c r="AK259" i="6"/>
  <c r="AK258" i="6"/>
  <c r="AK257" i="6"/>
  <c r="AK256" i="6"/>
  <c r="AK255" i="6"/>
  <c r="AH67" i="6"/>
  <c r="AH49" i="6"/>
  <c r="AH31" i="6"/>
  <c r="AH23" i="6"/>
  <c r="AH30" i="6" l="1"/>
  <c r="AK286" i="6"/>
  <c r="AK265" i="6"/>
  <c r="AK273" i="6"/>
  <c r="AK295" i="6"/>
  <c r="AK260" i="6"/>
  <c r="AK281" i="6"/>
  <c r="AK303" i="6"/>
  <c r="AK308" i="6"/>
  <c r="AK254" i="6"/>
  <c r="AH6" i="6"/>
  <c r="AK253" i="6" l="1"/>
  <c r="AK247" i="6" l="1"/>
  <c r="AK272" i="6"/>
  <c r="AK249" i="6"/>
  <c r="AK294" i="6"/>
  <c r="AK315" i="6" s="1"/>
  <c r="AF21" i="12"/>
  <c r="AF7" i="12" l="1"/>
  <c r="AF31" i="12"/>
  <c r="AF38" i="12"/>
  <c r="AF55" i="12"/>
  <c r="AF24" i="12"/>
  <c r="AK248" i="6"/>
  <c r="AF6" i="12" l="1"/>
  <c r="AI134" i="6"/>
  <c r="AH268" i="6" l="1"/>
  <c r="AI268" i="6"/>
  <c r="AH390" i="12" l="1"/>
  <c r="AJ311" i="6"/>
  <c r="AJ310" i="6"/>
  <c r="AJ309" i="6"/>
  <c r="AJ289" i="6"/>
  <c r="AJ288" i="6"/>
  <c r="AJ287" i="6"/>
  <c r="AJ268" i="6"/>
  <c r="AG311" i="6"/>
  <c r="AG310" i="6"/>
  <c r="AG309" i="6"/>
  <c r="AG289" i="6"/>
  <c r="AG288" i="6"/>
  <c r="AG287" i="6"/>
  <c r="AJ230" i="2"/>
  <c r="AG230" i="2" s="1"/>
  <c r="AJ118" i="2"/>
  <c r="AJ119" i="2"/>
  <c r="AG211" i="2"/>
  <c r="AH211" i="2" s="1"/>
  <c r="AI211" i="2" s="1"/>
  <c r="AG209" i="2"/>
  <c r="AH209" i="2" s="1"/>
  <c r="AI209" i="2" s="1"/>
  <c r="AG208" i="2"/>
  <c r="AH208" i="2" s="1"/>
  <c r="AI208" i="2" s="1"/>
  <c r="AG200" i="2"/>
  <c r="AH200" i="2" s="1"/>
  <c r="AG188" i="2"/>
  <c r="AG186" i="2"/>
  <c r="AH186" i="2" s="1"/>
  <c r="AG185" i="2"/>
  <c r="AH185" i="2" s="1"/>
  <c r="AG166" i="2"/>
  <c r="AH166" i="2" s="1"/>
  <c r="AI166" i="2" s="1"/>
  <c r="AG165" i="2"/>
  <c r="AG160" i="2"/>
  <c r="AH160" i="2" s="1"/>
  <c r="AI160" i="2" s="1"/>
  <c r="AG159" i="2"/>
  <c r="AH159" i="2" s="1"/>
  <c r="AG157" i="2"/>
  <c r="AG156" i="2"/>
  <c r="AG151" i="2"/>
  <c r="AH151" i="2" s="1"/>
  <c r="AI151" i="2" s="1"/>
  <c r="AG149" i="2"/>
  <c r="AH149" i="2" s="1"/>
  <c r="AI149" i="2" s="1"/>
  <c r="AG148" i="2"/>
  <c r="AG136" i="2"/>
  <c r="AH136" i="2" s="1"/>
  <c r="AI136" i="2" s="1"/>
  <c r="AG134" i="2"/>
  <c r="AH134" i="2" s="1"/>
  <c r="AI134" i="2" s="1"/>
  <c r="AG133" i="2"/>
  <c r="AG129" i="2"/>
  <c r="AH129" i="2" s="1"/>
  <c r="AI129" i="2" s="1"/>
  <c r="AG128" i="2"/>
  <c r="AH128" i="2" s="1"/>
  <c r="AI128" i="2" s="1"/>
  <c r="AG126" i="2"/>
  <c r="AG124" i="2"/>
  <c r="AH124" i="2" s="1"/>
  <c r="AG123" i="2"/>
  <c r="AG115" i="2"/>
  <c r="AH115" i="2" s="1"/>
  <c r="AI115" i="2" s="1"/>
  <c r="AG113" i="2"/>
  <c r="AH113" i="2" s="1"/>
  <c r="AI113" i="2" s="1"/>
  <c r="AG112" i="2"/>
  <c r="AG110" i="2"/>
  <c r="AH110" i="2" s="1"/>
  <c r="AI110" i="2" s="1"/>
  <c r="AG108" i="2"/>
  <c r="AH108" i="2" s="1"/>
  <c r="AI108" i="2" s="1"/>
  <c r="AG107" i="2"/>
  <c r="AH107" i="2" s="1"/>
  <c r="AI107" i="2" s="1"/>
  <c r="AG105" i="2"/>
  <c r="AG103" i="2"/>
  <c r="AH103" i="2" s="1"/>
  <c r="AI103" i="2" s="1"/>
  <c r="AG102" i="2"/>
  <c r="AG99" i="2"/>
  <c r="AG97" i="2"/>
  <c r="AG96" i="2"/>
  <c r="AH96" i="2" s="1"/>
  <c r="AG94" i="2"/>
  <c r="AG81" i="2"/>
  <c r="AH81" i="2" s="1"/>
  <c r="AI81" i="2" s="1"/>
  <c r="AG79" i="2"/>
  <c r="AH79" i="2" s="1"/>
  <c r="AI79" i="2" s="1"/>
  <c r="AG78" i="2"/>
  <c r="AH78" i="2" s="1"/>
  <c r="AI78" i="2" s="1"/>
  <c r="AG76" i="2"/>
  <c r="AG73" i="2"/>
  <c r="AG72" i="2"/>
  <c r="AH72" i="2" s="1"/>
  <c r="AJ220" i="2"/>
  <c r="AG220" i="2" s="1"/>
  <c r="AJ219" i="2"/>
  <c r="AG219" i="2" s="1"/>
  <c r="AJ207" i="2"/>
  <c r="AJ224" i="2" s="1"/>
  <c r="AJ201" i="2"/>
  <c r="AJ195" i="2"/>
  <c r="AJ192" i="2"/>
  <c r="AJ191" i="2"/>
  <c r="AJ238" i="2" s="1"/>
  <c r="AJ184" i="2"/>
  <c r="AJ164" i="2"/>
  <c r="AJ158" i="2"/>
  <c r="AJ155" i="2"/>
  <c r="AJ132" i="2"/>
  <c r="AJ93" i="2"/>
  <c r="AJ91" i="2"/>
  <c r="AJ90" i="2"/>
  <c r="AJ85" i="2"/>
  <c r="AJ84" i="2"/>
  <c r="AJ70" i="2"/>
  <c r="AG201" i="2"/>
  <c r="AG195" i="2"/>
  <c r="AG192" i="2"/>
  <c r="AG70" i="2"/>
  <c r="AG351" i="12"/>
  <c r="AH351" i="12" s="1"/>
  <c r="AG350" i="12"/>
  <c r="AH350" i="12" s="1"/>
  <c r="AG344" i="12"/>
  <c r="AG343" i="12"/>
  <c r="AG85" i="12"/>
  <c r="AJ315" i="12"/>
  <c r="AJ303" i="12"/>
  <c r="AJ302" i="12" s="1"/>
  <c r="AJ85" i="12"/>
  <c r="AJ246" i="2" l="1"/>
  <c r="AH262" i="6"/>
  <c r="AJ247" i="2"/>
  <c r="AG191" i="2"/>
  <c r="AH343" i="12"/>
  <c r="AH344" i="12"/>
  <c r="AH184" i="2"/>
  <c r="AI96" i="2"/>
  <c r="AH123" i="2"/>
  <c r="AI123" i="2" s="1"/>
  <c r="AH148" i="2"/>
  <c r="AI148" i="2" s="1"/>
  <c r="AH157" i="2"/>
  <c r="AI157" i="2" s="1"/>
  <c r="AI200" i="2"/>
  <c r="AI191" i="2" s="1"/>
  <c r="AI238" i="2" s="1"/>
  <c r="AH191" i="2"/>
  <c r="AH238" i="2" s="1"/>
  <c r="AI72" i="2"/>
  <c r="AI84" i="2" s="1"/>
  <c r="AH84" i="2"/>
  <c r="AH97" i="2"/>
  <c r="AH91" i="2" s="1"/>
  <c r="AH105" i="2"/>
  <c r="AI105" i="2" s="1"/>
  <c r="AH112" i="2"/>
  <c r="AI112" i="2" s="1"/>
  <c r="AI124" i="2"/>
  <c r="AH119" i="2"/>
  <c r="AH133" i="2"/>
  <c r="AI133" i="2" s="1"/>
  <c r="AI159" i="2"/>
  <c r="AI158" i="2" s="1"/>
  <c r="AH158" i="2"/>
  <c r="AH73" i="2"/>
  <c r="AH85" i="2" s="1"/>
  <c r="AH99" i="2"/>
  <c r="AH126" i="2"/>
  <c r="AI126" i="2" s="1"/>
  <c r="AH76" i="2"/>
  <c r="AH88" i="2" s="1"/>
  <c r="AH102" i="2"/>
  <c r="AH156" i="2"/>
  <c r="AH165" i="2"/>
  <c r="AH164" i="2" s="1"/>
  <c r="AJ261" i="6"/>
  <c r="AH261" i="6"/>
  <c r="AJ308" i="6"/>
  <c r="AJ286" i="6"/>
  <c r="AG286" i="6"/>
  <c r="AG308" i="6"/>
  <c r="AJ144" i="2"/>
  <c r="AJ174" i="2" s="1"/>
  <c r="AJ251" i="2" s="1"/>
  <c r="AJ262" i="6"/>
  <c r="AJ143" i="2"/>
  <c r="AJ168" i="2" s="1"/>
  <c r="AJ254" i="2" s="1"/>
  <c r="AJ229" i="2"/>
  <c r="AG229" i="2" s="1"/>
  <c r="AG238" i="2"/>
  <c r="AI261" i="6" l="1"/>
  <c r="AH247" i="2"/>
  <c r="AH93" i="2"/>
  <c r="AH155" i="2"/>
  <c r="AH90" i="2"/>
  <c r="AH246" i="2" s="1"/>
  <c r="AI102" i="2"/>
  <c r="AI90" i="2" s="1"/>
  <c r="AI246" i="2" s="1"/>
  <c r="AI73" i="2"/>
  <c r="AI85" i="2" s="1"/>
  <c r="AI97" i="2"/>
  <c r="AI91" i="2" s="1"/>
  <c r="AI156" i="2"/>
  <c r="AI155" i="2" s="1"/>
  <c r="AI76" i="2"/>
  <c r="AI88" i="2" s="1"/>
  <c r="AI99" i="2"/>
  <c r="AI93" i="2" s="1"/>
  <c r="AH118" i="2"/>
  <c r="AI165" i="2"/>
  <c r="AI164" i="2" s="1"/>
  <c r="AH144" i="2"/>
  <c r="AJ283" i="6"/>
  <c r="AH283" i="6"/>
  <c r="AJ304" i="6"/>
  <c r="AH304" i="6"/>
  <c r="AJ169" i="2"/>
  <c r="AJ255" i="2" s="1"/>
  <c r="AJ173" i="2"/>
  <c r="AJ250" i="2" s="1"/>
  <c r="AI262" i="6" l="1"/>
  <c r="AI247" i="2"/>
  <c r="AH143" i="2"/>
  <c r="AH173" i="2" s="1"/>
  <c r="AH250" i="2" s="1"/>
  <c r="AH169" i="2"/>
  <c r="AH255" i="2" s="1"/>
  <c r="AH174" i="2"/>
  <c r="AH251" i="2" s="1"/>
  <c r="AJ282" i="6"/>
  <c r="AH282" i="6"/>
  <c r="AJ305" i="6"/>
  <c r="AH305" i="6"/>
  <c r="AH168" i="2" l="1"/>
  <c r="AH254" i="2" s="1"/>
  <c r="AF168" i="12" l="1"/>
  <c r="AF167" i="12"/>
  <c r="AF166" i="12"/>
  <c r="AE311" i="6"/>
  <c r="AE310" i="6"/>
  <c r="AE309" i="6"/>
  <c r="AE289" i="6"/>
  <c r="AE288" i="6"/>
  <c r="AE287" i="6"/>
  <c r="AE268" i="6"/>
  <c r="AE267" i="6"/>
  <c r="AE266" i="6"/>
  <c r="AE193" i="6"/>
  <c r="AE192" i="6"/>
  <c r="AE191" i="6"/>
  <c r="AE190" i="6"/>
  <c r="AE188" i="6"/>
  <c r="AE186" i="6"/>
  <c r="AE185" i="6"/>
  <c r="AE308" i="6" l="1"/>
  <c r="AE189" i="6"/>
  <c r="AE265" i="6"/>
  <c r="AE286" i="6"/>
  <c r="AF163" i="12" l="1"/>
  <c r="AG268" i="6"/>
  <c r="AF268" i="6"/>
  <c r="AF267" i="6" l="1"/>
  <c r="AF310" i="6"/>
  <c r="AF311" i="6" l="1"/>
  <c r="AF266" i="6"/>
  <c r="AF265" i="6" s="1"/>
  <c r="AF288" i="6"/>
  <c r="AF309" i="6" l="1"/>
  <c r="AF308" i="6" s="1"/>
  <c r="AF287" i="6"/>
  <c r="AF286" i="6" s="1"/>
  <c r="AG187" i="2" l="1"/>
  <c r="AG184" i="2" l="1"/>
  <c r="AH187" i="2"/>
  <c r="AF40" i="2"/>
  <c r="AF230" i="2"/>
  <c r="AF20" i="2"/>
  <c r="AF220" i="2"/>
  <c r="AF219" i="2"/>
  <c r="AF201" i="2"/>
  <c r="AF198" i="2"/>
  <c r="AF195" i="2"/>
  <c r="AF192" i="2"/>
  <c r="AF191" i="2"/>
  <c r="AF238" i="2" s="1"/>
  <c r="AF184" i="2"/>
  <c r="AF164" i="2"/>
  <c r="AG164" i="2" s="1"/>
  <c r="AF158" i="2"/>
  <c r="AG158" i="2" s="1"/>
  <c r="AF155" i="2"/>
  <c r="AG155" i="2" s="1"/>
  <c r="AF121" i="2"/>
  <c r="AF119" i="2"/>
  <c r="AF118" i="2"/>
  <c r="AF93" i="2"/>
  <c r="AG93" i="2" s="1"/>
  <c r="AF91" i="2"/>
  <c r="AG91" i="2" s="1"/>
  <c r="AF90" i="2"/>
  <c r="AG90" i="2" s="1"/>
  <c r="AF85" i="2"/>
  <c r="AF84" i="2"/>
  <c r="AF246" i="2" s="1"/>
  <c r="AF70" i="2"/>
  <c r="AG308" i="12"/>
  <c r="AH308" i="12" s="1"/>
  <c r="AG307" i="12"/>
  <c r="AH307" i="12" s="1"/>
  <c r="AG306" i="12"/>
  <c r="AH306" i="12" s="1"/>
  <c r="AG305" i="12"/>
  <c r="AH305" i="12" s="1"/>
  <c r="AG304" i="12"/>
  <c r="AH304" i="12" s="1"/>
  <c r="AF247" i="2" l="1"/>
  <c r="AF56" i="2"/>
  <c r="AF218" i="2" s="1"/>
  <c r="AF217" i="2" s="1"/>
  <c r="AF26" i="2"/>
  <c r="AF7" i="2"/>
  <c r="AF6" i="2" s="1"/>
  <c r="AF204" i="2"/>
  <c r="AH303" i="12"/>
  <c r="AH302" i="12" s="1"/>
  <c r="AG210" i="2"/>
  <c r="AG118" i="2"/>
  <c r="AI118" i="2" s="1"/>
  <c r="AG135" i="2"/>
  <c r="AG119" i="2"/>
  <c r="AI119" i="2" s="1"/>
  <c r="AI144" i="2" s="1"/>
  <c r="AF143" i="2"/>
  <c r="AF168" i="2" s="1"/>
  <c r="AG84" i="2"/>
  <c r="AG246" i="2" s="1"/>
  <c r="AF261" i="6"/>
  <c r="AF144" i="2"/>
  <c r="AF169" i="2" s="1"/>
  <c r="AG85" i="2"/>
  <c r="AG247" i="2" s="1"/>
  <c r="AF262" i="6"/>
  <c r="AF77" i="2"/>
  <c r="AF154" i="2"/>
  <c r="AF87" i="2"/>
  <c r="AF106" i="2"/>
  <c r="AF95" i="2"/>
  <c r="AF111" i="2"/>
  <c r="AF147" i="2"/>
  <c r="AF212" i="2"/>
  <c r="AF86" i="2"/>
  <c r="AF132" i="2"/>
  <c r="AF101" i="2"/>
  <c r="AF153" i="2"/>
  <c r="AF207" i="2"/>
  <c r="AF224" i="2" s="1"/>
  <c r="AF122" i="2"/>
  <c r="AF127" i="2"/>
  <c r="AG303" i="12"/>
  <c r="AG302" i="12" s="1"/>
  <c r="AF120" i="2"/>
  <c r="AF92" i="2"/>
  <c r="AF229" i="2"/>
  <c r="AF161" i="2"/>
  <c r="AF71" i="2"/>
  <c r="AF190" i="2"/>
  <c r="AF189" i="2" s="1"/>
  <c r="AF304" i="6" l="1"/>
  <c r="AF254" i="2"/>
  <c r="AF305" i="6"/>
  <c r="AF255" i="2"/>
  <c r="AF248" i="2"/>
  <c r="AF25" i="2"/>
  <c r="AF227" i="2"/>
  <c r="AF226" i="2"/>
  <c r="AF173" i="2"/>
  <c r="AF174" i="2"/>
  <c r="AI143" i="2"/>
  <c r="AI169" i="2"/>
  <c r="AI174" i="2"/>
  <c r="AG207" i="2"/>
  <c r="AG224" i="2" s="1"/>
  <c r="AH210" i="2"/>
  <c r="AH207" i="2" s="1"/>
  <c r="AH224" i="2" s="1"/>
  <c r="AG132" i="2"/>
  <c r="AH135" i="2"/>
  <c r="AH132" i="2" s="1"/>
  <c r="AF263" i="6"/>
  <c r="AF83" i="2"/>
  <c r="AG261" i="6"/>
  <c r="AG143" i="2"/>
  <c r="AG144" i="2"/>
  <c r="AG262" i="6"/>
  <c r="AF264" i="6"/>
  <c r="AF146" i="2"/>
  <c r="AF171" i="2" s="1"/>
  <c r="AF152" i="2"/>
  <c r="AF89" i="2"/>
  <c r="AF313" i="6"/>
  <c r="AF270" i="6"/>
  <c r="AF145" i="2"/>
  <c r="AF170" i="2" s="1"/>
  <c r="AF256" i="2" s="1"/>
  <c r="AF117" i="2"/>
  <c r="AF237" i="2"/>
  <c r="AF223" i="2"/>
  <c r="AF245" i="2" l="1"/>
  <c r="AF283" i="6"/>
  <c r="AF251" i="2"/>
  <c r="AF282" i="6"/>
  <c r="AF250" i="2"/>
  <c r="AI305" i="6"/>
  <c r="AI255" i="2"/>
  <c r="AI283" i="6"/>
  <c r="AI251" i="2"/>
  <c r="AF225" i="2"/>
  <c r="AF231" i="2" s="1"/>
  <c r="AF228" i="2" s="1"/>
  <c r="AI224" i="2"/>
  <c r="AI210" i="2"/>
  <c r="AI207" i="2" s="1"/>
  <c r="AI168" i="2"/>
  <c r="AI173" i="2"/>
  <c r="AI135" i="2"/>
  <c r="AI132" i="2" s="1"/>
  <c r="AF260" i="6"/>
  <c r="AF307" i="6"/>
  <c r="AF176" i="2"/>
  <c r="AF285" i="6" s="1"/>
  <c r="AG174" i="2"/>
  <c r="AG251" i="2" s="1"/>
  <c r="AG169" i="2"/>
  <c r="AG255" i="2" s="1"/>
  <c r="AG168" i="2"/>
  <c r="AG173" i="2"/>
  <c r="AG250" i="2" s="1"/>
  <c r="AF291" i="6"/>
  <c r="AF306" i="6"/>
  <c r="AF142" i="2"/>
  <c r="AF222" i="2" s="1"/>
  <c r="AF175" i="2"/>
  <c r="AF252" i="2" s="1"/>
  <c r="AF167" i="2"/>
  <c r="AF253" i="2" s="1"/>
  <c r="AG304" i="6" l="1"/>
  <c r="AG254" i="2"/>
  <c r="AI304" i="6"/>
  <c r="AI254" i="2"/>
  <c r="AI282" i="6"/>
  <c r="AI250" i="2"/>
  <c r="AF221" i="2"/>
  <c r="AF303" i="6"/>
  <c r="AG283" i="6"/>
  <c r="AG282" i="6"/>
  <c r="AG305" i="6"/>
  <c r="AF172" i="2"/>
  <c r="AF249" i="2" s="1"/>
  <c r="AF284" i="6"/>
  <c r="AF281" i="6" s="1"/>
  <c r="AG320" i="12"/>
  <c r="AG319" i="12"/>
  <c r="AG318" i="12"/>
  <c r="AG316" i="12"/>
  <c r="AG317" i="12"/>
  <c r="AH315" i="12" l="1"/>
  <c r="AF236" i="2"/>
  <c r="AF235" i="2" s="1"/>
  <c r="AF234" i="2" s="1"/>
  <c r="AF232" i="2" s="1"/>
  <c r="AG315" i="12"/>
  <c r="AG229" i="12"/>
  <c r="AG228" i="12"/>
  <c r="AG227" i="12"/>
  <c r="AG231" i="12"/>
  <c r="AF71" i="12"/>
  <c r="AF37" i="12" s="1"/>
  <c r="AF152" i="12" l="1"/>
  <c r="AF151" i="12"/>
  <c r="AF150" i="12"/>
  <c r="AF149" i="12"/>
  <c r="AF148" i="12"/>
  <c r="AF423" i="12" l="1"/>
  <c r="AM429" i="12" s="1"/>
  <c r="AF424" i="12"/>
  <c r="AM430" i="12" s="1"/>
  <c r="AF425" i="12"/>
  <c r="AM431" i="12" s="1"/>
  <c r="AF426" i="12"/>
  <c r="AM432" i="12" s="1"/>
  <c r="AF427" i="12"/>
  <c r="AM433" i="12" s="1"/>
  <c r="AF355" i="12" l="1"/>
  <c r="AF342" i="12"/>
  <c r="AF378" i="12" s="1"/>
  <c r="AF323" i="12"/>
  <c r="AF274" i="12"/>
  <c r="AF271" i="12"/>
  <c r="AF268" i="12"/>
  <c r="AF265" i="12"/>
  <c r="AF262" i="12"/>
  <c r="AF253" i="12"/>
  <c r="AF204" i="12"/>
  <c r="AF203" i="12"/>
  <c r="AF248" i="12" s="1"/>
  <c r="AF288" i="12" s="1"/>
  <c r="AF200" i="12"/>
  <c r="AF201" i="12"/>
  <c r="AF192" i="12"/>
  <c r="AF184" i="12"/>
  <c r="AF176" i="12"/>
  <c r="AF116" i="12"/>
  <c r="AF365" i="12"/>
  <c r="AF89" i="12"/>
  <c r="AF142" i="12" s="1"/>
  <c r="AF368" i="12" s="1"/>
  <c r="AF88" i="12"/>
  <c r="AF141" i="12" s="1"/>
  <c r="AF367" i="12" s="1"/>
  <c r="AF85" i="12"/>
  <c r="AF374" i="12"/>
  <c r="AF373" i="12"/>
  <c r="AF397" i="12" l="1"/>
  <c r="AF205" i="12"/>
  <c r="AF257" i="6"/>
  <c r="AF407" i="12"/>
  <c r="AF299" i="6"/>
  <c r="AF420" i="12"/>
  <c r="AF256" i="6"/>
  <c r="AF406" i="12"/>
  <c r="AF147" i="12"/>
  <c r="AF321" i="12"/>
  <c r="AF339" i="12"/>
  <c r="AF348" i="12"/>
  <c r="AF380" i="12" s="1"/>
  <c r="AF315" i="12"/>
  <c r="AF322" i="12"/>
  <c r="AF131" i="12"/>
  <c r="AF385" i="12"/>
  <c r="AF389" i="12"/>
  <c r="AF109" i="12"/>
  <c r="AF364" i="12" s="1"/>
  <c r="AF170" i="12"/>
  <c r="AF217" i="12"/>
  <c r="AF226" i="12"/>
  <c r="AF372" i="12"/>
  <c r="AF371" i="12" s="1"/>
  <c r="AF94" i="12"/>
  <c r="AF155" i="12"/>
  <c r="AF208" i="12"/>
  <c r="AF303" i="12"/>
  <c r="AF261" i="12"/>
  <c r="AF246" i="12"/>
  <c r="AF286" i="12" s="1"/>
  <c r="AF295" i="12" s="1"/>
  <c r="AF202" i="12"/>
  <c r="AF247" i="12" s="1"/>
  <c r="AF287" i="12" s="1"/>
  <c r="AF296" i="12" s="1"/>
  <c r="AF90" i="12"/>
  <c r="AF143" i="12" s="1"/>
  <c r="AF369" i="12" s="1"/>
  <c r="AF258" i="6" s="1"/>
  <c r="AF386" i="12"/>
  <c r="AF87" i="12"/>
  <c r="AF91" i="12"/>
  <c r="AF144" i="12" s="1"/>
  <c r="AF370" i="12" s="1"/>
  <c r="AF259" i="6" s="1"/>
  <c r="AF422" i="12" l="1"/>
  <c r="AM428" i="12" s="1"/>
  <c r="AF302" i="12"/>
  <c r="AF23" i="6"/>
  <c r="AF7" i="6"/>
  <c r="AF67" i="6"/>
  <c r="AF49" i="6"/>
  <c r="AF31" i="6"/>
  <c r="AF388" i="12"/>
  <c r="AF408" i="12"/>
  <c r="AF298" i="6"/>
  <c r="AF419" i="12"/>
  <c r="AF277" i="6"/>
  <c r="AF414" i="12"/>
  <c r="AF297" i="6"/>
  <c r="AF418" i="12"/>
  <c r="AF409" i="12"/>
  <c r="AF384" i="12"/>
  <c r="AF390" i="12" s="1"/>
  <c r="AF199" i="12"/>
  <c r="AF249" i="12"/>
  <c r="AF289" i="12" s="1"/>
  <c r="AF297" i="12" s="1"/>
  <c r="AF250" i="12"/>
  <c r="AF290" i="12" s="1"/>
  <c r="AF298" i="12" s="1"/>
  <c r="AF86" i="12"/>
  <c r="AF140" i="12"/>
  <c r="AF366" i="12" s="1"/>
  <c r="AF377" i="12"/>
  <c r="AF396" i="12"/>
  <c r="AF83" i="6"/>
  <c r="AF6" i="6" l="1"/>
  <c r="AF30" i="6"/>
  <c r="AF301" i="6"/>
  <c r="AF279" i="6"/>
  <c r="AF387" i="12"/>
  <c r="AF300" i="6"/>
  <c r="AF421" i="12"/>
  <c r="AF275" i="6"/>
  <c r="AF412" i="12"/>
  <c r="AF255" i="6"/>
  <c r="AF254" i="6" s="1"/>
  <c r="AF405" i="12"/>
  <c r="AF276" i="6"/>
  <c r="AF413" i="12"/>
  <c r="AF139" i="12"/>
  <c r="AF363" i="12" s="1"/>
  <c r="AF362" i="12" s="1"/>
  <c r="AF404" i="12" s="1"/>
  <c r="AF245" i="12"/>
  <c r="AB58" i="6"/>
  <c r="AB48" i="6"/>
  <c r="AB43" i="6"/>
  <c r="AB42" i="6"/>
  <c r="AB41" i="6"/>
  <c r="AB40" i="6"/>
  <c r="AB39" i="6"/>
  <c r="AB38" i="6"/>
  <c r="AB37" i="6"/>
  <c r="AB36" i="6"/>
  <c r="AB35" i="6"/>
  <c r="AF278" i="6" l="1"/>
  <c r="AF415" i="12"/>
  <c r="AF285" i="12"/>
  <c r="AF294" i="12" s="1"/>
  <c r="AF244" i="12"/>
  <c r="AF376" i="12" s="1"/>
  <c r="AF375" i="12" s="1"/>
  <c r="AF395" i="12" s="1"/>
  <c r="AF394" i="12" s="1"/>
  <c r="AF393" i="12" s="1"/>
  <c r="AF391" i="12" s="1"/>
  <c r="AF253" i="6"/>
  <c r="AE216" i="6"/>
  <c r="AF296" i="6" l="1"/>
  <c r="AF295" i="6" s="1"/>
  <c r="AF417" i="12"/>
  <c r="AF284" i="12"/>
  <c r="AE208" i="6"/>
  <c r="AE207" i="6"/>
  <c r="AB78" i="6"/>
  <c r="AB75" i="6"/>
  <c r="AB70" i="6"/>
  <c r="AB68" i="6" l="1"/>
  <c r="AE67" i="6"/>
  <c r="AE202" i="6"/>
  <c r="AB71" i="6"/>
  <c r="AE203" i="6"/>
  <c r="AB73" i="6"/>
  <c r="AF272" i="6"/>
  <c r="AF274" i="6"/>
  <c r="AF273" i="6" s="1"/>
  <c r="AF411" i="12"/>
  <c r="AF410" i="12"/>
  <c r="AE199" i="6"/>
  <c r="AE198" i="6"/>
  <c r="AF416" i="12"/>
  <c r="AF247" i="6"/>
  <c r="AB67" i="6" l="1"/>
  <c r="AF294" i="6"/>
  <c r="AF315" i="6" s="1"/>
  <c r="AF249" i="6"/>
  <c r="AF248" i="6"/>
  <c r="AE194" i="6" l="1"/>
  <c r="AE214" i="6"/>
  <c r="AE213" i="6"/>
  <c r="AE187" i="6" l="1"/>
  <c r="AE184" i="6" s="1"/>
  <c r="AB64" i="2" l="1"/>
  <c r="AB39" i="2"/>
  <c r="AE182" i="6"/>
  <c r="AE183" i="6"/>
  <c r="AE181" i="6"/>
  <c r="AE180" i="6"/>
  <c r="AE179" i="6"/>
  <c r="AE166" i="12"/>
  <c r="AE167" i="12"/>
  <c r="AE168" i="12"/>
  <c r="AB311" i="12"/>
  <c r="AE56" i="2" l="1"/>
  <c r="AB56" i="2" s="1"/>
  <c r="AB57" i="2"/>
  <c r="AB55" i="2"/>
  <c r="AE40" i="2"/>
  <c r="AB40" i="2" s="1"/>
  <c r="AE163" i="12"/>
  <c r="AE178" i="6"/>
  <c r="AE177" i="6" s="1"/>
  <c r="AE303" i="12" l="1"/>
  <c r="AB82" i="12"/>
  <c r="AB81" i="12"/>
  <c r="AB80" i="12"/>
  <c r="AB79" i="12"/>
  <c r="AB78" i="12"/>
  <c r="AB76" i="12"/>
  <c r="AB75" i="12"/>
  <c r="AB74" i="12"/>
  <c r="AB73" i="12"/>
  <c r="AB70" i="12"/>
  <c r="AB69" i="12"/>
  <c r="AB66" i="12"/>
  <c r="AB65" i="12"/>
  <c r="AB36" i="12"/>
  <c r="AB35" i="12"/>
  <c r="AB34" i="12"/>
  <c r="AB64" i="12"/>
  <c r="AB63" i="12"/>
  <c r="AB62" i="12"/>
  <c r="AB60" i="12"/>
  <c r="AB59" i="12"/>
  <c r="AB54" i="12"/>
  <c r="AB49" i="12"/>
  <c r="AB50" i="12"/>
  <c r="AE215" i="6" l="1"/>
  <c r="AB33" i="12"/>
  <c r="AE31" i="12"/>
  <c r="AB31" i="12" s="1"/>
  <c r="AB72" i="12"/>
  <c r="AE71" i="12"/>
  <c r="AB71" i="12" s="1"/>
  <c r="AB32" i="12"/>
  <c r="AB56" i="12"/>
  <c r="AE55" i="12"/>
  <c r="AB55" i="12" s="1"/>
  <c r="AB8" i="12"/>
  <c r="AE365" i="12"/>
  <c r="AE170" i="12"/>
  <c r="AB66" i="6"/>
  <c r="AB65" i="6"/>
  <c r="AB61" i="6"/>
  <c r="AB59" i="6"/>
  <c r="AB57" i="6"/>
  <c r="AB56" i="6"/>
  <c r="AB55" i="6"/>
  <c r="AB54" i="6"/>
  <c r="AB53" i="6"/>
  <c r="AB51" i="6"/>
  <c r="AB34" i="6"/>
  <c r="AB33" i="6"/>
  <c r="AB13" i="6"/>
  <c r="AE31" i="6" l="1"/>
  <c r="AB32" i="6"/>
  <c r="AE49" i="6"/>
  <c r="AB49" i="6" s="1"/>
  <c r="AE348" i="12"/>
  <c r="AE380" i="12" s="1"/>
  <c r="AB194" i="6"/>
  <c r="AB215" i="2"/>
  <c r="AB36" i="2"/>
  <c r="AB34" i="2"/>
  <c r="AB33" i="2"/>
  <c r="AB32" i="2"/>
  <c r="AB31" i="2"/>
  <c r="AE20" i="2"/>
  <c r="AB19" i="2"/>
  <c r="AB17" i="2"/>
  <c r="AB14" i="2"/>
  <c r="AB13" i="2"/>
  <c r="AB12" i="2"/>
  <c r="AB10" i="2"/>
  <c r="AB9" i="2"/>
  <c r="AE220" i="2"/>
  <c r="AB220" i="2" s="1"/>
  <c r="AE219" i="2"/>
  <c r="AB219" i="2" s="1"/>
  <c r="AE212" i="2"/>
  <c r="AB212" i="2" s="1"/>
  <c r="AE207" i="2"/>
  <c r="AE224" i="2" s="1"/>
  <c r="AE201" i="2"/>
  <c r="AE198" i="2"/>
  <c r="AE195" i="2"/>
  <c r="AE192" i="2"/>
  <c r="AE191" i="2"/>
  <c r="AE238" i="2" s="1"/>
  <c r="AE184" i="2"/>
  <c r="AE164" i="2"/>
  <c r="AE158" i="2"/>
  <c r="AE155" i="2"/>
  <c r="AE154" i="2"/>
  <c r="AE147" i="2"/>
  <c r="AE132" i="2"/>
  <c r="AE127" i="2"/>
  <c r="AE121" i="2"/>
  <c r="AE119" i="2"/>
  <c r="AE118" i="2"/>
  <c r="AE111" i="2"/>
  <c r="AE106" i="2"/>
  <c r="AE101" i="2"/>
  <c r="AE95" i="2"/>
  <c r="AE93" i="2"/>
  <c r="AE91" i="2"/>
  <c r="AE90" i="2"/>
  <c r="AE85" i="2"/>
  <c r="AE84" i="2"/>
  <c r="AE86" i="2"/>
  <c r="AE87" i="2"/>
  <c r="AE264" i="6" s="1"/>
  <c r="AE71" i="2"/>
  <c r="AE70" i="2"/>
  <c r="AE229" i="2"/>
  <c r="AB216" i="2"/>
  <c r="AB214" i="2"/>
  <c r="AB213" i="2"/>
  <c r="AB184" i="2"/>
  <c r="AB182" i="6"/>
  <c r="AB48" i="12"/>
  <c r="AB47" i="12"/>
  <c r="AB46" i="12"/>
  <c r="AB45" i="12"/>
  <c r="AB44" i="12"/>
  <c r="AB43" i="12"/>
  <c r="AB41" i="12"/>
  <c r="AB40" i="12"/>
  <c r="AB29" i="12"/>
  <c r="AB28" i="12"/>
  <c r="AB27" i="12"/>
  <c r="AB26" i="12"/>
  <c r="AB20" i="12"/>
  <c r="AB19" i="12"/>
  <c r="AB17" i="12"/>
  <c r="AB14" i="12"/>
  <c r="AB13" i="12"/>
  <c r="AB12" i="12"/>
  <c r="AB11" i="12"/>
  <c r="AE342" i="12"/>
  <c r="AE378" i="12" s="1"/>
  <c r="AE336" i="12"/>
  <c r="AE333" i="12"/>
  <c r="AE330" i="12"/>
  <c r="AE327" i="12"/>
  <c r="AE323" i="12"/>
  <c r="AE397" i="12" s="1"/>
  <c r="AE322" i="12"/>
  <c r="AE315" i="12"/>
  <c r="AE274" i="12"/>
  <c r="AE271" i="12"/>
  <c r="AE268" i="12"/>
  <c r="AE265" i="12"/>
  <c r="AE262" i="12"/>
  <c r="AE253" i="12"/>
  <c r="AE226" i="12"/>
  <c r="AE217" i="12"/>
  <c r="AE204" i="12"/>
  <c r="AE208" i="12"/>
  <c r="AE200" i="12"/>
  <c r="AE205" i="12"/>
  <c r="AE203" i="12"/>
  <c r="AE248" i="12" s="1"/>
  <c r="AE288" i="12" s="1"/>
  <c r="AE201" i="12"/>
  <c r="AE192" i="12"/>
  <c r="AE184" i="12"/>
  <c r="AE176" i="12"/>
  <c r="AE152" i="12"/>
  <c r="AE151" i="12"/>
  <c r="AE148" i="12"/>
  <c r="AE155" i="12"/>
  <c r="AE150" i="12"/>
  <c r="AE149" i="12"/>
  <c r="AE131" i="12"/>
  <c r="AE116" i="12"/>
  <c r="AE109" i="12"/>
  <c r="AE427" i="12"/>
  <c r="AE90" i="12"/>
  <c r="AE143" i="12" s="1"/>
  <c r="AE425" i="12"/>
  <c r="AE424" i="12"/>
  <c r="AE423" i="12"/>
  <c r="AE94" i="12"/>
  <c r="AE89" i="12"/>
  <c r="AE142" i="12" s="1"/>
  <c r="AE88" i="12"/>
  <c r="AE141" i="12" s="1"/>
  <c r="AE85" i="12"/>
  <c r="AE374" i="12"/>
  <c r="AE373" i="12"/>
  <c r="AE372" i="12"/>
  <c r="AE389" i="12"/>
  <c r="AB360" i="12"/>
  <c r="AB358" i="12"/>
  <c r="AB357" i="12"/>
  <c r="AB356" i="12"/>
  <c r="AB351" i="12"/>
  <c r="AB350" i="12"/>
  <c r="AB349" i="12"/>
  <c r="AB344" i="12"/>
  <c r="AB165" i="12" s="1"/>
  <c r="AB343" i="12"/>
  <c r="AB164" i="12" s="1"/>
  <c r="AB303" i="12"/>
  <c r="AB221" i="12"/>
  <c r="AB374" i="12"/>
  <c r="AB373" i="12"/>
  <c r="AB85" i="12"/>
  <c r="AB25" i="6"/>
  <c r="AB22" i="6"/>
  <c r="AB19" i="6"/>
  <c r="AB15" i="6"/>
  <c r="AB14" i="6"/>
  <c r="AB12" i="6"/>
  <c r="AB11" i="6"/>
  <c r="AB9" i="6"/>
  <c r="AB83" i="6"/>
  <c r="AB185" i="6"/>
  <c r="AB161" i="6"/>
  <c r="AB157" i="6"/>
  <c r="AB152" i="6"/>
  <c r="AB150" i="6"/>
  <c r="AB148" i="6"/>
  <c r="AB147" i="6"/>
  <c r="AB145" i="6"/>
  <c r="AB144" i="6"/>
  <c r="AB141" i="6"/>
  <c r="AB140" i="6"/>
  <c r="AB139" i="6"/>
  <c r="AB133" i="6"/>
  <c r="AB132" i="6"/>
  <c r="AB130" i="6"/>
  <c r="AB129" i="6"/>
  <c r="AB128" i="6"/>
  <c r="AB120" i="6"/>
  <c r="AB118" i="6"/>
  <c r="AB113" i="6"/>
  <c r="AB102" i="6"/>
  <c r="AB91" i="6"/>
  <c r="AB89" i="6"/>
  <c r="AB203" i="6"/>
  <c r="AB202" i="6"/>
  <c r="AB193" i="6"/>
  <c r="AB192" i="6"/>
  <c r="AB191" i="6"/>
  <c r="AB188" i="6"/>
  <c r="AB187" i="6"/>
  <c r="AB186" i="6"/>
  <c r="AB183" i="6"/>
  <c r="AB181" i="6"/>
  <c r="AB179" i="6"/>
  <c r="AE171" i="6"/>
  <c r="AE114" i="6" s="1"/>
  <c r="AE238" i="6"/>
  <c r="AE168" i="6"/>
  <c r="AE206" i="6" s="1"/>
  <c r="AE108" i="6"/>
  <c r="AE84" i="6"/>
  <c r="AE96" i="6" s="1"/>
  <c r="AE197" i="6" s="1"/>
  <c r="AE196" i="6" s="1"/>
  <c r="AE253" i="6" s="1"/>
  <c r="AE83" i="6"/>
  <c r="AE246" i="2" l="1"/>
  <c r="AE247" i="2"/>
  <c r="AE263" i="6"/>
  <c r="AB27" i="6"/>
  <c r="AB230" i="6" s="1"/>
  <c r="AE7" i="6"/>
  <c r="AE226" i="6" s="1"/>
  <c r="AB8" i="6"/>
  <c r="AE23" i="6"/>
  <c r="AB23" i="6" s="1"/>
  <c r="AB24" i="6"/>
  <c r="AB26" i="6"/>
  <c r="AB229" i="6" s="1"/>
  <c r="AB31" i="6"/>
  <c r="AB227" i="6" s="1"/>
  <c r="AE30" i="6"/>
  <c r="AB30" i="6" s="1"/>
  <c r="AB27" i="2"/>
  <c r="AE26" i="2"/>
  <c r="AE227" i="2" s="1"/>
  <c r="AB20" i="2"/>
  <c r="AB21" i="2"/>
  <c r="AB8" i="2"/>
  <c r="AE7" i="2"/>
  <c r="AE226" i="2" s="1"/>
  <c r="AB226" i="2" s="1"/>
  <c r="AB22" i="12"/>
  <c r="AB9" i="12"/>
  <c r="AE7" i="12"/>
  <c r="AE385" i="12" s="1"/>
  <c r="AE38" i="12"/>
  <c r="AB39" i="12"/>
  <c r="AE24" i="12"/>
  <c r="AB24" i="12" s="1"/>
  <c r="AB388" i="12" s="1"/>
  <c r="AB25" i="12"/>
  <c r="AB151" i="6"/>
  <c r="AE229" i="6"/>
  <c r="AB131" i="6"/>
  <c r="AE143" i="2"/>
  <c r="AE173" i="2" s="1"/>
  <c r="AE261" i="6"/>
  <c r="AE144" i="2"/>
  <c r="AE169" i="2" s="1"/>
  <c r="AE262" i="6"/>
  <c r="AE277" i="6"/>
  <c r="AE299" i="6"/>
  <c r="AE364" i="12"/>
  <c r="AE201" i="6"/>
  <c r="AE200" i="6" s="1"/>
  <c r="AB184" i="6"/>
  <c r="AE97" i="6"/>
  <c r="AE112" i="6" s="1"/>
  <c r="AE205" i="6" s="1"/>
  <c r="AE204" i="6" s="1"/>
  <c r="AE272" i="6" s="1"/>
  <c r="AE92" i="2"/>
  <c r="AE89" i="2" s="1"/>
  <c r="AE120" i="2"/>
  <c r="AE117" i="2" s="1"/>
  <c r="AE161" i="2"/>
  <c r="AE152" i="2" s="1"/>
  <c r="AE204" i="2"/>
  <c r="AE230" i="6"/>
  <c r="AE115" i="6"/>
  <c r="AB359" i="12"/>
  <c r="AB355" i="12" s="1"/>
  <c r="AE355" i="12"/>
  <c r="AE339" i="12"/>
  <c r="AE227" i="6"/>
  <c r="AB127" i="6"/>
  <c r="AE147" i="12"/>
  <c r="AB372" i="12"/>
  <c r="AB371" i="12" s="1"/>
  <c r="AE199" i="12"/>
  <c r="AE371" i="12"/>
  <c r="AE218" i="2"/>
  <c r="AB218" i="2" s="1"/>
  <c r="AB268" i="6"/>
  <c r="AB229" i="2"/>
  <c r="AE146" i="2"/>
  <c r="AE83" i="2"/>
  <c r="AE122" i="2"/>
  <c r="AE77" i="2"/>
  <c r="AE153" i="2"/>
  <c r="AE190" i="2"/>
  <c r="AE189" i="2" s="1"/>
  <c r="AB389" i="12"/>
  <c r="AE367" i="12"/>
  <c r="AE256" i="6" s="1"/>
  <c r="AE246" i="12"/>
  <c r="AE286" i="12" s="1"/>
  <c r="AE295" i="12" s="1"/>
  <c r="AE261" i="12"/>
  <c r="AE368" i="12"/>
  <c r="AE257" i="6" s="1"/>
  <c r="AE249" i="12"/>
  <c r="AE289" i="12" s="1"/>
  <c r="AE297" i="12" s="1"/>
  <c r="AE369" i="12"/>
  <c r="AE258" i="6" s="1"/>
  <c r="AB178" i="6"/>
  <c r="AE87" i="12"/>
  <c r="AE140" i="12" s="1"/>
  <c r="AE91" i="12"/>
  <c r="AE144" i="12" s="1"/>
  <c r="AE324" i="12"/>
  <c r="AE321" i="12" s="1"/>
  <c r="AE422" i="12"/>
  <c r="AE426" i="12"/>
  <c r="AB180" i="6"/>
  <c r="AE202" i="12"/>
  <c r="AE247" i="12" s="1"/>
  <c r="AE287" i="12" s="1"/>
  <c r="AE296" i="12" s="1"/>
  <c r="AB201" i="6"/>
  <c r="AB200" i="6" s="1"/>
  <c r="AE237" i="6"/>
  <c r="AE245" i="2" l="1"/>
  <c r="AE305" i="6"/>
  <c r="AE255" i="2"/>
  <c r="AE282" i="6"/>
  <c r="AE250" i="2"/>
  <c r="AE248" i="2"/>
  <c r="AE6" i="6"/>
  <c r="AB6" i="6" s="1"/>
  <c r="AB7" i="6"/>
  <c r="AB226" i="6" s="1"/>
  <c r="AB225" i="6" s="1"/>
  <c r="AB231" i="6" s="1"/>
  <c r="AB228" i="6" s="1"/>
  <c r="AB26" i="2"/>
  <c r="AE25" i="2"/>
  <c r="AB25" i="2" s="1"/>
  <c r="AB7" i="2"/>
  <c r="AE6" i="2"/>
  <c r="AB6" i="2" s="1"/>
  <c r="AB38" i="12"/>
  <c r="AB386" i="12" s="1"/>
  <c r="AE37" i="12"/>
  <c r="AB37" i="12" s="1"/>
  <c r="AB7" i="12"/>
  <c r="AB385" i="12" s="1"/>
  <c r="AE21" i="12"/>
  <c r="AB21" i="12" s="1"/>
  <c r="AE388" i="12"/>
  <c r="AE174" i="2"/>
  <c r="AE168" i="2"/>
  <c r="AE260" i="6"/>
  <c r="AE276" i="6"/>
  <c r="AE298" i="6"/>
  <c r="AE278" i="6"/>
  <c r="AE300" i="6"/>
  <c r="AE275" i="6"/>
  <c r="AE297" i="6"/>
  <c r="AE217" i="2"/>
  <c r="AB217" i="2" s="1"/>
  <c r="AE122" i="6"/>
  <c r="AE386" i="12"/>
  <c r="AE384" i="12" s="1"/>
  <c r="AE390" i="12" s="1"/>
  <c r="AE225" i="6"/>
  <c r="AE231" i="6" s="1"/>
  <c r="AE228" i="6" s="1"/>
  <c r="AE139" i="12"/>
  <c r="AE363" i="12" s="1"/>
  <c r="AE145" i="2"/>
  <c r="AE170" i="2" s="1"/>
  <c r="AE230" i="2"/>
  <c r="AB230" i="2" s="1"/>
  <c r="AB190" i="6"/>
  <c r="AB227" i="2"/>
  <c r="AE225" i="2"/>
  <c r="AE237" i="2"/>
  <c r="AE223" i="2"/>
  <c r="AE176" i="2"/>
  <c r="AE285" i="6" s="1"/>
  <c r="AE171" i="2"/>
  <c r="AE307" i="6" s="1"/>
  <c r="AE407" i="12"/>
  <c r="AE377" i="12"/>
  <c r="AE396" i="12"/>
  <c r="AE408" i="12"/>
  <c r="AE418" i="12"/>
  <c r="AE370" i="12"/>
  <c r="AE259" i="6" s="1"/>
  <c r="AE250" i="12"/>
  <c r="AE290" i="12" s="1"/>
  <c r="AE298" i="12" s="1"/>
  <c r="AE420" i="12"/>
  <c r="AE406" i="12"/>
  <c r="AE86" i="12"/>
  <c r="AE419" i="12"/>
  <c r="AE247" i="6"/>
  <c r="AE119" i="6"/>
  <c r="AE121" i="6" s="1"/>
  <c r="AE304" i="6" l="1"/>
  <c r="AE254" i="2"/>
  <c r="AE283" i="6"/>
  <c r="AE251" i="2"/>
  <c r="AE306" i="6"/>
  <c r="AE256" i="2"/>
  <c r="AE387" i="12"/>
  <c r="AE6" i="12"/>
  <c r="AB6" i="12" s="1"/>
  <c r="AK244" i="6"/>
  <c r="AE414" i="12"/>
  <c r="AE294" i="6"/>
  <c r="AE412" i="12"/>
  <c r="AE279" i="6"/>
  <c r="AE301" i="6"/>
  <c r="AE142" i="2"/>
  <c r="AE222" i="2" s="1"/>
  <c r="AE221" i="2" s="1"/>
  <c r="AE175" i="2"/>
  <c r="AE252" i="2" s="1"/>
  <c r="AE413" i="12"/>
  <c r="AB384" i="12"/>
  <c r="AB390" i="12" s="1"/>
  <c r="AB387" i="12" s="1"/>
  <c r="AB189" i="6"/>
  <c r="AB177" i="6"/>
  <c r="AB225" i="2"/>
  <c r="AE231" i="2"/>
  <c r="AE167" i="2"/>
  <c r="AE253" i="2" s="1"/>
  <c r="AE366" i="12"/>
  <c r="AE255" i="6" s="1"/>
  <c r="AE254" i="6" s="1"/>
  <c r="AE245" i="12"/>
  <c r="AE362" i="12"/>
  <c r="AE409" i="12"/>
  <c r="AE421" i="12"/>
  <c r="AE249" i="6"/>
  <c r="AE218" i="6"/>
  <c r="AE217" i="6" s="1"/>
  <c r="AE236" i="6"/>
  <c r="AE235" i="6" s="1"/>
  <c r="AE234" i="6" s="1"/>
  <c r="AE303" i="6" l="1"/>
  <c r="AK242" i="6"/>
  <c r="AK245" i="6"/>
  <c r="AK246" i="6"/>
  <c r="AE172" i="2"/>
  <c r="AE249" i="2" s="1"/>
  <c r="AE284" i="6"/>
  <c r="AE281" i="6" s="1"/>
  <c r="AE270" i="6"/>
  <c r="AE248" i="6"/>
  <c r="AE404" i="12"/>
  <c r="AE291" i="6"/>
  <c r="AE313" i="6"/>
  <c r="AE236" i="2"/>
  <c r="AE235" i="2" s="1"/>
  <c r="AE234" i="2" s="1"/>
  <c r="AE232" i="2" s="1"/>
  <c r="AB231" i="2"/>
  <c r="AE228" i="2"/>
  <c r="AB228" i="2" s="1"/>
  <c r="AE415" i="12"/>
  <c r="AE244" i="12"/>
  <c r="AE376" i="12" s="1"/>
  <c r="AE375" i="12" s="1"/>
  <c r="AE285" i="12"/>
  <c r="AE294" i="12" s="1"/>
  <c r="AE405" i="12"/>
  <c r="AE296" i="6" l="1"/>
  <c r="AE295" i="6" s="1"/>
  <c r="AE315" i="6" s="1"/>
  <c r="AE284" i="12"/>
  <c r="AK401" i="12" s="1"/>
  <c r="AE395" i="12"/>
  <c r="AE394" i="12" s="1"/>
  <c r="AE393" i="12" s="1"/>
  <c r="AE391" i="12" s="1"/>
  <c r="AE417" i="12"/>
  <c r="AE274" i="6" l="1"/>
  <c r="AE273" i="6" s="1"/>
  <c r="AE411" i="12"/>
  <c r="AE416" i="12"/>
  <c r="AB156" i="12"/>
  <c r="AB175" i="12"/>
  <c r="AB171" i="12"/>
  <c r="AB110" i="12"/>
  <c r="AE410" i="12" l="1"/>
  <c r="AD198" i="2" l="1"/>
  <c r="AD184" i="2"/>
  <c r="AD154" i="2"/>
  <c r="AD147" i="2"/>
  <c r="AD127" i="2"/>
  <c r="AD106" i="2"/>
  <c r="AD207" i="2"/>
  <c r="AD224" i="2" s="1"/>
  <c r="AD132" i="2"/>
  <c r="AA216" i="2"/>
  <c r="AA214" i="2"/>
  <c r="AA213" i="2"/>
  <c r="AA203" i="2"/>
  <c r="AB203" i="2" s="1"/>
  <c r="AA202" i="2"/>
  <c r="AB202" i="2" s="1"/>
  <c r="AA197" i="2"/>
  <c r="AA196" i="2"/>
  <c r="AB196" i="2" s="1"/>
  <c r="AA194" i="2"/>
  <c r="AA193" i="2"/>
  <c r="AA70" i="2"/>
  <c r="AA220" i="2"/>
  <c r="AA219" i="2"/>
  <c r="AD77" i="2"/>
  <c r="AA215" i="2"/>
  <c r="AA65" i="2"/>
  <c r="AA64" i="2"/>
  <c r="AA39" i="2"/>
  <c r="AA36" i="2"/>
  <c r="AA34" i="2"/>
  <c r="AA33" i="2"/>
  <c r="AA32" i="2"/>
  <c r="AA31" i="2"/>
  <c r="AD230" i="2"/>
  <c r="AA229" i="2"/>
  <c r="AD20" i="2"/>
  <c r="AA19" i="2"/>
  <c r="AA14" i="2"/>
  <c r="AA13" i="2"/>
  <c r="AA12" i="2"/>
  <c r="AA10" i="2"/>
  <c r="AA9" i="2"/>
  <c r="AD220" i="2"/>
  <c r="AD219" i="2"/>
  <c r="AD201" i="2"/>
  <c r="AD195" i="2"/>
  <c r="AD192" i="2"/>
  <c r="AD191" i="2"/>
  <c r="AD238" i="2" s="1"/>
  <c r="AD164" i="2"/>
  <c r="AD158" i="2"/>
  <c r="AD155" i="2"/>
  <c r="AD121" i="2"/>
  <c r="AD119" i="2"/>
  <c r="AD118" i="2"/>
  <c r="AD93" i="2"/>
  <c r="AD91" i="2"/>
  <c r="AD90" i="2"/>
  <c r="AD85" i="2"/>
  <c r="AD84" i="2"/>
  <c r="AD70" i="2"/>
  <c r="AB352" i="12"/>
  <c r="AB353" i="12"/>
  <c r="AB341" i="12"/>
  <c r="AB340" i="12"/>
  <c r="AB337" i="12"/>
  <c r="AB338" i="12"/>
  <c r="AB335" i="12"/>
  <c r="AB334" i="12"/>
  <c r="AB332" i="12"/>
  <c r="AB331" i="12"/>
  <c r="AB326" i="12"/>
  <c r="AB325" i="12"/>
  <c r="AB329" i="12"/>
  <c r="AB328" i="12"/>
  <c r="AB320" i="12"/>
  <c r="AB319" i="12"/>
  <c r="AB318" i="12"/>
  <c r="AB317" i="12"/>
  <c r="AB316" i="12"/>
  <c r="AB276" i="12"/>
  <c r="AB275" i="12"/>
  <c r="AB273" i="12"/>
  <c r="AB272" i="12"/>
  <c r="AB270" i="12"/>
  <c r="AB269" i="12"/>
  <c r="AB267" i="12"/>
  <c r="AB266" i="12"/>
  <c r="AB264" i="12"/>
  <c r="AB263" i="12"/>
  <c r="AB258" i="12"/>
  <c r="AB257" i="12"/>
  <c r="AB256" i="12"/>
  <c r="AB255" i="12"/>
  <c r="AB254" i="12"/>
  <c r="AB223" i="12"/>
  <c r="AB231" i="12"/>
  <c r="AB232" i="12"/>
  <c r="AB229" i="12"/>
  <c r="AB228" i="12"/>
  <c r="AB227" i="12"/>
  <c r="AB222" i="12"/>
  <c r="AB220" i="12"/>
  <c r="AB219" i="12"/>
  <c r="AB218" i="12"/>
  <c r="AB213" i="12"/>
  <c r="AB214" i="12"/>
  <c r="AB211" i="12"/>
  <c r="AB210" i="12"/>
  <c r="AB209" i="12"/>
  <c r="AB212" i="12"/>
  <c r="AB189" i="12"/>
  <c r="AB188" i="12"/>
  <c r="AB187" i="12"/>
  <c r="AB186" i="12"/>
  <c r="AB185" i="12"/>
  <c r="AB180" i="12"/>
  <c r="AB181" i="12"/>
  <c r="AB179" i="12"/>
  <c r="AB178" i="12"/>
  <c r="AB177" i="12"/>
  <c r="AB160" i="12"/>
  <c r="AB159" i="12"/>
  <c r="AB158" i="12"/>
  <c r="AB157" i="12"/>
  <c r="AB119" i="12"/>
  <c r="AB114" i="12"/>
  <c r="AA36" i="12"/>
  <c r="AB197" i="12"/>
  <c r="AB136" i="12"/>
  <c r="AB121" i="12"/>
  <c r="AB99" i="12"/>
  <c r="AB196" i="12"/>
  <c r="AB174" i="12"/>
  <c r="AB216" i="6" s="1"/>
  <c r="AB135" i="12"/>
  <c r="AB120" i="12"/>
  <c r="AB195" i="12"/>
  <c r="AB173" i="12"/>
  <c r="AB134" i="12"/>
  <c r="AB112" i="12"/>
  <c r="AB97" i="12"/>
  <c r="AB194" i="12"/>
  <c r="AB172" i="12"/>
  <c r="AB133" i="12"/>
  <c r="AB118" i="12"/>
  <c r="AB111" i="12"/>
  <c r="AB96" i="12"/>
  <c r="AB193" i="12"/>
  <c r="AB132" i="12"/>
  <c r="AB117" i="12"/>
  <c r="AB95" i="12"/>
  <c r="AB230" i="12"/>
  <c r="AA35" i="12"/>
  <c r="Z35" i="12"/>
  <c r="Z36" i="12"/>
  <c r="AA34" i="12"/>
  <c r="AB113" i="12" l="1"/>
  <c r="AB109" i="12" s="1"/>
  <c r="AB364" i="12" s="1"/>
  <c r="AD247" i="2"/>
  <c r="AD246" i="2"/>
  <c r="AD56" i="2"/>
  <c r="AA56" i="2" s="1"/>
  <c r="AA218" i="2" s="1"/>
  <c r="AA217" i="2" s="1"/>
  <c r="AA57" i="2"/>
  <c r="AA8" i="2"/>
  <c r="AD7" i="2"/>
  <c r="AD226" i="2" s="1"/>
  <c r="AA21" i="2"/>
  <c r="AA20" i="2"/>
  <c r="AA55" i="2"/>
  <c r="AD40" i="2"/>
  <c r="AA40" i="2" s="1"/>
  <c r="AA27" i="2"/>
  <c r="AD26" i="2"/>
  <c r="AD227" i="2" s="1"/>
  <c r="AA33" i="12"/>
  <c r="AD31" i="12"/>
  <c r="AA32" i="12"/>
  <c r="AB201" i="2"/>
  <c r="AB347" i="12"/>
  <c r="AB168" i="12" s="1"/>
  <c r="AD168" i="12"/>
  <c r="AB346" i="12"/>
  <c r="AB167" i="12" s="1"/>
  <c r="AD167" i="12"/>
  <c r="AB345" i="12"/>
  <c r="AB166" i="12" s="1"/>
  <c r="AD166" i="12"/>
  <c r="AA201" i="2"/>
  <c r="AD144" i="2"/>
  <c r="AD169" i="2" s="1"/>
  <c r="AD255" i="2" s="1"/>
  <c r="AA192" i="2"/>
  <c r="AB193" i="2"/>
  <c r="AB194" i="2"/>
  <c r="AA195" i="2"/>
  <c r="AB197" i="2"/>
  <c r="AB195" i="2" s="1"/>
  <c r="AB201" i="12"/>
  <c r="AB192" i="12"/>
  <c r="AB205" i="12"/>
  <c r="AB217" i="12"/>
  <c r="AB336" i="12"/>
  <c r="AB348" i="12"/>
  <c r="AB380" i="12" s="1"/>
  <c r="AB131" i="12"/>
  <c r="AB204" i="12"/>
  <c r="AB262" i="12"/>
  <c r="AB268" i="12"/>
  <c r="AB170" i="12"/>
  <c r="AB184" i="12"/>
  <c r="AB202" i="12"/>
  <c r="AB265" i="12"/>
  <c r="AB271" i="12"/>
  <c r="AB333" i="12"/>
  <c r="AB339" i="12"/>
  <c r="AB427" i="12"/>
  <c r="AB91" i="12"/>
  <c r="AB144" i="12" s="1"/>
  <c r="AB370" i="12" s="1"/>
  <c r="AB259" i="6" s="1"/>
  <c r="AB149" i="12"/>
  <c r="AB155" i="12"/>
  <c r="AB176" i="12"/>
  <c r="AB148" i="12"/>
  <c r="AB226" i="12"/>
  <c r="AB423" i="12"/>
  <c r="AB87" i="12"/>
  <c r="AD426" i="12"/>
  <c r="AK432" i="12" s="1"/>
  <c r="AB98" i="12"/>
  <c r="AB422" i="12" s="1"/>
  <c r="AB150" i="12"/>
  <c r="AB322" i="12"/>
  <c r="AB324" i="12"/>
  <c r="AB424" i="12"/>
  <c r="AB88" i="12"/>
  <c r="AB141" i="12" s="1"/>
  <c r="AB116" i="12"/>
  <c r="AB365" i="12"/>
  <c r="AB151" i="12"/>
  <c r="AB203" i="12"/>
  <c r="AB248" i="12" s="1"/>
  <c r="AB288" i="12" s="1"/>
  <c r="AB253" i="12"/>
  <c r="AB323" i="12"/>
  <c r="AB397" i="12" s="1"/>
  <c r="AB425" i="12"/>
  <c r="AB89" i="12"/>
  <c r="AB142" i="12" s="1"/>
  <c r="AB152" i="12"/>
  <c r="AB208" i="12"/>
  <c r="AB200" i="12"/>
  <c r="AB274" i="12"/>
  <c r="AB327" i="12"/>
  <c r="AB330" i="12"/>
  <c r="AB267" i="6"/>
  <c r="AD425" i="12"/>
  <c r="AK431" i="12" s="1"/>
  <c r="AD427" i="12"/>
  <c r="AK433" i="12" s="1"/>
  <c r="AB315" i="12"/>
  <c r="AD423" i="12"/>
  <c r="AK429" i="12" s="1"/>
  <c r="AD424" i="12"/>
  <c r="AK430" i="12" s="1"/>
  <c r="AD212" i="2"/>
  <c r="AD161" i="2"/>
  <c r="AD152" i="2" s="1"/>
  <c r="AD87" i="2"/>
  <c r="AD146" i="2" s="1"/>
  <c r="AD171" i="2" s="1"/>
  <c r="AD71" i="2"/>
  <c r="AA230" i="2"/>
  <c r="AD120" i="2"/>
  <c r="AD117" i="2" s="1"/>
  <c r="AD131" i="12"/>
  <c r="AA212" i="2"/>
  <c r="AD92" i="2"/>
  <c r="AD89" i="2" s="1"/>
  <c r="AD204" i="2"/>
  <c r="AD111" i="2"/>
  <c r="AD95" i="2"/>
  <c r="AD101" i="2"/>
  <c r="AD190" i="2"/>
  <c r="AD189" i="2" s="1"/>
  <c r="AD223" i="2" s="1"/>
  <c r="AD229" i="2"/>
  <c r="AD86" i="2"/>
  <c r="AD143" i="2"/>
  <c r="AD122" i="2"/>
  <c r="AD153" i="2"/>
  <c r="AB215" i="6" l="1"/>
  <c r="AD248" i="2"/>
  <c r="AD218" i="2"/>
  <c r="AD217" i="2" s="1"/>
  <c r="AA7" i="2"/>
  <c r="AA226" i="2" s="1"/>
  <c r="AD6" i="2"/>
  <c r="AA6" i="2" s="1"/>
  <c r="AA26" i="2"/>
  <c r="AA227" i="2" s="1"/>
  <c r="AD25" i="2"/>
  <c r="AA25" i="2" s="1"/>
  <c r="AA31" i="12"/>
  <c r="AB342" i="12"/>
  <c r="AB378" i="12" s="1"/>
  <c r="AD163" i="12"/>
  <c r="AB163" i="12"/>
  <c r="AD174" i="2"/>
  <c r="AD251" i="2" s="1"/>
  <c r="AB192" i="2"/>
  <c r="AB261" i="12"/>
  <c r="AB321" i="12"/>
  <c r="AB377" i="12" s="1"/>
  <c r="AB426" i="12"/>
  <c r="AB90" i="12"/>
  <c r="AB143" i="12" s="1"/>
  <c r="AB94" i="12"/>
  <c r="AB214" i="6"/>
  <c r="AB199" i="12"/>
  <c r="AB368" i="12"/>
  <c r="AB247" i="12"/>
  <c r="AB287" i="12" s="1"/>
  <c r="AB296" i="12" s="1"/>
  <c r="AB140" i="12"/>
  <c r="AB147" i="12"/>
  <c r="AB250" i="12"/>
  <c r="AB290" i="12" s="1"/>
  <c r="AB301" i="6" s="1"/>
  <c r="AB299" i="6"/>
  <c r="AB277" i="6"/>
  <c r="AB367" i="12"/>
  <c r="AB246" i="12"/>
  <c r="AB286" i="12" s="1"/>
  <c r="AB295" i="12" s="1"/>
  <c r="AB213" i="6"/>
  <c r="AD176" i="2"/>
  <c r="AD225" i="2"/>
  <c r="AD231" i="2" s="1"/>
  <c r="AD228" i="2" s="1"/>
  <c r="AD237" i="2"/>
  <c r="AD145" i="2"/>
  <c r="AD83" i="2"/>
  <c r="AD245" i="2" s="1"/>
  <c r="AD168" i="2"/>
  <c r="AD254" i="2" s="1"/>
  <c r="AD173" i="2"/>
  <c r="AD250" i="2" s="1"/>
  <c r="AB298" i="12" l="1"/>
  <c r="AB279" i="6" s="1"/>
  <c r="AA225" i="2"/>
  <c r="AA231" i="2" s="1"/>
  <c r="AA228" i="2" s="1"/>
  <c r="AB396" i="12"/>
  <c r="AB256" i="6"/>
  <c r="AB406" i="12"/>
  <c r="AB369" i="12"/>
  <c r="AB258" i="6" s="1"/>
  <c r="AB249" i="12"/>
  <c r="AB289" i="12" s="1"/>
  <c r="AB297" i="12" s="1"/>
  <c r="AB86" i="12"/>
  <c r="AB419" i="12"/>
  <c r="AB298" i="6"/>
  <c r="AB418" i="12"/>
  <c r="AB297" i="6"/>
  <c r="AB245" i="12"/>
  <c r="AB139" i="12"/>
  <c r="AB363" i="12" s="1"/>
  <c r="AB362" i="12" s="1"/>
  <c r="AB404" i="12" s="1"/>
  <c r="AB366" i="12"/>
  <c r="AB407" i="12"/>
  <c r="AB409" i="12"/>
  <c r="AB257" i="6"/>
  <c r="AB408" i="12"/>
  <c r="AB413" i="12"/>
  <c r="AB276" i="6"/>
  <c r="AD175" i="2"/>
  <c r="AD252" i="2" s="1"/>
  <c r="AD170" i="2"/>
  <c r="AD256" i="2" s="1"/>
  <c r="AD142" i="2"/>
  <c r="AB412" i="12" l="1"/>
  <c r="AB275" i="6"/>
  <c r="AB421" i="12"/>
  <c r="AB300" i="6"/>
  <c r="AB244" i="12"/>
  <c r="AB376" i="12" s="1"/>
  <c r="AB375" i="12" s="1"/>
  <c r="AB395" i="12" s="1"/>
  <c r="AB394" i="12" s="1"/>
  <c r="AB393" i="12" s="1"/>
  <c r="AB391" i="12" s="1"/>
  <c r="AB285" i="12"/>
  <c r="AB294" i="12" s="1"/>
  <c r="AB405" i="12"/>
  <c r="AB255" i="6"/>
  <c r="AB254" i="6" s="1"/>
  <c r="AB266" i="6"/>
  <c r="AB265" i="6" s="1"/>
  <c r="AD172" i="2"/>
  <c r="AD249" i="2" s="1"/>
  <c r="AD222" i="2"/>
  <c r="AD221" i="2" s="1"/>
  <c r="AD236" i="2" s="1"/>
  <c r="AD235" i="2" s="1"/>
  <c r="AD234" i="2" s="1"/>
  <c r="AD232" i="2" s="1"/>
  <c r="AD167" i="2"/>
  <c r="AD253" i="2" s="1"/>
  <c r="AB284" i="12" l="1"/>
  <c r="AB417" i="12"/>
  <c r="AB296" i="6"/>
  <c r="AB295" i="6" s="1"/>
  <c r="AB415" i="12"/>
  <c r="AB278" i="6"/>
  <c r="AB416" i="12" l="1"/>
  <c r="AB274" i="6"/>
  <c r="AB273" i="6" s="1"/>
  <c r="AB410" i="12"/>
  <c r="AB411" i="12"/>
  <c r="AA48" i="12"/>
  <c r="AA47" i="12"/>
  <c r="AA46" i="12"/>
  <c r="AA45" i="12"/>
  <c r="AA44" i="12"/>
  <c r="AA43" i="12"/>
  <c r="AA41" i="12"/>
  <c r="AA19" i="12"/>
  <c r="AA17" i="12"/>
  <c r="AA16" i="12"/>
  <c r="AA14" i="12"/>
  <c r="AA13" i="12"/>
  <c r="AA12" i="12"/>
  <c r="AA360" i="12"/>
  <c r="AA359" i="12"/>
  <c r="AA358" i="12"/>
  <c r="AA357" i="12"/>
  <c r="AA356" i="12"/>
  <c r="AA82" i="12"/>
  <c r="AA81" i="12"/>
  <c r="AA80" i="12"/>
  <c r="AA79" i="12"/>
  <c r="AA78" i="12"/>
  <c r="AA77" i="12"/>
  <c r="AA74" i="12"/>
  <c r="AA73" i="12"/>
  <c r="AA70" i="12"/>
  <c r="AA69" i="12"/>
  <c r="AA66" i="12"/>
  <c r="AA65" i="12"/>
  <c r="AA64" i="12"/>
  <c r="AA63" i="12"/>
  <c r="AA62" i="12"/>
  <c r="AA60" i="12"/>
  <c r="AA59" i="12"/>
  <c r="AA54" i="12"/>
  <c r="AA50" i="12"/>
  <c r="AA49" i="12"/>
  <c r="AA40" i="12"/>
  <c r="AA29" i="12"/>
  <c r="AA28" i="12"/>
  <c r="AA27" i="12"/>
  <c r="AA26" i="12"/>
  <c r="AA20" i="12"/>
  <c r="AA11" i="12"/>
  <c r="AA9" i="12"/>
  <c r="AD348" i="12"/>
  <c r="AD380" i="12" s="1"/>
  <c r="AD339" i="12"/>
  <c r="AD327" i="12"/>
  <c r="AD323" i="12"/>
  <c r="AD397" i="12" s="1"/>
  <c r="AD324" i="12"/>
  <c r="AD274" i="12"/>
  <c r="AD271" i="12"/>
  <c r="AD268" i="12"/>
  <c r="AD265" i="12"/>
  <c r="AD262" i="12"/>
  <c r="AD253" i="12"/>
  <c r="AD205" i="12"/>
  <c r="AD217" i="12"/>
  <c r="AD204" i="12"/>
  <c r="AD203" i="12"/>
  <c r="AD248" i="12" s="1"/>
  <c r="AD288" i="12" s="1"/>
  <c r="AD202" i="12"/>
  <c r="AD150" i="12"/>
  <c r="AD176" i="12"/>
  <c r="AD170" i="12"/>
  <c r="AD151" i="12"/>
  <c r="AD116" i="12"/>
  <c r="AD90" i="12"/>
  <c r="AD143" i="12" s="1"/>
  <c r="AD89" i="12"/>
  <c r="AD85" i="12"/>
  <c r="AA389" i="12"/>
  <c r="AA85" i="12"/>
  <c r="AB110" i="6"/>
  <c r="AB109" i="6"/>
  <c r="AB106" i="6"/>
  <c r="AD83" i="6"/>
  <c r="AB93" i="6"/>
  <c r="AB199" i="6" s="1"/>
  <c r="AB176" i="6"/>
  <c r="AB208" i="6" s="1"/>
  <c r="AB175" i="6"/>
  <c r="AB207" i="6" s="1"/>
  <c r="AB174" i="6"/>
  <c r="AB173" i="6"/>
  <c r="AB172" i="6"/>
  <c r="AB170" i="6"/>
  <c r="AB238" i="6" s="1"/>
  <c r="AB169" i="6"/>
  <c r="AB117" i="6"/>
  <c r="AB116" i="6"/>
  <c r="AB111" i="6"/>
  <c r="AB107" i="6"/>
  <c r="AB105" i="6"/>
  <c r="AB104" i="6"/>
  <c r="AB103" i="6"/>
  <c r="AB101" i="6"/>
  <c r="AB100" i="6"/>
  <c r="AB99" i="6"/>
  <c r="AB98" i="6"/>
  <c r="AB95" i="6"/>
  <c r="AB94" i="6"/>
  <c r="AB92" i="6"/>
  <c r="AB90" i="6"/>
  <c r="AB88" i="6"/>
  <c r="AB87" i="6"/>
  <c r="AB198" i="6" s="1"/>
  <c r="AB85" i="6"/>
  <c r="AA71" i="6"/>
  <c r="AA61" i="6"/>
  <c r="AA57" i="6"/>
  <c r="AA56" i="6"/>
  <c r="AA55" i="6"/>
  <c r="AA54" i="6"/>
  <c r="AA53" i="6"/>
  <c r="AA51" i="6"/>
  <c r="AA48" i="6"/>
  <c r="AA41" i="6"/>
  <c r="AA40" i="6"/>
  <c r="AA39" i="6"/>
  <c r="AA38" i="6"/>
  <c r="AA37" i="6"/>
  <c r="AA36" i="6"/>
  <c r="AA34" i="6"/>
  <c r="AA33" i="6"/>
  <c r="AA78" i="6"/>
  <c r="AA75" i="6"/>
  <c r="AA73" i="6"/>
  <c r="AA70" i="6"/>
  <c r="AA65" i="6"/>
  <c r="AA59" i="6"/>
  <c r="AA58" i="6"/>
  <c r="AA43" i="6"/>
  <c r="AA42" i="6"/>
  <c r="AA27" i="6"/>
  <c r="AA26" i="6"/>
  <c r="AA25" i="6"/>
  <c r="AA22" i="6"/>
  <c r="AA19" i="6"/>
  <c r="AA16" i="6"/>
  <c r="AA15" i="6"/>
  <c r="AA14" i="6"/>
  <c r="AA13" i="6"/>
  <c r="AA12" i="6"/>
  <c r="AA11" i="6"/>
  <c r="AA9" i="6"/>
  <c r="AD7" i="6" l="1"/>
  <c r="AA8" i="6"/>
  <c r="AD49" i="6"/>
  <c r="AA49" i="6" s="1"/>
  <c r="AD23" i="6"/>
  <c r="AA23" i="6" s="1"/>
  <c r="AA24" i="6"/>
  <c r="AA68" i="6"/>
  <c r="AD67" i="6"/>
  <c r="AA67" i="6" s="1"/>
  <c r="AD31" i="6"/>
  <c r="AA32" i="6"/>
  <c r="AD7" i="12"/>
  <c r="AA8" i="12"/>
  <c r="AD38" i="12"/>
  <c r="AD386" i="12" s="1"/>
  <c r="AA39" i="12"/>
  <c r="AA72" i="12"/>
  <c r="AD71" i="12"/>
  <c r="AA71" i="12" s="1"/>
  <c r="AA372" i="12" s="1"/>
  <c r="AA22" i="12"/>
  <c r="AD24" i="12"/>
  <c r="AA24" i="12" s="1"/>
  <c r="AA388" i="12" s="1"/>
  <c r="AA25" i="12"/>
  <c r="AD55" i="12"/>
  <c r="AA55" i="12" s="1"/>
  <c r="AA56" i="12"/>
  <c r="AD374" i="12"/>
  <c r="AA374" i="12"/>
  <c r="AD373" i="12"/>
  <c r="AA75" i="12"/>
  <c r="AA373" i="12" s="1"/>
  <c r="AB168" i="6"/>
  <c r="AB237" i="6" s="1"/>
  <c r="AB97" i="6"/>
  <c r="AB84" i="6"/>
  <c r="AB96" i="6" s="1"/>
  <c r="AB115" i="6"/>
  <c r="AB171" i="6"/>
  <c r="AB114" i="6" s="1"/>
  <c r="AB108" i="6"/>
  <c r="AD303" i="12"/>
  <c r="AD422" i="12" s="1"/>
  <c r="AK428" i="12" s="1"/>
  <c r="AD94" i="12"/>
  <c r="AD155" i="12"/>
  <c r="AD152" i="12"/>
  <c r="AD184" i="12"/>
  <c r="AD201" i="12"/>
  <c r="AD226" i="12"/>
  <c r="AD315" i="12"/>
  <c r="AD330" i="12"/>
  <c r="AD336" i="12"/>
  <c r="AD109" i="12"/>
  <c r="AD364" i="12" s="1"/>
  <c r="AD149" i="12"/>
  <c r="AD208" i="12"/>
  <c r="AD342" i="12"/>
  <c r="AD378" i="12" s="1"/>
  <c r="AD389" i="12"/>
  <c r="AD142" i="12"/>
  <c r="AD368" i="12" s="1"/>
  <c r="AD407" i="12" s="1"/>
  <c r="AD365" i="12"/>
  <c r="AD192" i="12"/>
  <c r="AD333" i="12"/>
  <c r="AD355" i="12"/>
  <c r="AD249" i="12"/>
  <c r="AD289" i="12" s="1"/>
  <c r="AD369" i="12"/>
  <c r="AD408" i="12" s="1"/>
  <c r="AD261" i="12"/>
  <c r="AD87" i="12"/>
  <c r="AD91" i="12"/>
  <c r="AD144" i="12" s="1"/>
  <c r="AD148" i="12"/>
  <c r="AD200" i="12"/>
  <c r="AD88" i="12"/>
  <c r="AD141" i="12" s="1"/>
  <c r="AA355" i="12"/>
  <c r="AD322" i="12"/>
  <c r="AD297" i="12" l="1"/>
  <c r="AD414" i="12" s="1"/>
  <c r="AD30" i="6"/>
  <c r="AA30" i="6" s="1"/>
  <c r="AA31" i="6"/>
  <c r="AD6" i="6"/>
  <c r="AA6" i="6" s="1"/>
  <c r="AA7" i="6"/>
  <c r="AD21" i="12"/>
  <c r="AA21" i="12" s="1"/>
  <c r="AD388" i="12"/>
  <c r="AD37" i="12"/>
  <c r="AA37" i="12" s="1"/>
  <c r="AA38" i="12"/>
  <c r="AA386" i="12" s="1"/>
  <c r="AD372" i="12"/>
  <c r="AD371" i="12" s="1"/>
  <c r="AA7" i="12"/>
  <c r="AA385" i="12" s="1"/>
  <c r="AB206" i="6"/>
  <c r="AB197" i="6"/>
  <c r="AB196" i="6" s="1"/>
  <c r="AB112" i="6"/>
  <c r="AD420" i="12"/>
  <c r="AB270" i="6"/>
  <c r="AD247" i="12"/>
  <c r="AD287" i="12" s="1"/>
  <c r="AD296" i="12" s="1"/>
  <c r="AA371" i="12"/>
  <c r="AD321" i="12"/>
  <c r="AD377" i="12" s="1"/>
  <c r="AD199" i="12"/>
  <c r="AD147" i="12"/>
  <c r="AD246" i="12"/>
  <c r="AD286" i="12" s="1"/>
  <c r="AD295" i="12" s="1"/>
  <c r="AD367" i="12"/>
  <c r="AD406" i="12" s="1"/>
  <c r="AD370" i="12"/>
  <c r="AD409" i="12" s="1"/>
  <c r="AD250" i="12"/>
  <c r="AD290" i="12" s="1"/>
  <c r="AD298" i="12" s="1"/>
  <c r="AD385" i="12"/>
  <c r="AD384" i="12" s="1"/>
  <c r="AD390" i="12" s="1"/>
  <c r="AD140" i="12"/>
  <c r="AD245" i="12" s="1"/>
  <c r="AD285" i="12" s="1"/>
  <c r="AD294" i="12" s="1"/>
  <c r="AD86" i="12"/>
  <c r="AD387" i="12" l="1"/>
  <c r="AD6" i="12"/>
  <c r="AA6" i="12" s="1"/>
  <c r="AA384" i="12"/>
  <c r="AA390" i="12" s="1"/>
  <c r="AA387" i="12" s="1"/>
  <c r="AB205" i="6"/>
  <c r="AB204" i="6" s="1"/>
  <c r="AB119" i="6"/>
  <c r="AB121" i="6" s="1"/>
  <c r="AB247" i="6"/>
  <c r="AB253" i="6"/>
  <c r="AD418" i="12"/>
  <c r="AD413" i="12"/>
  <c r="AD419" i="12"/>
  <c r="AD421" i="12"/>
  <c r="AD396" i="12"/>
  <c r="AD412" i="12"/>
  <c r="AD415" i="12"/>
  <c r="AD366" i="12"/>
  <c r="AD405" i="12" s="1"/>
  <c r="AD139" i="12"/>
  <c r="AD363" i="12" s="1"/>
  <c r="AD362" i="12" s="1"/>
  <c r="AD404" i="12" s="1"/>
  <c r="AB218" i="6" l="1"/>
  <c r="AB217" i="6" s="1"/>
  <c r="AB249" i="6"/>
  <c r="AB294" i="6"/>
  <c r="AB272" i="6"/>
  <c r="AB236" i="6"/>
  <c r="AB235" i="6" s="1"/>
  <c r="AB234" i="6" s="1"/>
  <c r="AB122" i="6"/>
  <c r="AB248" i="6" s="1"/>
  <c r="AD417" i="12"/>
  <c r="AD411" i="12"/>
  <c r="AD244" i="12"/>
  <c r="AD376" i="12" s="1"/>
  <c r="AD375" i="12" s="1"/>
  <c r="AD395" i="12" s="1"/>
  <c r="AD394" i="12" s="1"/>
  <c r="AD393" i="12" s="1"/>
  <c r="AD391" i="12" s="1"/>
  <c r="AD284" i="12" l="1"/>
  <c r="AD416" i="12" l="1"/>
  <c r="AD410" i="12"/>
  <c r="AD313" i="6" l="1"/>
  <c r="AD311" i="6"/>
  <c r="AD310" i="6"/>
  <c r="AD309" i="6"/>
  <c r="AD307" i="6"/>
  <c r="AD306" i="6"/>
  <c r="AD305" i="6"/>
  <c r="AD304" i="6"/>
  <c r="AD301" i="6"/>
  <c r="AD300" i="6"/>
  <c r="AD299" i="6"/>
  <c r="AD298" i="6"/>
  <c r="AD297" i="6"/>
  <c r="AD296" i="6"/>
  <c r="AD291" i="6"/>
  <c r="AD289" i="6"/>
  <c r="AD288" i="6"/>
  <c r="AD287" i="6"/>
  <c r="AD285" i="6"/>
  <c r="AD284" i="6"/>
  <c r="AD283" i="6"/>
  <c r="AD282" i="6"/>
  <c r="AD279" i="6"/>
  <c r="AD278" i="6"/>
  <c r="AD277" i="6"/>
  <c r="AD276" i="6"/>
  <c r="AD275" i="6"/>
  <c r="AD274" i="6"/>
  <c r="AD270" i="6"/>
  <c r="AD268" i="6"/>
  <c r="AD267" i="6"/>
  <c r="AD266" i="6"/>
  <c r="AD264" i="6"/>
  <c r="AD263" i="6"/>
  <c r="AD262" i="6"/>
  <c r="AD261" i="6"/>
  <c r="AD259" i="6"/>
  <c r="AD258" i="6"/>
  <c r="AD257" i="6"/>
  <c r="AD256" i="6"/>
  <c r="AD255" i="6"/>
  <c r="AD216" i="6"/>
  <c r="AD215" i="6"/>
  <c r="AD214" i="6"/>
  <c r="AD213" i="6"/>
  <c r="AD202" i="6"/>
  <c r="AD194" i="6"/>
  <c r="AD193" i="6"/>
  <c r="AD192" i="6"/>
  <c r="AD191" i="6"/>
  <c r="AD190" i="6"/>
  <c r="AD188" i="6"/>
  <c r="AD187" i="6"/>
  <c r="AD186" i="6"/>
  <c r="AD185" i="6"/>
  <c r="AD183" i="6"/>
  <c r="AD182" i="6"/>
  <c r="AD181" i="6"/>
  <c r="AD180" i="6"/>
  <c r="AD179" i="6"/>
  <c r="AD208" i="6"/>
  <c r="AD207" i="6"/>
  <c r="AD171" i="6"/>
  <c r="AD114" i="6" s="1"/>
  <c r="AD238" i="6"/>
  <c r="AD115" i="6"/>
  <c r="AD108" i="6"/>
  <c r="AD84" i="6"/>
  <c r="AD96" i="6" s="1"/>
  <c r="AD203" i="6"/>
  <c r="AD201" i="6"/>
  <c r="AD230" i="6"/>
  <c r="AD229" i="6"/>
  <c r="AA203" i="6"/>
  <c r="AA194" i="6"/>
  <c r="AA193" i="6"/>
  <c r="AA192" i="6"/>
  <c r="AA191" i="6"/>
  <c r="AA190" i="6"/>
  <c r="AA188" i="6"/>
  <c r="AA186" i="6"/>
  <c r="AA185" i="6"/>
  <c r="AA182" i="6"/>
  <c r="AA181" i="6"/>
  <c r="AA180" i="6"/>
  <c r="AA179" i="6"/>
  <c r="AA161" i="6"/>
  <c r="AA157" i="6"/>
  <c r="AA152" i="6"/>
  <c r="AA150" i="6"/>
  <c r="AA148" i="6"/>
  <c r="AA147" i="6"/>
  <c r="AA145" i="6"/>
  <c r="AA144" i="6"/>
  <c r="AA141" i="6"/>
  <c r="AA140" i="6"/>
  <c r="AA139" i="6"/>
  <c r="AA133" i="6"/>
  <c r="AA132" i="6"/>
  <c r="AA130" i="6"/>
  <c r="AA129" i="6"/>
  <c r="AA128" i="6"/>
  <c r="AA83" i="6"/>
  <c r="AA202" i="6"/>
  <c r="AA230" i="6"/>
  <c r="AA151" i="6" l="1"/>
  <c r="AA184" i="6"/>
  <c r="AD189" i="6"/>
  <c r="AD184" i="6"/>
  <c r="AD265" i="6"/>
  <c r="AA189" i="6"/>
  <c r="AD286" i="6"/>
  <c r="AD308" i="6"/>
  <c r="AA131" i="6"/>
  <c r="AD260" i="6"/>
  <c r="AD303" i="6"/>
  <c r="AD281" i="6"/>
  <c r="AD295" i="6"/>
  <c r="AA127" i="6"/>
  <c r="AA178" i="6"/>
  <c r="AD178" i="6"/>
  <c r="AD273" i="6"/>
  <c r="AD254" i="6"/>
  <c r="AA226" i="6"/>
  <c r="AD226" i="6"/>
  <c r="AA227" i="6"/>
  <c r="AD227" i="6"/>
  <c r="AD200" i="6"/>
  <c r="AD197" i="6"/>
  <c r="AD97" i="6"/>
  <c r="AD112" i="6" s="1"/>
  <c r="AD198" i="6"/>
  <c r="AA229" i="6"/>
  <c r="AD199" i="6"/>
  <c r="AD168" i="6"/>
  <c r="AC191" i="2"/>
  <c r="AC238" i="2" s="1"/>
  <c r="AC184" i="2"/>
  <c r="AD177" i="6" l="1"/>
  <c r="AC204" i="2"/>
  <c r="AD225" i="6"/>
  <c r="AD231" i="6" s="1"/>
  <c r="AD228" i="6" s="1"/>
  <c r="AA225" i="6"/>
  <c r="AA231" i="6" s="1"/>
  <c r="AA228" i="6" s="1"/>
  <c r="AD205" i="6"/>
  <c r="AD119" i="6"/>
  <c r="AD121" i="6" s="1"/>
  <c r="AA201" i="6"/>
  <c r="AA200" i="6" s="1"/>
  <c r="AD237" i="6"/>
  <c r="AD206" i="6"/>
  <c r="AD196" i="6"/>
  <c r="AC116" i="12"/>
  <c r="AC91" i="12"/>
  <c r="AC90" i="12"/>
  <c r="AC89" i="12"/>
  <c r="AC109" i="12"/>
  <c r="AC87" i="12"/>
  <c r="AC94" i="12"/>
  <c r="AC88" i="12"/>
  <c r="AD204" i="6" l="1"/>
  <c r="AD236" i="6" s="1"/>
  <c r="AD235" i="6" s="1"/>
  <c r="AD234" i="6" s="1"/>
  <c r="AD247" i="6"/>
  <c r="AD253" i="6"/>
  <c r="AD249" i="6"/>
  <c r="AD294" i="6"/>
  <c r="AD315" i="6" s="1"/>
  <c r="AD218" i="6"/>
  <c r="AD217" i="6" s="1"/>
  <c r="AC86" i="12"/>
  <c r="AD272" i="6" l="1"/>
  <c r="AD122" i="6"/>
  <c r="AD248" i="6" s="1"/>
  <c r="AC212" i="2" l="1"/>
  <c r="Z215" i="2" l="1"/>
  <c r="Z212" i="2" s="1"/>
  <c r="Z211" i="2"/>
  <c r="Z209" i="2"/>
  <c r="Z208" i="2"/>
  <c r="Z201" i="2"/>
  <c r="Z200" i="2"/>
  <c r="Z191" i="2" s="1"/>
  <c r="Z238" i="2" s="1"/>
  <c r="Z195" i="2"/>
  <c r="Z192" i="2"/>
  <c r="AA208" i="2" l="1"/>
  <c r="AB208" i="2" s="1"/>
  <c r="AA209" i="2"/>
  <c r="AB209" i="2" s="1"/>
  <c r="AA200" i="2"/>
  <c r="AA191" i="2" s="1"/>
  <c r="AA238" i="2" s="1"/>
  <c r="AA211" i="2"/>
  <c r="AB211" i="2" s="1"/>
  <c r="AA268" i="6"/>
  <c r="AA213" i="6"/>
  <c r="Z188" i="2"/>
  <c r="Z187" i="2"/>
  <c r="AA187" i="2" s="1"/>
  <c r="Z186" i="2"/>
  <c r="AA186" i="2" s="1"/>
  <c r="Z185" i="2"/>
  <c r="Z166" i="2"/>
  <c r="Z165" i="2"/>
  <c r="Z163" i="2"/>
  <c r="Z160" i="2"/>
  <c r="Z159" i="2"/>
  <c r="Z157" i="2"/>
  <c r="Z156" i="2"/>
  <c r="Z151" i="2"/>
  <c r="Z149" i="2"/>
  <c r="Z148" i="2"/>
  <c r="Z136" i="2"/>
  <c r="Z134" i="2"/>
  <c r="Z133" i="2"/>
  <c r="Z131" i="2"/>
  <c r="Z129" i="2"/>
  <c r="Z128" i="2"/>
  <c r="Z126" i="2"/>
  <c r="Z124" i="2"/>
  <c r="Z123" i="2"/>
  <c r="Z115" i="2"/>
  <c r="Z113" i="2"/>
  <c r="Z112" i="2"/>
  <c r="Z110" i="2"/>
  <c r="Z108" i="2"/>
  <c r="Z107" i="2"/>
  <c r="Z105" i="2"/>
  <c r="Z103" i="2"/>
  <c r="Z102" i="2"/>
  <c r="Z99" i="2"/>
  <c r="Z97" i="2"/>
  <c r="Z96" i="2"/>
  <c r="Z94" i="2"/>
  <c r="Z81" i="2"/>
  <c r="Z79" i="2"/>
  <c r="Z78" i="2"/>
  <c r="Z76" i="2"/>
  <c r="Z75" i="2"/>
  <c r="Z73" i="2"/>
  <c r="Z72" i="2"/>
  <c r="AC207" i="2"/>
  <c r="AC224" i="2" s="1"/>
  <c r="AC190" i="2"/>
  <c r="AC189" i="2" s="1"/>
  <c r="AC237" i="2" s="1"/>
  <c r="AC161" i="2"/>
  <c r="AC147" i="2"/>
  <c r="AC93" i="2"/>
  <c r="AC91" i="2"/>
  <c r="AC90" i="2"/>
  <c r="AC84" i="2"/>
  <c r="AC246" i="2" s="1"/>
  <c r="AC127" i="2"/>
  <c r="AC101" i="2"/>
  <c r="AC87" i="2"/>
  <c r="AC85" i="2"/>
  <c r="AC70" i="2"/>
  <c r="Z70" i="2"/>
  <c r="Y70" i="2"/>
  <c r="Z220" i="2"/>
  <c r="Z219" i="2"/>
  <c r="Z65" i="2"/>
  <c r="Z64" i="2"/>
  <c r="Z39" i="2"/>
  <c r="Z36" i="2"/>
  <c r="Z33" i="2"/>
  <c r="Z32" i="2"/>
  <c r="Z31" i="2"/>
  <c r="AC20" i="2"/>
  <c r="Z19" i="2"/>
  <c r="Z14" i="2"/>
  <c r="Z13" i="2"/>
  <c r="Z12" i="2"/>
  <c r="Z10" i="2"/>
  <c r="Z9" i="2"/>
  <c r="AC219" i="2"/>
  <c r="AC192" i="2"/>
  <c r="AC155" i="2"/>
  <c r="AC119" i="2"/>
  <c r="AC118" i="2"/>
  <c r="AC220" i="2"/>
  <c r="Z221" i="12"/>
  <c r="AA221" i="12" s="1"/>
  <c r="Z344" i="12"/>
  <c r="Z343" i="12"/>
  <c r="Z353" i="12"/>
  <c r="AA353" i="12" s="1"/>
  <c r="Z351" i="12"/>
  <c r="AA351" i="12" s="1"/>
  <c r="Z350" i="12"/>
  <c r="AA350" i="12" s="1"/>
  <c r="Z349" i="12"/>
  <c r="AA349" i="12" s="1"/>
  <c r="Z359" i="12"/>
  <c r="Z357" i="12"/>
  <c r="Z356" i="12"/>
  <c r="Z360" i="12"/>
  <c r="Z358" i="12"/>
  <c r="AC427" i="12"/>
  <c r="AC426" i="12"/>
  <c r="AC425" i="12"/>
  <c r="AC424" i="12"/>
  <c r="AC423" i="12"/>
  <c r="AC247" i="2" l="1"/>
  <c r="Z57" i="2"/>
  <c r="AC56" i="2"/>
  <c r="Z56" i="2" s="1"/>
  <c r="Z218" i="2" s="1"/>
  <c r="Z217" i="2" s="1"/>
  <c r="AC7" i="2"/>
  <c r="AC226" i="2" s="1"/>
  <c r="Z8" i="2"/>
  <c r="Z55" i="2"/>
  <c r="AC40" i="2"/>
  <c r="Z40" i="2" s="1"/>
  <c r="Z21" i="2"/>
  <c r="Z20" i="2"/>
  <c r="Z27" i="2"/>
  <c r="AC26" i="2"/>
  <c r="AA344" i="12"/>
  <c r="AA165" i="12" s="1"/>
  <c r="Z165" i="12"/>
  <c r="AA343" i="12"/>
  <c r="AA164" i="12" s="1"/>
  <c r="Z164" i="12"/>
  <c r="Z230" i="2"/>
  <c r="AA73" i="2"/>
  <c r="AB73" i="2" s="1"/>
  <c r="AA79" i="2"/>
  <c r="AA96" i="2"/>
  <c r="AB96" i="2" s="1"/>
  <c r="AA103" i="2"/>
  <c r="AB103" i="2" s="1"/>
  <c r="AA110" i="2"/>
  <c r="AB110" i="2" s="1"/>
  <c r="AA128" i="2"/>
  <c r="AB128" i="2" s="1"/>
  <c r="AA134" i="2"/>
  <c r="AB134" i="2" s="1"/>
  <c r="AA151" i="2"/>
  <c r="AB151" i="2" s="1"/>
  <c r="AA160" i="2"/>
  <c r="AB160" i="2" s="1"/>
  <c r="AA75" i="2"/>
  <c r="AB75" i="2" s="1"/>
  <c r="AA81" i="2"/>
  <c r="AB81" i="2" s="1"/>
  <c r="AA97" i="2"/>
  <c r="AB97" i="2" s="1"/>
  <c r="AA105" i="2"/>
  <c r="AA112" i="2"/>
  <c r="AB112" i="2" s="1"/>
  <c r="AA123" i="2"/>
  <c r="AA129" i="2"/>
  <c r="AB129" i="2" s="1"/>
  <c r="AA136" i="2"/>
  <c r="AB136" i="2" s="1"/>
  <c r="AA156" i="2"/>
  <c r="AB156" i="2" s="1"/>
  <c r="AA163" i="2"/>
  <c r="AB163" i="2" s="1"/>
  <c r="AA76" i="2"/>
  <c r="AA88" i="2" s="1"/>
  <c r="AA99" i="2"/>
  <c r="AB99" i="2" s="1"/>
  <c r="AA107" i="2"/>
  <c r="AB107" i="2" s="1"/>
  <c r="AA113" i="2"/>
  <c r="AB113" i="2" s="1"/>
  <c r="AA124" i="2"/>
  <c r="AA131" i="2"/>
  <c r="AB131" i="2" s="1"/>
  <c r="AA148" i="2"/>
  <c r="AB148" i="2" s="1"/>
  <c r="AA157" i="2"/>
  <c r="AB157" i="2" s="1"/>
  <c r="AA165" i="2"/>
  <c r="AA72" i="2"/>
  <c r="AB72" i="2" s="1"/>
  <c r="AA78" i="2"/>
  <c r="AB78" i="2" s="1"/>
  <c r="AA102" i="2"/>
  <c r="AB102" i="2" s="1"/>
  <c r="AA108" i="2"/>
  <c r="AB108" i="2" s="1"/>
  <c r="AA115" i="2"/>
  <c r="AB115" i="2" s="1"/>
  <c r="AA126" i="2"/>
  <c r="AA133" i="2"/>
  <c r="AB133" i="2" s="1"/>
  <c r="AA149" i="2"/>
  <c r="AB149" i="2" s="1"/>
  <c r="AA159" i="2"/>
  <c r="AA166" i="2"/>
  <c r="AB166" i="2" s="1"/>
  <c r="AB200" i="2"/>
  <c r="AB191" i="2" s="1"/>
  <c r="AB238" i="2" s="1"/>
  <c r="AA185" i="2"/>
  <c r="AA184" i="2" s="1"/>
  <c r="Z184" i="2"/>
  <c r="AA289" i="6"/>
  <c r="AA311" i="6"/>
  <c r="AB134" i="6"/>
  <c r="AC229" i="2"/>
  <c r="AC92" i="2"/>
  <c r="AC89" i="2" s="1"/>
  <c r="AA134" i="6"/>
  <c r="AC303" i="12"/>
  <c r="AC422" i="12" s="1"/>
  <c r="AC198" i="2"/>
  <c r="AC86" i="2"/>
  <c r="Z229" i="2"/>
  <c r="AC120" i="2"/>
  <c r="AC121" i="2"/>
  <c r="AC122" i="2"/>
  <c r="AC77" i="2"/>
  <c r="AC106" i="2"/>
  <c r="AC201" i="2"/>
  <c r="AC71" i="2"/>
  <c r="AC95" i="2"/>
  <c r="AC154" i="2"/>
  <c r="AC158" i="2"/>
  <c r="AC195" i="2"/>
  <c r="AC164" i="2"/>
  <c r="AC230" i="2"/>
  <c r="AC111" i="2"/>
  <c r="AC132" i="2"/>
  <c r="AC248" i="2" l="1"/>
  <c r="AC218" i="2"/>
  <c r="AC217" i="2" s="1"/>
  <c r="Z7" i="2"/>
  <c r="Z226" i="2" s="1"/>
  <c r="AC6" i="2"/>
  <c r="Z6" i="2" s="1"/>
  <c r="Z26" i="2"/>
  <c r="Z227" i="2" s="1"/>
  <c r="AC25" i="2"/>
  <c r="Z25" i="2" s="1"/>
  <c r="AA158" i="2"/>
  <c r="AB87" i="2"/>
  <c r="AB264" i="6" s="1"/>
  <c r="AA119" i="2"/>
  <c r="AA85" i="2"/>
  <c r="AA121" i="2"/>
  <c r="AB159" i="2"/>
  <c r="AB158" i="2" s="1"/>
  <c r="AA164" i="2"/>
  <c r="AB154" i="2"/>
  <c r="AA118" i="2"/>
  <c r="AA93" i="2"/>
  <c r="AB90" i="2"/>
  <c r="AB126" i="2"/>
  <c r="AB165" i="2"/>
  <c r="AB164" i="2" s="1"/>
  <c r="AB124" i="2"/>
  <c r="AB76" i="2"/>
  <c r="AB88" i="2" s="1"/>
  <c r="AB123" i="2"/>
  <c r="AB105" i="2"/>
  <c r="AB93" i="2" s="1"/>
  <c r="AA84" i="2"/>
  <c r="AA154" i="2"/>
  <c r="AA155" i="2"/>
  <c r="AA91" i="2"/>
  <c r="AB79" i="2"/>
  <c r="AB85" i="2" s="1"/>
  <c r="AB84" i="2"/>
  <c r="AB155" i="2"/>
  <c r="AB91" i="2"/>
  <c r="AA87" i="2"/>
  <c r="AA90" i="2"/>
  <c r="AC145" i="2"/>
  <c r="AC170" i="2" s="1"/>
  <c r="AC256" i="2" s="1"/>
  <c r="AC83" i="2"/>
  <c r="AC245" i="2" s="1"/>
  <c r="AC223" i="2"/>
  <c r="AC153" i="2"/>
  <c r="AC152" i="2"/>
  <c r="AC117" i="2"/>
  <c r="AC146" i="2"/>
  <c r="AC171" i="2" s="1"/>
  <c r="AC227" i="2"/>
  <c r="AC143" i="2"/>
  <c r="AB261" i="6" l="1"/>
  <c r="AB246" i="2"/>
  <c r="AA262" i="6"/>
  <c r="AA247" i="2"/>
  <c r="AB262" i="6"/>
  <c r="AB247" i="2"/>
  <c r="AA246" i="2"/>
  <c r="Z225" i="2"/>
  <c r="Z231" i="2" s="1"/>
  <c r="Z228" i="2" s="1"/>
  <c r="AA144" i="2"/>
  <c r="AA169" i="2" s="1"/>
  <c r="AA146" i="2"/>
  <c r="AA264" i="6"/>
  <c r="AA143" i="2"/>
  <c r="AA261" i="6"/>
  <c r="AC225" i="2"/>
  <c r="AC231" i="2" s="1"/>
  <c r="AC228" i="2" s="1"/>
  <c r="AC175" i="2"/>
  <c r="AC252" i="2" s="1"/>
  <c r="AC176" i="2"/>
  <c r="AC173" i="2"/>
  <c r="AC250" i="2" s="1"/>
  <c r="AC168" i="2"/>
  <c r="AC254" i="2" s="1"/>
  <c r="AC144" i="2"/>
  <c r="AC142" i="2" s="1"/>
  <c r="AC222" i="2" s="1"/>
  <c r="AC221" i="2" s="1"/>
  <c r="AC236" i="2" s="1"/>
  <c r="AC235" i="2" s="1"/>
  <c r="AC234" i="2" s="1"/>
  <c r="AC232" i="2" s="1"/>
  <c r="AA305" i="6" l="1"/>
  <c r="AA255" i="2"/>
  <c r="AA174" i="2"/>
  <c r="AA171" i="2"/>
  <c r="AA307" i="6" s="1"/>
  <c r="AA176" i="2"/>
  <c r="AA285" i="6" s="1"/>
  <c r="AA168" i="2"/>
  <c r="AA173" i="2"/>
  <c r="AC169" i="2"/>
  <c r="AC255" i="2" s="1"/>
  <c r="AC174" i="2"/>
  <c r="AC251" i="2" s="1"/>
  <c r="AA282" i="6" l="1"/>
  <c r="AA250" i="2"/>
  <c r="AA304" i="6"/>
  <c r="AA254" i="2"/>
  <c r="AA283" i="6"/>
  <c r="AA251" i="2"/>
  <c r="AC172" i="2"/>
  <c r="AC249" i="2" s="1"/>
  <c r="AC167" i="2"/>
  <c r="AC253" i="2" s="1"/>
  <c r="AC168" i="12" l="1"/>
  <c r="AC167" i="12"/>
  <c r="AC166" i="12"/>
  <c r="AC203" i="12"/>
  <c r="AC144" i="12"/>
  <c r="AC143" i="12"/>
  <c r="AC142" i="12"/>
  <c r="AC141" i="12"/>
  <c r="Z82" i="12"/>
  <c r="Z81" i="12"/>
  <c r="Z80" i="12"/>
  <c r="Z79" i="12"/>
  <c r="Z78" i="12"/>
  <c r="Z77" i="12"/>
  <c r="Z75" i="12"/>
  <c r="Z74" i="12"/>
  <c r="Z73" i="12"/>
  <c r="Z70" i="12"/>
  <c r="Z69" i="12"/>
  <c r="Z66" i="12"/>
  <c r="Z65" i="12"/>
  <c r="Z64" i="12"/>
  <c r="Z63" i="12"/>
  <c r="Z62" i="12"/>
  <c r="Z60" i="12"/>
  <c r="Z59" i="12"/>
  <c r="Z54" i="12"/>
  <c r="Z50" i="12"/>
  <c r="Z49" i="12"/>
  <c r="Z48" i="12"/>
  <c r="Z47" i="12"/>
  <c r="Z46" i="12"/>
  <c r="Z45" i="12"/>
  <c r="Z44" i="12"/>
  <c r="Z43" i="12"/>
  <c r="Z41" i="12"/>
  <c r="Z40" i="12"/>
  <c r="Z34" i="12"/>
  <c r="Z29" i="12"/>
  <c r="Z28" i="12"/>
  <c r="Z27" i="12"/>
  <c r="Z26" i="12"/>
  <c r="AC85" i="12"/>
  <c r="Z85" i="12"/>
  <c r="Y85" i="12"/>
  <c r="Z20" i="12"/>
  <c r="Z19" i="12"/>
  <c r="Z17" i="12"/>
  <c r="Z16" i="12"/>
  <c r="Z14" i="12"/>
  <c r="Z13" i="12"/>
  <c r="Z12" i="12"/>
  <c r="Z11" i="12"/>
  <c r="Z9" i="12"/>
  <c r="Z33" i="12" l="1"/>
  <c r="AC31" i="12"/>
  <c r="Z31" i="12" s="1"/>
  <c r="Z22" i="12"/>
  <c r="Z32" i="12"/>
  <c r="AC71" i="12"/>
  <c r="Z72" i="12"/>
  <c r="AC24" i="12"/>
  <c r="Z24" i="12" s="1"/>
  <c r="Z25" i="12"/>
  <c r="AC7" i="12"/>
  <c r="Z7" i="12" s="1"/>
  <c r="Z8" i="12"/>
  <c r="AC38" i="12"/>
  <c r="Z38" i="12" s="1"/>
  <c r="Z39" i="12"/>
  <c r="AC55" i="12"/>
  <c r="Z55" i="12" s="1"/>
  <c r="Z56" i="12"/>
  <c r="Z374" i="12"/>
  <c r="AC163" i="12"/>
  <c r="AC202" i="12"/>
  <c r="AC150" i="12"/>
  <c r="AC201" i="12"/>
  <c r="AC151" i="12"/>
  <c r="AC148" i="12"/>
  <c r="AC152" i="12"/>
  <c r="AC204" i="12"/>
  <c r="AC131" i="12"/>
  <c r="AC140" i="12"/>
  <c r="AC139" i="12" s="1"/>
  <c r="AC149" i="12"/>
  <c r="AC200" i="12"/>
  <c r="AC205" i="12"/>
  <c r="AC37" i="12" l="1"/>
  <c r="Z37" i="12" s="1"/>
  <c r="Z71" i="12"/>
  <c r="AC21" i="12"/>
  <c r="AC147" i="12"/>
  <c r="Z182" i="6"/>
  <c r="Z180" i="6"/>
  <c r="AC355" i="12"/>
  <c r="Z355" i="12"/>
  <c r="AC348" i="12"/>
  <c r="AC380" i="12" s="1"/>
  <c r="AC342" i="12"/>
  <c r="AC378" i="12" s="1"/>
  <c r="AC339" i="12"/>
  <c r="AC336" i="12"/>
  <c r="AC333" i="12"/>
  <c r="AC330" i="12"/>
  <c r="AC327" i="12"/>
  <c r="AC324" i="12"/>
  <c r="AC323" i="12"/>
  <c r="AC397" i="12" s="1"/>
  <c r="AC322" i="12"/>
  <c r="AC315" i="12"/>
  <c r="AC274" i="12"/>
  <c r="AC271" i="12"/>
  <c r="AC268" i="12"/>
  <c r="AC265" i="12"/>
  <c r="AC262" i="12"/>
  <c r="AC253" i="12"/>
  <c r="AC226" i="12"/>
  <c r="AC217" i="12"/>
  <c r="AC208" i="12"/>
  <c r="AC248" i="12"/>
  <c r="AC288" i="12" s="1"/>
  <c r="AC192" i="12"/>
  <c r="AC184" i="12"/>
  <c r="AC176" i="12"/>
  <c r="AC170" i="12"/>
  <c r="AC155" i="12"/>
  <c r="AC365" i="12"/>
  <c r="AC364" i="12"/>
  <c r="AC374" i="12"/>
  <c r="AC373" i="12"/>
  <c r="Z373" i="12"/>
  <c r="AC372" i="12"/>
  <c r="AC389" i="12"/>
  <c r="AC388" i="12"/>
  <c r="Z289" i="6"/>
  <c r="Z270" i="6"/>
  <c r="Z268" i="6"/>
  <c r="Z213" i="6"/>
  <c r="Z194" i="6"/>
  <c r="Z193" i="6"/>
  <c r="Z192" i="6"/>
  <c r="Z191" i="6"/>
  <c r="Z190" i="6"/>
  <c r="Z188" i="6"/>
  <c r="Z187" i="6"/>
  <c r="Z186" i="6"/>
  <c r="Z185" i="6"/>
  <c r="Z183" i="6"/>
  <c r="Z181" i="6"/>
  <c r="Z179" i="6"/>
  <c r="Z118" i="6"/>
  <c r="AA118" i="6" s="1"/>
  <c r="Z113" i="6"/>
  <c r="AA113" i="6" s="1"/>
  <c r="Z102" i="6"/>
  <c r="AA102" i="6" s="1"/>
  <c r="Z91" i="6"/>
  <c r="AA91" i="6" s="1"/>
  <c r="Z89" i="6"/>
  <c r="AA89" i="6" s="1"/>
  <c r="AC6" i="12" l="1"/>
  <c r="Z6" i="12" s="1"/>
  <c r="Z21" i="12"/>
  <c r="AC261" i="12"/>
  <c r="Z189" i="6"/>
  <c r="Z184" i="6"/>
  <c r="AC321" i="12"/>
  <c r="AC396" i="12" s="1"/>
  <c r="Z372" i="12"/>
  <c r="Z371" i="12" s="1"/>
  <c r="Z389" i="12"/>
  <c r="Z386" i="12"/>
  <c r="Z385" i="12"/>
  <c r="AC199" i="12"/>
  <c r="AC366" i="12"/>
  <c r="AC405" i="12" s="1"/>
  <c r="AC245" i="12"/>
  <c r="AC285" i="12" s="1"/>
  <c r="AC294" i="12" s="1"/>
  <c r="AC367" i="12"/>
  <c r="AC406" i="12" s="1"/>
  <c r="AC246" i="12"/>
  <c r="AC368" i="12"/>
  <c r="AC407" i="12" s="1"/>
  <c r="AC247" i="12"/>
  <c r="AC369" i="12"/>
  <c r="AC408" i="12" s="1"/>
  <c r="AC249" i="12"/>
  <c r="AC370" i="12"/>
  <c r="AC409" i="12" s="1"/>
  <c r="AC250" i="12"/>
  <c r="AC385" i="12"/>
  <c r="AC386" i="12"/>
  <c r="AC371" i="12"/>
  <c r="Z178" i="6"/>
  <c r="AC417" i="12" l="1"/>
  <c r="AC363" i="12"/>
  <c r="AC362" i="12" s="1"/>
  <c r="AC404" i="12" s="1"/>
  <c r="AC290" i="12"/>
  <c r="AC298" i="12" s="1"/>
  <c r="AC287" i="12"/>
  <c r="AC289" i="12"/>
  <c r="AC297" i="12" s="1"/>
  <c r="AC286" i="12"/>
  <c r="AC295" i="12" s="1"/>
  <c r="Z388" i="12"/>
  <c r="AC377" i="12"/>
  <c r="Z384" i="12"/>
  <c r="Z390" i="12" s="1"/>
  <c r="AC244" i="12"/>
  <c r="AC376" i="12" s="1"/>
  <c r="AC384" i="12"/>
  <c r="AC390" i="12" s="1"/>
  <c r="AC387" i="12" s="1"/>
  <c r="AC419" i="12" l="1"/>
  <c r="AC296" i="12"/>
  <c r="AC413" i="12" s="1"/>
  <c r="Z387" i="12"/>
  <c r="AC415" i="12"/>
  <c r="AC421" i="12"/>
  <c r="AC414" i="12"/>
  <c r="AC420" i="12"/>
  <c r="AC412" i="12"/>
  <c r="AC418" i="12"/>
  <c r="AC284" i="12"/>
  <c r="AC375" i="12"/>
  <c r="AC395" i="12" s="1"/>
  <c r="AC394" i="12" s="1"/>
  <c r="AC393" i="12" s="1"/>
  <c r="AC391" i="12" s="1"/>
  <c r="Z78" i="6"/>
  <c r="Z75" i="6"/>
  <c r="Z70" i="6"/>
  <c r="Z65" i="6"/>
  <c r="Z59" i="6"/>
  <c r="Z58" i="6"/>
  <c r="Z57" i="6"/>
  <c r="Z56" i="6"/>
  <c r="Z55" i="6"/>
  <c r="Z54" i="6"/>
  <c r="Z53" i="6"/>
  <c r="Z61" i="6"/>
  <c r="Z51" i="6"/>
  <c r="Z43" i="6"/>
  <c r="Z42" i="6"/>
  <c r="Z48" i="6"/>
  <c r="Z41" i="6"/>
  <c r="Z40" i="6"/>
  <c r="Z39" i="6"/>
  <c r="Z38" i="6"/>
  <c r="Z37" i="6"/>
  <c r="Z36" i="6"/>
  <c r="Z34" i="6"/>
  <c r="Z33" i="6"/>
  <c r="AC208" i="6"/>
  <c r="AC207" i="6"/>
  <c r="AC238" i="6"/>
  <c r="Z25" i="6"/>
  <c r="Z22" i="6"/>
  <c r="Z19" i="6"/>
  <c r="Z16" i="6"/>
  <c r="Z15" i="6"/>
  <c r="Z14" i="6"/>
  <c r="Z13" i="6"/>
  <c r="Z12" i="6"/>
  <c r="Z11" i="6"/>
  <c r="Z9" i="6"/>
  <c r="AC311" i="6"/>
  <c r="AC310" i="6"/>
  <c r="AC309" i="6"/>
  <c r="AC307" i="6"/>
  <c r="AC306" i="6"/>
  <c r="AC305" i="6"/>
  <c r="AC304" i="6"/>
  <c r="AC301" i="6"/>
  <c r="AC300" i="6"/>
  <c r="AC299" i="6"/>
  <c r="AC298" i="6"/>
  <c r="AC297" i="6"/>
  <c r="AC296" i="6"/>
  <c r="AC289" i="6"/>
  <c r="AC288" i="6"/>
  <c r="AC287" i="6"/>
  <c r="AC285" i="6"/>
  <c r="AC284" i="6"/>
  <c r="AC283" i="6"/>
  <c r="AC282" i="6"/>
  <c r="AC277" i="6"/>
  <c r="AC268" i="6"/>
  <c r="AC267" i="6"/>
  <c r="AC266" i="6"/>
  <c r="AC264" i="6"/>
  <c r="AC263" i="6"/>
  <c r="AC262" i="6"/>
  <c r="AC261" i="6"/>
  <c r="AC259" i="6"/>
  <c r="AC258" i="6"/>
  <c r="AC257" i="6"/>
  <c r="AC256" i="6"/>
  <c r="AC255" i="6"/>
  <c r="AC216" i="6"/>
  <c r="AC215" i="6"/>
  <c r="AC214" i="6"/>
  <c r="AC213" i="6"/>
  <c r="AC194" i="6"/>
  <c r="AC193" i="6"/>
  <c r="AC192" i="6"/>
  <c r="AC191" i="6"/>
  <c r="AC190" i="6"/>
  <c r="AC188" i="6"/>
  <c r="AC187" i="6"/>
  <c r="AC186" i="6"/>
  <c r="AC185" i="6"/>
  <c r="AC183" i="6"/>
  <c r="AC182" i="6"/>
  <c r="AC181" i="6"/>
  <c r="AC180" i="6"/>
  <c r="AC179" i="6"/>
  <c r="AC202" i="6" l="1"/>
  <c r="Z71" i="6"/>
  <c r="Z202" i="6" s="1"/>
  <c r="AC49" i="6"/>
  <c r="Z49" i="6" s="1"/>
  <c r="Z73" i="6"/>
  <c r="Z203" i="6" s="1"/>
  <c r="AC229" i="6"/>
  <c r="Z26" i="6"/>
  <c r="Z229" i="6" s="1"/>
  <c r="Z24" i="6"/>
  <c r="AC23" i="6"/>
  <c r="Z23" i="6" s="1"/>
  <c r="Z32" i="6"/>
  <c r="AC31" i="6"/>
  <c r="AC227" i="6" s="1"/>
  <c r="AC67" i="6"/>
  <c r="Z67" i="6" s="1"/>
  <c r="Z68" i="6"/>
  <c r="Z8" i="6"/>
  <c r="AC7" i="6"/>
  <c r="AC226" i="6" s="1"/>
  <c r="AC230" i="6"/>
  <c r="Z27" i="6"/>
  <c r="Z230" i="6" s="1"/>
  <c r="AC278" i="6"/>
  <c r="AC275" i="6"/>
  <c r="AC279" i="6"/>
  <c r="AC97" i="6"/>
  <c r="AC203" i="6"/>
  <c r="AC416" i="12"/>
  <c r="AC274" i="6"/>
  <c r="AC411" i="12"/>
  <c r="AC189" i="6"/>
  <c r="AC265" i="6"/>
  <c r="AC286" i="6"/>
  <c r="AC308" i="6"/>
  <c r="AC281" i="6"/>
  <c r="AC303" i="6"/>
  <c r="AC260" i="6"/>
  <c r="AC184" i="6"/>
  <c r="AC84" i="6"/>
  <c r="AC96" i="6" s="1"/>
  <c r="AC197" i="6" s="1"/>
  <c r="AC108" i="6"/>
  <c r="AC168" i="6"/>
  <c r="AC206" i="6" s="1"/>
  <c r="AC171" i="6"/>
  <c r="AC114" i="6" s="1"/>
  <c r="AC199" i="6"/>
  <c r="AC115" i="6"/>
  <c r="AC178" i="6"/>
  <c r="AC254" i="6"/>
  <c r="AC295" i="6"/>
  <c r="AC410" i="12"/>
  <c r="AC276" i="6"/>
  <c r="AC198" i="6"/>
  <c r="AC6" i="6" l="1"/>
  <c r="Z6" i="6" s="1"/>
  <c r="Z7" i="6"/>
  <c r="Z226" i="6" s="1"/>
  <c r="AC30" i="6"/>
  <c r="Z30" i="6" s="1"/>
  <c r="Z31" i="6"/>
  <c r="Z227" i="6" s="1"/>
  <c r="AC201" i="6"/>
  <c r="AC200" i="6" s="1"/>
  <c r="AC237" i="6"/>
  <c r="Z201" i="6"/>
  <c r="Z200" i="6" s="1"/>
  <c r="AC112" i="6"/>
  <c r="AC205" i="6" s="1"/>
  <c r="AC204" i="6" s="1"/>
  <c r="AC273" i="6"/>
  <c r="AC177" i="6"/>
  <c r="AC196" i="6"/>
  <c r="AC253" i="6" s="1"/>
  <c r="AC225" i="6"/>
  <c r="AC231" i="6" s="1"/>
  <c r="AC228" i="6" s="1"/>
  <c r="Z225" i="6" l="1"/>
  <c r="Z231" i="6" s="1"/>
  <c r="Z228" i="6" s="1"/>
  <c r="AC119" i="6"/>
  <c r="AC121" i="6" s="1"/>
  <c r="AC247" i="6"/>
  <c r="AC272" i="6"/>
  <c r="AC236" i="6"/>
  <c r="AC235" i="6" s="1"/>
  <c r="AC234" i="6" s="1"/>
  <c r="AC122" i="6"/>
  <c r="AC248" i="6" s="1"/>
  <c r="Z352" i="12"/>
  <c r="AC294" i="6" l="1"/>
  <c r="AC218" i="6"/>
  <c r="AC217" i="6" s="1"/>
  <c r="AC249" i="6"/>
  <c r="Z348" i="12"/>
  <c r="Z380" i="12" s="1"/>
  <c r="AA352" i="12"/>
  <c r="AA348" i="12" s="1"/>
  <c r="AA380" i="12" s="1"/>
  <c r="Z346" i="12" l="1"/>
  <c r="Y167" i="12"/>
  <c r="Z345" i="12"/>
  <c r="Y166" i="12"/>
  <c r="Z347" i="12"/>
  <c r="Y168" i="12"/>
  <c r="X168" i="12"/>
  <c r="X167" i="12"/>
  <c r="U78" i="6"/>
  <c r="U76" i="6"/>
  <c r="U75" i="6"/>
  <c r="U73" i="6"/>
  <c r="U72" i="6"/>
  <c r="U71" i="6"/>
  <c r="U70" i="6"/>
  <c r="U65" i="6"/>
  <c r="U62" i="6"/>
  <c r="U61" i="6"/>
  <c r="U59" i="6"/>
  <c r="U58" i="6"/>
  <c r="U57" i="6"/>
  <c r="U56" i="6"/>
  <c r="U55" i="6"/>
  <c r="U54" i="6"/>
  <c r="U53" i="6"/>
  <c r="U51" i="6"/>
  <c r="U48" i="6"/>
  <c r="U46" i="6"/>
  <c r="U45" i="6"/>
  <c r="U44" i="6"/>
  <c r="U43" i="6"/>
  <c r="U42" i="6"/>
  <c r="U41" i="6"/>
  <c r="U40" i="6"/>
  <c r="U39" i="6"/>
  <c r="U38" i="6"/>
  <c r="U37" i="6"/>
  <c r="U36" i="6"/>
  <c r="U34" i="6"/>
  <c r="U33" i="6"/>
  <c r="U28" i="6"/>
  <c r="U27" i="6"/>
  <c r="U26" i="6"/>
  <c r="U25" i="6"/>
  <c r="U22" i="6"/>
  <c r="U19" i="6"/>
  <c r="U18" i="6"/>
  <c r="U16" i="6"/>
  <c r="U15" i="6"/>
  <c r="U14" i="6"/>
  <c r="U13" i="6"/>
  <c r="U12" i="6"/>
  <c r="U11" i="6"/>
  <c r="U9" i="6"/>
  <c r="X49" i="6" l="1"/>
  <c r="U49" i="6" s="1"/>
  <c r="U50" i="6"/>
  <c r="U8" i="6"/>
  <c r="X7" i="6"/>
  <c r="X31" i="6"/>
  <c r="U32" i="6"/>
  <c r="X23" i="6"/>
  <c r="U23" i="6" s="1"/>
  <c r="U24" i="6"/>
  <c r="X67" i="6"/>
  <c r="U67" i="6" s="1"/>
  <c r="U68" i="6"/>
  <c r="X163" i="12"/>
  <c r="AA345" i="12"/>
  <c r="Z166" i="12"/>
  <c r="AA347" i="12"/>
  <c r="AA168" i="12" s="1"/>
  <c r="Z168" i="12"/>
  <c r="Y163" i="12"/>
  <c r="Z342" i="12"/>
  <c r="Z378" i="12" s="1"/>
  <c r="AA346" i="12"/>
  <c r="AA167" i="12" s="1"/>
  <c r="Z167" i="12"/>
  <c r="V360" i="12"/>
  <c r="V183" i="6" s="1"/>
  <c r="V359" i="12"/>
  <c r="V182" i="6" s="1"/>
  <c r="V358" i="12"/>
  <c r="V181" i="6" s="1"/>
  <c r="V357" i="12"/>
  <c r="V180" i="6" s="1"/>
  <c r="V356" i="12"/>
  <c r="V353" i="12"/>
  <c r="V352" i="12"/>
  <c r="V351" i="12"/>
  <c r="V350" i="12"/>
  <c r="V349" i="12"/>
  <c r="V347" i="12"/>
  <c r="V168" i="12" s="1"/>
  <c r="V346" i="12"/>
  <c r="V167" i="12" s="1"/>
  <c r="V345" i="12"/>
  <c r="V166" i="12" s="1"/>
  <c r="V344" i="12"/>
  <c r="V165" i="12" s="1"/>
  <c r="V343" i="12"/>
  <c r="V164" i="12" s="1"/>
  <c r="V341" i="12"/>
  <c r="V340" i="12"/>
  <c r="V338" i="12"/>
  <c r="V337" i="12"/>
  <c r="V335" i="12"/>
  <c r="V334" i="12"/>
  <c r="V332" i="12"/>
  <c r="V331" i="12"/>
  <c r="V329" i="12"/>
  <c r="V328" i="12"/>
  <c r="V326" i="12"/>
  <c r="V325" i="12"/>
  <c r="V320" i="12"/>
  <c r="V319" i="12"/>
  <c r="V318" i="12"/>
  <c r="V317" i="12"/>
  <c r="V316" i="12"/>
  <c r="V308" i="12"/>
  <c r="V307" i="12"/>
  <c r="V306" i="12"/>
  <c r="V305" i="12"/>
  <c r="V304" i="12"/>
  <c r="V276" i="12"/>
  <c r="V275" i="12"/>
  <c r="V273" i="12"/>
  <c r="V272" i="12"/>
  <c r="V270" i="12"/>
  <c r="V269" i="12"/>
  <c r="V267" i="12"/>
  <c r="V266" i="12"/>
  <c r="V264" i="12"/>
  <c r="V263" i="12"/>
  <c r="V258" i="12"/>
  <c r="V257" i="12"/>
  <c r="V256" i="12"/>
  <c r="V255" i="12"/>
  <c r="V254" i="12"/>
  <c r="V232" i="12"/>
  <c r="V231" i="12"/>
  <c r="V230" i="12"/>
  <c r="V229" i="12"/>
  <c r="V228" i="12"/>
  <c r="V227" i="12"/>
  <c r="V223" i="12"/>
  <c r="V222" i="12"/>
  <c r="V221" i="12"/>
  <c r="V220" i="12"/>
  <c r="V219" i="12"/>
  <c r="V218" i="12"/>
  <c r="V214" i="12"/>
  <c r="V213" i="12"/>
  <c r="V212" i="12"/>
  <c r="V211" i="12"/>
  <c r="V210" i="12"/>
  <c r="V209" i="12"/>
  <c r="V197" i="12"/>
  <c r="V196" i="12"/>
  <c r="V195" i="12"/>
  <c r="V194" i="12"/>
  <c r="V193" i="12"/>
  <c r="V189" i="12"/>
  <c r="V188" i="12"/>
  <c r="V187" i="12"/>
  <c r="V186" i="12"/>
  <c r="V185" i="12"/>
  <c r="V181" i="12"/>
  <c r="V180" i="12"/>
  <c r="V179" i="12"/>
  <c r="V178" i="12"/>
  <c r="V177" i="12"/>
  <c r="V175" i="12"/>
  <c r="V174" i="12"/>
  <c r="V216" i="6" s="1"/>
  <c r="V173" i="12"/>
  <c r="V172" i="12"/>
  <c r="V171" i="12"/>
  <c r="V160" i="12"/>
  <c r="V159" i="12"/>
  <c r="V158" i="12"/>
  <c r="V157" i="12"/>
  <c r="V156" i="12"/>
  <c r="V136" i="12"/>
  <c r="V135" i="12"/>
  <c r="V134" i="12"/>
  <c r="V133" i="12"/>
  <c r="V132" i="12"/>
  <c r="V121" i="12"/>
  <c r="V120" i="12"/>
  <c r="V119" i="12"/>
  <c r="V118" i="12"/>
  <c r="V117" i="12"/>
  <c r="V114" i="12"/>
  <c r="V113" i="12"/>
  <c r="V112" i="12"/>
  <c r="V111" i="12"/>
  <c r="V110" i="12"/>
  <c r="V99" i="12"/>
  <c r="V98" i="12"/>
  <c r="V97" i="12"/>
  <c r="V96" i="12"/>
  <c r="V95" i="12"/>
  <c r="V374" i="12"/>
  <c r="V373" i="12"/>
  <c r="Y213" i="6"/>
  <c r="Y193" i="6"/>
  <c r="Y192" i="6"/>
  <c r="Y188" i="6"/>
  <c r="Y186" i="6"/>
  <c r="Y185" i="6"/>
  <c r="Z174" i="6"/>
  <c r="AA174" i="6" s="1"/>
  <c r="Z173" i="6"/>
  <c r="AA173" i="6" s="1"/>
  <c r="Z172" i="6"/>
  <c r="AA172" i="6" s="1"/>
  <c r="Z169" i="6"/>
  <c r="AA169" i="6" s="1"/>
  <c r="Z117" i="6"/>
  <c r="AA117" i="6" s="1"/>
  <c r="Z116" i="6"/>
  <c r="AA116" i="6" s="1"/>
  <c r="Z111" i="6"/>
  <c r="AA111" i="6" s="1"/>
  <c r="Z110" i="6"/>
  <c r="AA110" i="6" s="1"/>
  <c r="Z109" i="6"/>
  <c r="AA109" i="6" s="1"/>
  <c r="Z107" i="6"/>
  <c r="AA107" i="6" s="1"/>
  <c r="Z106" i="6"/>
  <c r="AA106" i="6" s="1"/>
  <c r="Z105" i="6"/>
  <c r="AA105" i="6" s="1"/>
  <c r="Z104" i="6"/>
  <c r="AA104" i="6" s="1"/>
  <c r="Z103" i="6"/>
  <c r="AA103" i="6" s="1"/>
  <c r="Z101" i="6"/>
  <c r="AA101" i="6" s="1"/>
  <c r="Z100" i="6"/>
  <c r="AA100" i="6" s="1"/>
  <c r="Z99" i="6"/>
  <c r="AA99" i="6" s="1"/>
  <c r="Z98" i="6"/>
  <c r="AA98" i="6" s="1"/>
  <c r="Z95" i="6"/>
  <c r="AA95" i="6" s="1"/>
  <c r="Z94" i="6"/>
  <c r="AA94" i="6" s="1"/>
  <c r="Z92" i="6"/>
  <c r="AA92" i="6" s="1"/>
  <c r="Z90" i="6"/>
  <c r="AA90" i="6" s="1"/>
  <c r="Y203" i="6"/>
  <c r="Y202" i="6"/>
  <c r="Y230" i="6"/>
  <c r="Y229" i="6"/>
  <c r="V193" i="6"/>
  <c r="V192" i="6"/>
  <c r="V191" i="6"/>
  <c r="V190" i="6"/>
  <c r="V188" i="6"/>
  <c r="V187" i="6"/>
  <c r="V186" i="6"/>
  <c r="V185" i="6"/>
  <c r="V176" i="6"/>
  <c r="V208" i="6" s="1"/>
  <c r="V175" i="6"/>
  <c r="V207" i="6" s="1"/>
  <c r="V174" i="6"/>
  <c r="V173" i="6"/>
  <c r="V172" i="6"/>
  <c r="V170" i="6"/>
  <c r="V238" i="6" s="1"/>
  <c r="V169" i="6"/>
  <c r="V118" i="6"/>
  <c r="V117" i="6"/>
  <c r="V116" i="6"/>
  <c r="V111" i="6"/>
  <c r="V110" i="6"/>
  <c r="V109" i="6"/>
  <c r="V107" i="6"/>
  <c r="V106" i="6"/>
  <c r="V105" i="6"/>
  <c r="V104" i="6"/>
  <c r="V103" i="6"/>
  <c r="V102" i="6"/>
  <c r="V101" i="6"/>
  <c r="V100" i="6"/>
  <c r="V99" i="6"/>
  <c r="V98" i="6"/>
  <c r="V95" i="6"/>
  <c r="V94" i="6"/>
  <c r="V93" i="6"/>
  <c r="V199" i="6" s="1"/>
  <c r="V92" i="6"/>
  <c r="V91" i="6"/>
  <c r="V90" i="6"/>
  <c r="V89" i="6"/>
  <c r="V88" i="6"/>
  <c r="V87" i="6"/>
  <c r="V198" i="6" s="1"/>
  <c r="V85" i="6"/>
  <c r="Z88" i="6"/>
  <c r="AA88" i="6" s="1"/>
  <c r="Z85" i="6"/>
  <c r="AA85" i="6" s="1"/>
  <c r="V203" i="6"/>
  <c r="V202" i="6"/>
  <c r="V230" i="6"/>
  <c r="V229" i="6"/>
  <c r="V310" i="6"/>
  <c r="V309" i="6"/>
  <c r="V288" i="6"/>
  <c r="V287" i="6"/>
  <c r="V268" i="6"/>
  <c r="V267" i="6"/>
  <c r="V266" i="6"/>
  <c r="V264" i="6"/>
  <c r="V263" i="6"/>
  <c r="V262" i="6"/>
  <c r="V261" i="6"/>
  <c r="Y184" i="2"/>
  <c r="V214" i="6"/>
  <c r="V213" i="6"/>
  <c r="V194" i="6"/>
  <c r="V215" i="6" l="1"/>
  <c r="Y23" i="6"/>
  <c r="U31" i="6"/>
  <c r="X30" i="6"/>
  <c r="U30" i="6" s="1"/>
  <c r="X6" i="6"/>
  <c r="U6" i="6" s="1"/>
  <c r="U7" i="6"/>
  <c r="Y31" i="6"/>
  <c r="Y227" i="6" s="1"/>
  <c r="Y49" i="6"/>
  <c r="Y7" i="6"/>
  <c r="Y67" i="6"/>
  <c r="Y201" i="6" s="1"/>
  <c r="Y200" i="6" s="1"/>
  <c r="V171" i="6"/>
  <c r="V114" i="6" s="1"/>
  <c r="V205" i="12"/>
  <c r="V115" i="6"/>
  <c r="V163" i="12"/>
  <c r="Z163" i="12"/>
  <c r="V97" i="6"/>
  <c r="V201" i="12"/>
  <c r="AA166" i="12"/>
  <c r="AA163" i="12" s="1"/>
  <c r="AA342" i="12"/>
  <c r="AA378" i="12" s="1"/>
  <c r="V339" i="12"/>
  <c r="V323" i="12"/>
  <c r="V397" i="12" s="1"/>
  <c r="V355" i="12"/>
  <c r="V179" i="6"/>
  <c r="V178" i="6" s="1"/>
  <c r="V202" i="12"/>
  <c r="V423" i="12"/>
  <c r="AC429" i="12" s="1"/>
  <c r="V203" i="12"/>
  <c r="V248" i="12" s="1"/>
  <c r="V288" i="12" s="1"/>
  <c r="V277" i="6" s="1"/>
  <c r="V324" i="12"/>
  <c r="V336" i="12"/>
  <c r="V217" i="12"/>
  <c r="V253" i="12"/>
  <c r="V208" i="12"/>
  <c r="V204" i="12"/>
  <c r="V149" i="12"/>
  <c r="V91" i="12"/>
  <c r="V144" i="12" s="1"/>
  <c r="V370" i="12" s="1"/>
  <c r="V259" i="6" s="1"/>
  <c r="V184" i="12"/>
  <c r="V200" i="12"/>
  <c r="V322" i="12"/>
  <c r="V88" i="12"/>
  <c r="V141" i="12" s="1"/>
  <c r="V365" i="12"/>
  <c r="V155" i="12"/>
  <c r="V151" i="12"/>
  <c r="V192" i="12"/>
  <c r="V330" i="12"/>
  <c r="V170" i="12"/>
  <c r="V90" i="12"/>
  <c r="V143" i="12" s="1"/>
  <c r="V369" i="12" s="1"/>
  <c r="V258" i="6" s="1"/>
  <c r="V89" i="12"/>
  <c r="V142" i="12" s="1"/>
  <c r="V368" i="12" s="1"/>
  <c r="V116" i="12"/>
  <c r="V131" i="12"/>
  <c r="V176" i="12"/>
  <c r="V226" i="12"/>
  <c r="V327" i="12"/>
  <c r="V333" i="12"/>
  <c r="V315" i="12"/>
  <c r="V109" i="12"/>
  <c r="V364" i="12" s="1"/>
  <c r="V303" i="12"/>
  <c r="V422" i="12" s="1"/>
  <c r="AC428" i="12" s="1"/>
  <c r="W304" i="12"/>
  <c r="X304" i="12" s="1"/>
  <c r="V427" i="12"/>
  <c r="AC433" i="12" s="1"/>
  <c r="W308" i="12"/>
  <c r="X308" i="12" s="1"/>
  <c r="V348" i="12"/>
  <c r="V380" i="12" s="1"/>
  <c r="V424" i="12"/>
  <c r="AC430" i="12" s="1"/>
  <c r="W305" i="12"/>
  <c r="X305" i="12" s="1"/>
  <c r="V425" i="12"/>
  <c r="AC431" i="12" s="1"/>
  <c r="W306" i="12"/>
  <c r="X306" i="12" s="1"/>
  <c r="V426" i="12"/>
  <c r="AC432" i="12" s="1"/>
  <c r="W307" i="12"/>
  <c r="X307" i="12" s="1"/>
  <c r="V342" i="12"/>
  <c r="V378" i="12" s="1"/>
  <c r="V260" i="6"/>
  <c r="V184" i="6"/>
  <c r="V108" i="6"/>
  <c r="V265" i="6"/>
  <c r="AA97" i="6"/>
  <c r="AA115" i="6"/>
  <c r="AA171" i="6"/>
  <c r="AA114" i="6" s="1"/>
  <c r="AA108" i="6"/>
  <c r="Z108" i="6"/>
  <c r="Z97" i="6"/>
  <c r="Z115" i="6"/>
  <c r="Z171" i="6"/>
  <c r="Z114" i="6" s="1"/>
  <c r="Y208" i="6"/>
  <c r="Z176" i="6"/>
  <c r="Y198" i="6"/>
  <c r="Z87" i="6"/>
  <c r="Y238" i="6"/>
  <c r="Z170" i="6"/>
  <c r="Y207" i="6"/>
  <c r="Z175" i="6"/>
  <c r="V84" i="6"/>
  <c r="V96" i="6" s="1"/>
  <c r="V197" i="6" s="1"/>
  <c r="V196" i="6" s="1"/>
  <c r="V189" i="6"/>
  <c r="Y171" i="6"/>
  <c r="Y114" i="6" s="1"/>
  <c r="V152" i="12"/>
  <c r="V150" i="12"/>
  <c r="V148" i="12"/>
  <c r="V94" i="12"/>
  <c r="V87" i="12"/>
  <c r="Y168" i="6"/>
  <c r="Y115" i="6"/>
  <c r="Y108" i="6"/>
  <c r="Y97" i="6"/>
  <c r="V168" i="6"/>
  <c r="V206" i="6" s="1"/>
  <c r="Y6" i="6" l="1"/>
  <c r="Y30" i="6"/>
  <c r="Y226" i="6"/>
  <c r="V321" i="12"/>
  <c r="V377" i="12" s="1"/>
  <c r="V299" i="6"/>
  <c r="V250" i="12"/>
  <c r="V290" i="12" s="1"/>
  <c r="V199" i="12"/>
  <c r="V246" i="12"/>
  <c r="V286" i="12" s="1"/>
  <c r="V247" i="12"/>
  <c r="V287" i="12" s="1"/>
  <c r="V419" i="12" s="1"/>
  <c r="V367" i="12"/>
  <c r="V249" i="12"/>
  <c r="V289" i="12" s="1"/>
  <c r="V421" i="12" s="1"/>
  <c r="V407" i="12"/>
  <c r="V257" i="6"/>
  <c r="V409" i="12"/>
  <c r="V408" i="12"/>
  <c r="V112" i="6"/>
  <c r="V205" i="6" s="1"/>
  <c r="V204" i="6" s="1"/>
  <c r="V122" i="6" s="1"/>
  <c r="V248" i="6" s="1"/>
  <c r="AF242" i="6"/>
  <c r="AF245" i="6"/>
  <c r="Z177" i="6"/>
  <c r="Z238" i="6"/>
  <c r="AA170" i="6"/>
  <c r="Z208" i="6"/>
  <c r="AA176" i="6"/>
  <c r="AA208" i="6" s="1"/>
  <c r="Z207" i="6"/>
  <c r="AA175" i="6"/>
  <c r="AA207" i="6" s="1"/>
  <c r="Z198" i="6"/>
  <c r="AA87" i="6"/>
  <c r="Z168" i="6"/>
  <c r="V253" i="6"/>
  <c r="V247" i="6"/>
  <c r="Y225" i="6"/>
  <c r="Y231" i="6" s="1"/>
  <c r="Y228" i="6" s="1"/>
  <c r="V86" i="12"/>
  <c r="V140" i="12"/>
  <c r="Y206" i="6"/>
  <c r="Y237" i="6"/>
  <c r="V147" i="12"/>
  <c r="V237" i="6"/>
  <c r="V295" i="12" l="1"/>
  <c r="V275" i="6" s="1"/>
  <c r="V296" i="12"/>
  <c r="V413" i="12" s="1"/>
  <c r="V298" i="12"/>
  <c r="V279" i="6" s="1"/>
  <c r="V297" i="12"/>
  <c r="V396" i="12"/>
  <c r="V418" i="12"/>
  <c r="V301" i="6"/>
  <c r="V297" i="6"/>
  <c r="V256" i="6"/>
  <c r="V406" i="12"/>
  <c r="V298" i="6"/>
  <c r="V300" i="6"/>
  <c r="V119" i="6"/>
  <c r="V121" i="6" s="1"/>
  <c r="V249" i="6" s="1"/>
  <c r="AF244" i="6"/>
  <c r="AF246" i="6"/>
  <c r="AA177" i="6"/>
  <c r="AA136" i="6"/>
  <c r="V236" i="6"/>
  <c r="V235" i="6" s="1"/>
  <c r="V234" i="6" s="1"/>
  <c r="AA198" i="6"/>
  <c r="AA238" i="6"/>
  <c r="AA168" i="6"/>
  <c r="V272" i="6"/>
  <c r="Z237" i="6"/>
  <c r="Z206" i="6"/>
  <c r="V270" i="6"/>
  <c r="V366" i="12"/>
  <c r="V245" i="12"/>
  <c r="V139" i="12"/>
  <c r="V363" i="12" s="1"/>
  <c r="V362" i="12" s="1"/>
  <c r="V404" i="12" s="1"/>
  <c r="V291" i="6"/>
  <c r="V412" i="12" l="1"/>
  <c r="V276" i="6"/>
  <c r="V415" i="12"/>
  <c r="V278" i="6"/>
  <c r="V218" i="6"/>
  <c r="V217" i="6" s="1"/>
  <c r="V313" i="6"/>
  <c r="V294" i="6"/>
  <c r="AB136" i="6"/>
  <c r="AA206" i="6"/>
  <c r="AA237" i="6"/>
  <c r="V244" i="12"/>
  <c r="V376" i="12" s="1"/>
  <c r="V375" i="12" s="1"/>
  <c r="V395" i="12" s="1"/>
  <c r="V394" i="12" s="1"/>
  <c r="V393" i="12" s="1"/>
  <c r="V391" i="12" s="1"/>
  <c r="V285" i="12"/>
  <c r="V294" i="12" s="1"/>
  <c r="V405" i="12"/>
  <c r="V255" i="6"/>
  <c r="V254" i="6" s="1"/>
  <c r="V417" i="12" l="1"/>
  <c r="V296" i="6"/>
  <c r="V295" i="6" s="1"/>
  <c r="V284" i="12"/>
  <c r="V416" i="12" l="1"/>
  <c r="V274" i="6"/>
  <c r="V411" i="12"/>
  <c r="V410" i="12"/>
  <c r="Y194" i="6"/>
  <c r="Y214" i="6" l="1"/>
  <c r="V273" i="6"/>
  <c r="S50" i="4"/>
  <c r="S59" i="4"/>
  <c r="Y191" i="6"/>
  <c r="Y268" i="6"/>
  <c r="Y220" i="2"/>
  <c r="Y219" i="2"/>
  <c r="Y201" i="2"/>
  <c r="Y195" i="2"/>
  <c r="Y192" i="2"/>
  <c r="Y191" i="2"/>
  <c r="Y238" i="2" s="1"/>
  <c r="Z311" i="6" l="1"/>
  <c r="Z206" i="2"/>
  <c r="AA206" i="2" s="1"/>
  <c r="AB313" i="6"/>
  <c r="Z205" i="2"/>
  <c r="AA205" i="2" s="1"/>
  <c r="AA270" i="6"/>
  <c r="AA214" i="6"/>
  <c r="Y207" i="2"/>
  <c r="Y224" i="2" s="1"/>
  <c r="Z210" i="2"/>
  <c r="Y198" i="2"/>
  <c r="Z199" i="2"/>
  <c r="AA199" i="2" s="1"/>
  <c r="Z214" i="6"/>
  <c r="Y204" i="2"/>
  <c r="Y190" i="2"/>
  <c r="Y189" i="2" s="1"/>
  <c r="Y270" i="6"/>
  <c r="Y212" i="2"/>
  <c r="Y187" i="6"/>
  <c r="Y184" i="6" s="1"/>
  <c r="Y267" i="6"/>
  <c r="Y164" i="2"/>
  <c r="Y158" i="2"/>
  <c r="Z158" i="2" s="1"/>
  <c r="Y155" i="2"/>
  <c r="Z155" i="2" s="1"/>
  <c r="Y154" i="2"/>
  <c r="Z154" i="2" s="1"/>
  <c r="Y121" i="2"/>
  <c r="Y119" i="2"/>
  <c r="Y118" i="2"/>
  <c r="Y93" i="2"/>
  <c r="Z93" i="2" s="1"/>
  <c r="Y91" i="2"/>
  <c r="Z91" i="2" s="1"/>
  <c r="Y90" i="2"/>
  <c r="Z90" i="2" s="1"/>
  <c r="Y87" i="2"/>
  <c r="Y85" i="2"/>
  <c r="Y84" i="2"/>
  <c r="Y229" i="2"/>
  <c r="Y230" i="2"/>
  <c r="Y20" i="2"/>
  <c r="Y374" i="12"/>
  <c r="Y373" i="12"/>
  <c r="Y180" i="6"/>
  <c r="Y179" i="6"/>
  <c r="Y183" i="6"/>
  <c r="Y182" i="6"/>
  <c r="Y181" i="6"/>
  <c r="Z341" i="12"/>
  <c r="Z340" i="12"/>
  <c r="AA340" i="12" s="1"/>
  <c r="Z337" i="12"/>
  <c r="AA337" i="12" s="1"/>
  <c r="Z338" i="12"/>
  <c r="AA338" i="12" s="1"/>
  <c r="Z335" i="12"/>
  <c r="AA335" i="12" s="1"/>
  <c r="Z334" i="12"/>
  <c r="AA334" i="12" s="1"/>
  <c r="Z332" i="12"/>
  <c r="AA332" i="12" s="1"/>
  <c r="Z331" i="12"/>
  <c r="AA331" i="12" s="1"/>
  <c r="Z329" i="12"/>
  <c r="AA329" i="12" s="1"/>
  <c r="Z328" i="12"/>
  <c r="AA328" i="12" s="1"/>
  <c r="Z326" i="12"/>
  <c r="AA326" i="12" s="1"/>
  <c r="Z325" i="12"/>
  <c r="AA325" i="12" s="1"/>
  <c r="Z308" i="12"/>
  <c r="AA308" i="12" s="1"/>
  <c r="Z307" i="12"/>
  <c r="AA307" i="12" s="1"/>
  <c r="Z306" i="12"/>
  <c r="AA306" i="12" s="1"/>
  <c r="Z305" i="12"/>
  <c r="AA305" i="12" s="1"/>
  <c r="Z304" i="12"/>
  <c r="AA304" i="12" s="1"/>
  <c r="Z320" i="12"/>
  <c r="AA320" i="12" s="1"/>
  <c r="Z319" i="12"/>
  <c r="AA319" i="12" s="1"/>
  <c r="Z318" i="12"/>
  <c r="AA318" i="12" s="1"/>
  <c r="Z317" i="12"/>
  <c r="AA317" i="12" s="1"/>
  <c r="Z316" i="12"/>
  <c r="AA316" i="12" s="1"/>
  <c r="Y246" i="2" l="1"/>
  <c r="Y247" i="2"/>
  <c r="Y26" i="2"/>
  <c r="Y56" i="2"/>
  <c r="Y218" i="2" s="1"/>
  <c r="Y7" i="2"/>
  <c r="Y6" i="2" s="1"/>
  <c r="Y31" i="12"/>
  <c r="Y24" i="12"/>
  <c r="Y55" i="12"/>
  <c r="Y38" i="12"/>
  <c r="Y7" i="12"/>
  <c r="Y71" i="12"/>
  <c r="Y372" i="12" s="1"/>
  <c r="Y371" i="12" s="1"/>
  <c r="Y146" i="2"/>
  <c r="Y176" i="2" s="1"/>
  <c r="Y285" i="6" s="1"/>
  <c r="Y144" i="2"/>
  <c r="Y169" i="2" s="1"/>
  <c r="Z84" i="2"/>
  <c r="Y261" i="6"/>
  <c r="Z85" i="2"/>
  <c r="Y262" i="6"/>
  <c r="Z121" i="2"/>
  <c r="AB121" i="2" s="1"/>
  <c r="AB146" i="2" s="1"/>
  <c r="Z87" i="2"/>
  <c r="Y264" i="6"/>
  <c r="Z118" i="2"/>
  <c r="Z119" i="2"/>
  <c r="Y143" i="2"/>
  <c r="Z204" i="2"/>
  <c r="AB289" i="6"/>
  <c r="AB311" i="6"/>
  <c r="Y311" i="6"/>
  <c r="Y289" i="6"/>
  <c r="AA204" i="2"/>
  <c r="Y291" i="6"/>
  <c r="AB205" i="2"/>
  <c r="AB206" i="2"/>
  <c r="AB291" i="6"/>
  <c r="AB199" i="2"/>
  <c r="AA303" i="12"/>
  <c r="AA341" i="12"/>
  <c r="AA339" i="12" s="1"/>
  <c r="AA198" i="2"/>
  <c r="AA190" i="2"/>
  <c r="AA189" i="2" s="1"/>
  <c r="Z207" i="2"/>
  <c r="Z224" i="2" s="1"/>
  <c r="AA210" i="2"/>
  <c r="AA207" i="2" s="1"/>
  <c r="AA224" i="2" s="1"/>
  <c r="AA336" i="12"/>
  <c r="AA323" i="12"/>
  <c r="AA397" i="12" s="1"/>
  <c r="AA324" i="12"/>
  <c r="AA322" i="12"/>
  <c r="AA330" i="12"/>
  <c r="AA327" i="12"/>
  <c r="AA333" i="12"/>
  <c r="AA315" i="12"/>
  <c r="Z323" i="12"/>
  <c r="Z397" i="12" s="1"/>
  <c r="Z336" i="12"/>
  <c r="Z315" i="12"/>
  <c r="Z327" i="12"/>
  <c r="Z333" i="12"/>
  <c r="Z339" i="12"/>
  <c r="Y77" i="2"/>
  <c r="Z80" i="2"/>
  <c r="Y95" i="2"/>
  <c r="Z98" i="2"/>
  <c r="Y132" i="2"/>
  <c r="Z135" i="2"/>
  <c r="Y147" i="2"/>
  <c r="Z150" i="2"/>
  <c r="Z164" i="2"/>
  <c r="Z303" i="12"/>
  <c r="Y101" i="2"/>
  <c r="Z104" i="2"/>
  <c r="Y161" i="2"/>
  <c r="Z161" i="2" s="1"/>
  <c r="Z162" i="2"/>
  <c r="Z267" i="6"/>
  <c r="Z324" i="12"/>
  <c r="Z322" i="12"/>
  <c r="Z330" i="12"/>
  <c r="Y106" i="2"/>
  <c r="Z109" i="2"/>
  <c r="Z198" i="2"/>
  <c r="Z190" i="2"/>
  <c r="Z189" i="2" s="1"/>
  <c r="Y71" i="2"/>
  <c r="Z74" i="2"/>
  <c r="Y111" i="2"/>
  <c r="Z114" i="2"/>
  <c r="Y127" i="2"/>
  <c r="Z130" i="2"/>
  <c r="Y122" i="2"/>
  <c r="Z125" i="2"/>
  <c r="Y333" i="12"/>
  <c r="Y324" i="12"/>
  <c r="Y266" i="6"/>
  <c r="Y265" i="6" s="1"/>
  <c r="Y323" i="12"/>
  <c r="Y330" i="12"/>
  <c r="Y310" i="6"/>
  <c r="Y327" i="12"/>
  <c r="Y339" i="12"/>
  <c r="Y86" i="2"/>
  <c r="Y153" i="2"/>
  <c r="Y190" i="6"/>
  <c r="Y189" i="6" s="1"/>
  <c r="Y322" i="12"/>
  <c r="Y178" i="6"/>
  <c r="Y223" i="2"/>
  <c r="Y237" i="2"/>
  <c r="Y120" i="2"/>
  <c r="Y92" i="2"/>
  <c r="Y336" i="12"/>
  <c r="Z261" i="6" l="1"/>
  <c r="Z246" i="2"/>
  <c r="Y305" i="6"/>
  <c r="Y255" i="2"/>
  <c r="Z262" i="6"/>
  <c r="Z247" i="2"/>
  <c r="Y248" i="2"/>
  <c r="Y226" i="2"/>
  <c r="Y25" i="2"/>
  <c r="Y174" i="2"/>
  <c r="Y21" i="12"/>
  <c r="Y6" i="12" s="1"/>
  <c r="Y37" i="12"/>
  <c r="Z143" i="2"/>
  <c r="Z173" i="2" s="1"/>
  <c r="Y171" i="2"/>
  <c r="Y307" i="6" s="1"/>
  <c r="Z144" i="2"/>
  <c r="Z174" i="2" s="1"/>
  <c r="Z146" i="2"/>
  <c r="Z176" i="2" s="1"/>
  <c r="Z285" i="6" s="1"/>
  <c r="Z264" i="6"/>
  <c r="AB119" i="2"/>
  <c r="AB144" i="2" s="1"/>
  <c r="AB169" i="2" s="1"/>
  <c r="AB176" i="2"/>
  <c r="AB285" i="6" s="1"/>
  <c r="AB171" i="2"/>
  <c r="AB307" i="6" s="1"/>
  <c r="Y173" i="2"/>
  <c r="Y168" i="2"/>
  <c r="AB118" i="2"/>
  <c r="AB143" i="2" s="1"/>
  <c r="Y313" i="6"/>
  <c r="AB224" i="2"/>
  <c r="AB204" i="2"/>
  <c r="Z120" i="2"/>
  <c r="Z117" i="2" s="1"/>
  <c r="AB198" i="2"/>
  <c r="AB190" i="2"/>
  <c r="AB189" i="2" s="1"/>
  <c r="AB237" i="2" s="1"/>
  <c r="AB210" i="2"/>
  <c r="AB207" i="2" s="1"/>
  <c r="Y152" i="2"/>
  <c r="Z122" i="2"/>
  <c r="AA125" i="2"/>
  <c r="AB125" i="2" s="1"/>
  <c r="AB122" i="2" s="1"/>
  <c r="Z111" i="2"/>
  <c r="AA114" i="2"/>
  <c r="AA111" i="2" s="1"/>
  <c r="Z77" i="2"/>
  <c r="AA80" i="2"/>
  <c r="AA77" i="2" s="1"/>
  <c r="Z106" i="2"/>
  <c r="AA109" i="2"/>
  <c r="AA106" i="2" s="1"/>
  <c r="Z153" i="2"/>
  <c r="AA162" i="2"/>
  <c r="AB162" i="2" s="1"/>
  <c r="AA313" i="6"/>
  <c r="Z127" i="2"/>
  <c r="AA130" i="2"/>
  <c r="AA127" i="2" s="1"/>
  <c r="Z71" i="2"/>
  <c r="AA74" i="2"/>
  <c r="AB74" i="2" s="1"/>
  <c r="Z147" i="2"/>
  <c r="AA150" i="2"/>
  <c r="AA147" i="2" s="1"/>
  <c r="Z95" i="2"/>
  <c r="AA98" i="2"/>
  <c r="AB98" i="2" s="1"/>
  <c r="AA237" i="2"/>
  <c r="AA223" i="2"/>
  <c r="Z132" i="2"/>
  <c r="AA135" i="2"/>
  <c r="AA132" i="2" s="1"/>
  <c r="AA267" i="6"/>
  <c r="Z101" i="2"/>
  <c r="AA104" i="2"/>
  <c r="AA101" i="2" s="1"/>
  <c r="AA321" i="12"/>
  <c r="AA396" i="12" s="1"/>
  <c r="Z152" i="2"/>
  <c r="Z321" i="12"/>
  <c r="Y89" i="2"/>
  <c r="Z92" i="2"/>
  <c r="Z89" i="2" s="1"/>
  <c r="Z223" i="2"/>
  <c r="Z237" i="2"/>
  <c r="Y83" i="2"/>
  <c r="Z86" i="2"/>
  <c r="Y217" i="2"/>
  <c r="Y227" i="2"/>
  <c r="Y177" i="6"/>
  <c r="Y263" i="6"/>
  <c r="Y260" i="6" s="1"/>
  <c r="Y117" i="2"/>
  <c r="Y145" i="2"/>
  <c r="Z283" i="6" l="1"/>
  <c r="Z251" i="2"/>
  <c r="Y304" i="6"/>
  <c r="Y254" i="2"/>
  <c r="Z282" i="6"/>
  <c r="Z250" i="2"/>
  <c r="AB305" i="6"/>
  <c r="AB255" i="2"/>
  <c r="Z248" i="2"/>
  <c r="Y283" i="6"/>
  <c r="Y251" i="2"/>
  <c r="Y245" i="2"/>
  <c r="Y282" i="6"/>
  <c r="Y250" i="2"/>
  <c r="Z168" i="2"/>
  <c r="AB174" i="2"/>
  <c r="Z169" i="2"/>
  <c r="Z171" i="2"/>
  <c r="Z307" i="6" s="1"/>
  <c r="AB168" i="2"/>
  <c r="AB173" i="2"/>
  <c r="AB223" i="2"/>
  <c r="AB80" i="2"/>
  <c r="AB77" i="2" s="1"/>
  <c r="AB153" i="2"/>
  <c r="AB161" i="2"/>
  <c r="AB152" i="2" s="1"/>
  <c r="AB95" i="2"/>
  <c r="AB71" i="2"/>
  <c r="AB135" i="2"/>
  <c r="AB132" i="2" s="1"/>
  <c r="AB104" i="2"/>
  <c r="AB101" i="2" s="1"/>
  <c r="AB150" i="2"/>
  <c r="AB147" i="2" s="1"/>
  <c r="AB109" i="2"/>
  <c r="AB106" i="2" s="1"/>
  <c r="AB310" i="6"/>
  <c r="AB114" i="2"/>
  <c r="AB111" i="2" s="1"/>
  <c r="AB130" i="2"/>
  <c r="AB127" i="2" s="1"/>
  <c r="Z310" i="6"/>
  <c r="Y287" i="6"/>
  <c r="AA266" i="6"/>
  <c r="AA265" i="6" s="1"/>
  <c r="AA95" i="2"/>
  <c r="AA92" i="2"/>
  <c r="AA89" i="2" s="1"/>
  <c r="AA291" i="6"/>
  <c r="AA86" i="2"/>
  <c r="AA71" i="2"/>
  <c r="AA161" i="2"/>
  <c r="AA152" i="2" s="1"/>
  <c r="AA153" i="2"/>
  <c r="AA122" i="2"/>
  <c r="AA120" i="2"/>
  <c r="AA377" i="12"/>
  <c r="Z313" i="6"/>
  <c r="Z291" i="6"/>
  <c r="Z145" i="2"/>
  <c r="Z83" i="2"/>
  <c r="Z245" i="2" s="1"/>
  <c r="Z263" i="6"/>
  <c r="Z260" i="6" s="1"/>
  <c r="Z288" i="6"/>
  <c r="Z266" i="6"/>
  <c r="Z265" i="6" s="1"/>
  <c r="Z396" i="12"/>
  <c r="Z377" i="12"/>
  <c r="Y288" i="6"/>
  <c r="Y225" i="2"/>
  <c r="V177" i="6"/>
  <c r="Y142" i="2"/>
  <c r="Y222" i="2" s="1"/>
  <c r="Y175" i="2"/>
  <c r="Y252" i="2" s="1"/>
  <c r="Y170" i="2"/>
  <c r="Y256" i="2" s="1"/>
  <c r="AB283" i="6" l="1"/>
  <c r="AB251" i="2"/>
  <c r="Z304" i="6"/>
  <c r="Z254" i="2"/>
  <c r="AB282" i="6"/>
  <c r="AB250" i="2"/>
  <c r="AB304" i="6"/>
  <c r="AB254" i="2"/>
  <c r="Z305" i="6"/>
  <c r="Z255" i="2"/>
  <c r="AA248" i="2"/>
  <c r="AB288" i="6"/>
  <c r="Y221" i="2"/>
  <c r="AA117" i="2"/>
  <c r="AB120" i="2"/>
  <c r="AB117" i="2" s="1"/>
  <c r="AB86" i="2"/>
  <c r="AB92" i="2"/>
  <c r="Y286" i="6"/>
  <c r="Y309" i="6"/>
  <c r="Y308" i="6" s="1"/>
  <c r="AA310" i="6"/>
  <c r="AA83" i="2"/>
  <c r="AA245" i="2" s="1"/>
  <c r="AA145" i="2"/>
  <c r="AA263" i="6"/>
  <c r="AA260" i="6" s="1"/>
  <c r="Z170" i="2"/>
  <c r="Z256" i="2" s="1"/>
  <c r="Z142" i="2"/>
  <c r="Z222" i="2" s="1"/>
  <c r="Z221" i="2" s="1"/>
  <c r="Z236" i="2" s="1"/>
  <c r="Z235" i="2" s="1"/>
  <c r="Z234" i="2" s="1"/>
  <c r="Z232" i="2" s="1"/>
  <c r="Z175" i="2"/>
  <c r="Z252" i="2" s="1"/>
  <c r="Y231" i="2"/>
  <c r="Y172" i="2"/>
  <c r="Y249" i="2" s="1"/>
  <c r="Y284" i="6"/>
  <c r="Y281" i="6" s="1"/>
  <c r="Y167" i="2"/>
  <c r="Y253" i="2" s="1"/>
  <c r="Y306" i="6"/>
  <c r="Y303" i="6" s="1"/>
  <c r="Z276" i="12"/>
  <c r="AA276" i="12" s="1"/>
  <c r="Z275" i="12"/>
  <c r="AA275" i="12" s="1"/>
  <c r="Z273" i="12"/>
  <c r="AA273" i="12" s="1"/>
  <c r="Z272" i="12"/>
  <c r="AA272" i="12" s="1"/>
  <c r="Z270" i="12"/>
  <c r="AA270" i="12" s="1"/>
  <c r="Z269" i="12"/>
  <c r="AA269" i="12" s="1"/>
  <c r="Z267" i="12"/>
  <c r="AA267" i="12" s="1"/>
  <c r="Z266" i="12"/>
  <c r="AA266" i="12" s="1"/>
  <c r="Z264" i="12"/>
  <c r="AA264" i="12" s="1"/>
  <c r="Z263" i="12"/>
  <c r="AA263" i="12" s="1"/>
  <c r="Z223" i="12"/>
  <c r="AA223" i="12" s="1"/>
  <c r="Z222" i="12"/>
  <c r="AA222" i="12" s="1"/>
  <c r="Z219" i="12"/>
  <c r="AA219" i="12" s="1"/>
  <c r="Z218" i="12"/>
  <c r="AA218" i="12" s="1"/>
  <c r="Z220" i="12"/>
  <c r="AA220" i="12" s="1"/>
  <c r="Z158" i="12"/>
  <c r="AA158" i="12" s="1"/>
  <c r="Z159" i="12"/>
  <c r="AA159" i="12" s="1"/>
  <c r="Z160" i="12"/>
  <c r="AA160" i="12" s="1"/>
  <c r="Z156" i="12"/>
  <c r="AA156" i="12" s="1"/>
  <c r="Z157" i="12"/>
  <c r="AA157" i="12" s="1"/>
  <c r="AB248" i="2" l="1"/>
  <c r="AB287" i="6"/>
  <c r="AB286" i="6" s="1"/>
  <c r="AB89" i="2"/>
  <c r="AB309" i="6"/>
  <c r="AB308" i="6" s="1"/>
  <c r="AB263" i="6"/>
  <c r="AB260" i="6" s="1"/>
  <c r="AB145" i="2"/>
  <c r="AB83" i="2"/>
  <c r="AB245" i="2" s="1"/>
  <c r="Y236" i="2"/>
  <c r="Y235" i="2" s="1"/>
  <c r="Y234" i="2" s="1"/>
  <c r="Y232" i="2" s="1"/>
  <c r="AA265" i="12"/>
  <c r="AA274" i="12"/>
  <c r="AA170" i="2"/>
  <c r="AA256" i="2" s="1"/>
  <c r="AA142" i="2"/>
  <c r="AA222" i="2" s="1"/>
  <c r="AA221" i="2" s="1"/>
  <c r="AA236" i="2" s="1"/>
  <c r="AA235" i="2" s="1"/>
  <c r="AA234" i="2" s="1"/>
  <c r="AA232" i="2" s="1"/>
  <c r="AA175" i="2"/>
  <c r="AA252" i="2" s="1"/>
  <c r="AA288" i="6"/>
  <c r="AA271" i="12"/>
  <c r="AA217" i="12"/>
  <c r="AA155" i="12"/>
  <c r="AA262" i="12"/>
  <c r="AA268" i="12"/>
  <c r="Z265" i="12"/>
  <c r="Z271" i="12"/>
  <c r="Z217" i="12"/>
  <c r="Z262" i="12"/>
  <c r="Z268" i="12"/>
  <c r="Z274" i="12"/>
  <c r="Z172" i="2"/>
  <c r="Z249" i="2" s="1"/>
  <c r="Z284" i="6"/>
  <c r="Z281" i="6" s="1"/>
  <c r="Z287" i="6"/>
  <c r="Z286" i="6" s="1"/>
  <c r="Z155" i="12"/>
  <c r="Z167" i="2"/>
  <c r="Z253" i="2" s="1"/>
  <c r="Z306" i="6"/>
  <c r="Z303" i="6" s="1"/>
  <c r="Z309" i="6"/>
  <c r="Z308" i="6" s="1"/>
  <c r="Y217" i="12"/>
  <c r="Y228" i="2"/>
  <c r="Z257" i="12"/>
  <c r="AA257" i="12" s="1"/>
  <c r="Z258" i="12"/>
  <c r="AA258" i="12" s="1"/>
  <c r="Z256" i="12"/>
  <c r="AA256" i="12" s="1"/>
  <c r="Z255" i="12"/>
  <c r="AA255" i="12" s="1"/>
  <c r="Z254" i="12"/>
  <c r="AA254" i="12" s="1"/>
  <c r="Z214" i="12"/>
  <c r="AA214" i="12" s="1"/>
  <c r="Z209" i="12"/>
  <c r="AA209" i="12" s="1"/>
  <c r="Z213" i="12"/>
  <c r="AA213" i="12" s="1"/>
  <c r="Z211" i="12"/>
  <c r="AA211" i="12" s="1"/>
  <c r="Z212" i="12"/>
  <c r="AA212" i="12" s="1"/>
  <c r="Z210" i="12"/>
  <c r="AA210" i="12" s="1"/>
  <c r="Z189" i="12"/>
  <c r="AA189" i="12" s="1"/>
  <c r="Z114" i="12"/>
  <c r="AA114" i="12" s="1"/>
  <c r="Z119" i="12"/>
  <c r="AA119" i="12" s="1"/>
  <c r="AK243" i="2" l="1"/>
  <c r="AB170" i="2"/>
  <c r="AB256" i="2" s="1"/>
  <c r="AB142" i="2"/>
  <c r="AB175" i="2"/>
  <c r="AB252" i="2" s="1"/>
  <c r="AB221" i="2"/>
  <c r="AB236" i="2" s="1"/>
  <c r="AB235" i="2" s="1"/>
  <c r="AB234" i="2" s="1"/>
  <c r="AB232" i="2" s="1"/>
  <c r="AL243" i="2" s="1"/>
  <c r="AB222" i="2"/>
  <c r="AA309" i="6"/>
  <c r="AA308" i="6" s="1"/>
  <c r="AA167" i="2"/>
  <c r="AA253" i="2" s="1"/>
  <c r="AA306" i="6"/>
  <c r="AA303" i="6" s="1"/>
  <c r="AA287" i="6"/>
  <c r="AA286" i="6" s="1"/>
  <c r="AA172" i="2"/>
  <c r="AA249" i="2" s="1"/>
  <c r="AA284" i="6"/>
  <c r="AA281" i="6" s="1"/>
  <c r="AA253" i="12"/>
  <c r="AA261" i="12"/>
  <c r="AA208" i="12"/>
  <c r="Z253" i="12"/>
  <c r="Z261" i="12"/>
  <c r="Z208" i="12"/>
  <c r="Y253" i="12"/>
  <c r="Y208" i="12"/>
  <c r="Y274" i="12"/>
  <c r="Y268" i="12"/>
  <c r="Z231" i="12"/>
  <c r="Z232" i="12"/>
  <c r="Z230" i="12"/>
  <c r="Z229" i="12"/>
  <c r="Z228" i="12"/>
  <c r="Z227" i="12"/>
  <c r="Z197" i="12"/>
  <c r="AA197" i="12" s="1"/>
  <c r="Z196" i="12"/>
  <c r="AA196" i="12" s="1"/>
  <c r="Z195" i="12"/>
  <c r="AA195" i="12" s="1"/>
  <c r="Z194" i="12"/>
  <c r="AA194" i="12" s="1"/>
  <c r="Z193" i="12"/>
  <c r="AA193" i="12" s="1"/>
  <c r="Z188" i="12"/>
  <c r="AA188" i="12" s="1"/>
  <c r="Z187" i="12"/>
  <c r="AA187" i="12" s="1"/>
  <c r="Z186" i="12"/>
  <c r="AA186" i="12" s="1"/>
  <c r="Z185" i="12"/>
  <c r="AA185" i="12" s="1"/>
  <c r="Z180" i="12"/>
  <c r="AA180" i="12" s="1"/>
  <c r="Z181" i="12"/>
  <c r="AA181" i="12" s="1"/>
  <c r="Z179" i="12"/>
  <c r="AA179" i="12" s="1"/>
  <c r="Z178" i="12"/>
  <c r="AA178" i="12" s="1"/>
  <c r="Z177" i="12"/>
  <c r="AA177" i="12" s="1"/>
  <c r="Z175" i="12"/>
  <c r="AA175" i="12" s="1"/>
  <c r="Z173" i="12"/>
  <c r="AA173" i="12" s="1"/>
  <c r="Z172" i="12"/>
  <c r="AA172" i="12" s="1"/>
  <c r="Z171" i="12"/>
  <c r="AA171" i="12" s="1"/>
  <c r="Z110" i="12"/>
  <c r="AA110" i="12" s="1"/>
  <c r="Z136" i="12"/>
  <c r="AA136" i="12" s="1"/>
  <c r="Z135" i="12"/>
  <c r="AA135" i="12" s="1"/>
  <c r="Z134" i="12"/>
  <c r="AA134" i="12" s="1"/>
  <c r="Z133" i="12"/>
  <c r="AA133" i="12" s="1"/>
  <c r="Z132" i="12"/>
  <c r="AA132" i="12" s="1"/>
  <c r="Z121" i="12"/>
  <c r="AA121" i="12" s="1"/>
  <c r="Z120" i="12"/>
  <c r="AA120" i="12" s="1"/>
  <c r="Z118" i="12"/>
  <c r="AA118" i="12" s="1"/>
  <c r="Z117" i="12"/>
  <c r="AA117" i="12" s="1"/>
  <c r="Z112" i="12"/>
  <c r="AA112" i="12" s="1"/>
  <c r="Z111" i="12"/>
  <c r="AA111" i="12" s="1"/>
  <c r="Y397" i="12"/>
  <c r="Y389" i="12"/>
  <c r="Y388" i="12"/>
  <c r="Y386" i="12"/>
  <c r="Y385" i="12"/>
  <c r="Y355" i="12"/>
  <c r="Y348" i="12"/>
  <c r="Y380" i="12" s="1"/>
  <c r="Y315" i="12"/>
  <c r="Y303" i="12"/>
  <c r="Y271" i="12"/>
  <c r="Y265" i="12"/>
  <c r="Z113" i="12" l="1"/>
  <c r="Z109" i="12" s="1"/>
  <c r="Z364" i="12" s="1"/>
  <c r="Y88" i="12"/>
  <c r="Y141" i="12" s="1"/>
  <c r="Y89" i="12"/>
  <c r="Y142" i="12" s="1"/>
  <c r="Y203" i="12"/>
  <c r="Y248" i="12" s="1"/>
  <c r="Y288" i="12" s="1"/>
  <c r="AK244" i="2"/>
  <c r="AL242" i="2"/>
  <c r="AF243" i="2"/>
  <c r="AE243" i="2"/>
  <c r="AB284" i="6"/>
  <c r="AB281" i="6" s="1"/>
  <c r="AB293" i="6" s="1"/>
  <c r="AB172" i="2"/>
  <c r="AB249" i="2" s="1"/>
  <c r="AB167" i="2"/>
  <c r="AB253" i="2" s="1"/>
  <c r="AB306" i="6"/>
  <c r="AB303" i="6" s="1"/>
  <c r="AB315" i="6" s="1"/>
  <c r="Y90" i="12"/>
  <c r="Y143" i="12" s="1"/>
  <c r="AA116" i="12"/>
  <c r="AA131" i="12"/>
  <c r="AA150" i="12"/>
  <c r="AA184" i="12"/>
  <c r="AA192" i="12"/>
  <c r="Z203" i="12"/>
  <c r="Z248" i="12" s="1"/>
  <c r="Z288" i="12" s="1"/>
  <c r="Z299" i="6" s="1"/>
  <c r="AA230" i="12"/>
  <c r="AA203" i="12" s="1"/>
  <c r="AA248" i="12" s="1"/>
  <c r="AA288" i="12" s="1"/>
  <c r="AA149" i="12"/>
  <c r="AA176" i="12"/>
  <c r="Z202" i="12"/>
  <c r="AA229" i="12"/>
  <c r="AA202" i="12" s="1"/>
  <c r="AA365" i="12"/>
  <c r="Z200" i="12"/>
  <c r="AA227" i="12"/>
  <c r="Z205" i="12"/>
  <c r="AA232" i="12"/>
  <c r="AA205" i="12" s="1"/>
  <c r="AA148" i="12"/>
  <c r="AA152" i="12"/>
  <c r="Z201" i="12"/>
  <c r="AA228" i="12"/>
  <c r="AA201" i="12" s="1"/>
  <c r="Z204" i="12"/>
  <c r="AA231" i="12"/>
  <c r="AA204" i="12" s="1"/>
  <c r="Y91" i="12"/>
  <c r="Y144" i="12" s="1"/>
  <c r="Y370" i="12" s="1"/>
  <c r="Y259" i="6" s="1"/>
  <c r="Z95" i="12"/>
  <c r="Z423" i="12" s="1"/>
  <c r="Y87" i="12"/>
  <c r="Y140" i="12" s="1"/>
  <c r="Y366" i="12" s="1"/>
  <c r="Y255" i="6" s="1"/>
  <c r="Z152" i="12"/>
  <c r="Z149" i="12"/>
  <c r="Z116" i="12"/>
  <c r="Z131" i="12"/>
  <c r="Z150" i="12"/>
  <c r="Z184" i="12"/>
  <c r="Z192" i="12"/>
  <c r="Y426" i="12"/>
  <c r="AF432" i="12" s="1"/>
  <c r="Z98" i="12"/>
  <c r="Z215" i="6"/>
  <c r="Z176" i="12"/>
  <c r="Y427" i="12"/>
  <c r="AF433" i="12" s="1"/>
  <c r="Z99" i="12"/>
  <c r="Y424" i="12"/>
  <c r="AF430" i="12" s="1"/>
  <c r="Z96" i="12"/>
  <c r="Z365" i="12"/>
  <c r="Y216" i="6"/>
  <c r="Z174" i="12"/>
  <c r="AA174" i="12" s="1"/>
  <c r="Y201" i="12"/>
  <c r="Y425" i="12"/>
  <c r="AF431" i="12" s="1"/>
  <c r="Z97" i="12"/>
  <c r="Z148" i="12"/>
  <c r="Z226" i="12"/>
  <c r="Z199" i="12" s="1"/>
  <c r="Y423" i="12"/>
  <c r="AF429" i="12" s="1"/>
  <c r="Y422" i="12"/>
  <c r="AF428" i="12" s="1"/>
  <c r="Y215" i="6"/>
  <c r="Y342" i="12"/>
  <c r="Y378" i="12" s="1"/>
  <c r="Y384" i="12"/>
  <c r="Y390" i="12" s="1"/>
  <c r="Y387" i="12" s="1"/>
  <c r="Y365" i="12"/>
  <c r="Y93" i="6" s="1"/>
  <c r="Z93" i="6" s="1"/>
  <c r="AA93" i="6" s="1"/>
  <c r="Y192" i="12"/>
  <c r="Y262" i="12"/>
  <c r="Y204" i="12"/>
  <c r="Y202" i="12"/>
  <c r="Y200" i="12"/>
  <c r="Y152" i="12"/>
  <c r="Y116" i="12"/>
  <c r="Y131" i="12"/>
  <c r="Y151" i="12"/>
  <c r="Y170" i="12"/>
  <c r="Y176" i="12"/>
  <c r="Y148" i="12"/>
  <c r="Y149" i="12"/>
  <c r="Y94" i="12"/>
  <c r="Y109" i="12"/>
  <c r="Y364" i="12" s="1"/>
  <c r="Y150" i="12"/>
  <c r="Y184" i="12"/>
  <c r="AA113" i="12" l="1"/>
  <c r="Z170" i="12"/>
  <c r="AK242" i="2"/>
  <c r="AL244" i="2"/>
  <c r="AF242" i="2"/>
  <c r="AF244" i="2"/>
  <c r="AE244" i="2"/>
  <c r="AE242" i="2"/>
  <c r="Z277" i="6"/>
  <c r="Z90" i="12"/>
  <c r="Z143" i="12" s="1"/>
  <c r="AA98" i="12"/>
  <c r="AA426" i="12" s="1"/>
  <c r="Z87" i="12"/>
  <c r="Z140" i="12" s="1"/>
  <c r="AA95" i="12"/>
  <c r="AA226" i="12"/>
  <c r="AA199" i="12" s="1"/>
  <c r="AA200" i="12"/>
  <c r="AA151" i="12"/>
  <c r="AA147" i="12" s="1"/>
  <c r="AA216" i="6"/>
  <c r="Z88" i="12"/>
  <c r="Z141" i="12" s="1"/>
  <c r="AA96" i="12"/>
  <c r="AA424" i="12" s="1"/>
  <c r="AA170" i="12"/>
  <c r="AA199" i="6"/>
  <c r="AA84" i="6"/>
  <c r="AA96" i="6" s="1"/>
  <c r="Z89" i="12"/>
  <c r="Z142" i="12" s="1"/>
  <c r="AA97" i="12"/>
  <c r="AA425" i="12" s="1"/>
  <c r="AA299" i="6"/>
  <c r="Z91" i="12"/>
  <c r="Z144" i="12" s="1"/>
  <c r="AA99" i="12"/>
  <c r="AA427" i="12" s="1"/>
  <c r="Y86" i="12"/>
  <c r="Y367" i="12"/>
  <c r="Y256" i="6" s="1"/>
  <c r="Z94" i="12"/>
  <c r="Z216" i="6"/>
  <c r="Z151" i="12"/>
  <c r="Z147" i="12" s="1"/>
  <c r="Z424" i="12"/>
  <c r="Z426" i="12"/>
  <c r="Z425" i="12"/>
  <c r="Z422" i="12"/>
  <c r="Z427" i="12"/>
  <c r="Z199" i="6"/>
  <c r="Z84" i="6"/>
  <c r="Z96" i="6" s="1"/>
  <c r="Y199" i="6"/>
  <c r="Y84" i="6"/>
  <c r="Y96" i="6" s="1"/>
  <c r="Y277" i="6"/>
  <c r="Y299" i="6"/>
  <c r="Y321" i="12"/>
  <c r="Y249" i="12"/>
  <c r="Y369" i="12"/>
  <c r="Y258" i="6" s="1"/>
  <c r="Y247" i="12"/>
  <c r="Y246" i="12"/>
  <c r="Y245" i="12"/>
  <c r="Y261" i="12"/>
  <c r="Y139" i="12"/>
  <c r="Y363" i="12" s="1"/>
  <c r="Y362" i="12" s="1"/>
  <c r="Y368" i="12"/>
  <c r="Y257" i="6" s="1"/>
  <c r="Y155" i="12"/>
  <c r="Y405" i="12"/>
  <c r="Y147" i="12"/>
  <c r="AA109" i="12" l="1"/>
  <c r="AA364" i="12" s="1"/>
  <c r="AA215" i="6"/>
  <c r="AA277" i="6"/>
  <c r="AA423" i="12"/>
  <c r="AA422" i="12"/>
  <c r="Z86" i="12"/>
  <c r="Y406" i="12"/>
  <c r="AA91" i="12"/>
  <c r="AA144" i="12" s="1"/>
  <c r="AA197" i="6"/>
  <c r="AA196" i="6" s="1"/>
  <c r="AA112" i="6"/>
  <c r="AA88" i="12"/>
  <c r="AA141" i="12" s="1"/>
  <c r="AA87" i="12"/>
  <c r="AA94" i="12"/>
  <c r="AA89" i="12"/>
  <c r="AA142" i="12" s="1"/>
  <c r="AA90" i="12"/>
  <c r="AA143" i="12" s="1"/>
  <c r="Z368" i="12"/>
  <c r="Z409" i="12" s="1"/>
  <c r="Z247" i="12"/>
  <c r="Z287" i="12" s="1"/>
  <c r="Z296" i="12" s="1"/>
  <c r="Z366" i="12"/>
  <c r="Z245" i="12"/>
  <c r="Z370" i="12"/>
  <c r="Z259" i="6" s="1"/>
  <c r="Z250" i="12"/>
  <c r="Z290" i="12" s="1"/>
  <c r="Z298" i="12" s="1"/>
  <c r="Z139" i="12"/>
  <c r="Z249" i="12"/>
  <c r="Z289" i="12" s="1"/>
  <c r="Z297" i="12" s="1"/>
  <c r="Z369" i="12"/>
  <c r="Z258" i="6" s="1"/>
  <c r="Z246" i="12"/>
  <c r="Z286" i="12" s="1"/>
  <c r="Z295" i="12" s="1"/>
  <c r="Z367" i="12"/>
  <c r="Z197" i="6"/>
  <c r="Z196" i="6" s="1"/>
  <c r="Z253" i="6" s="1"/>
  <c r="Z112" i="6"/>
  <c r="Z119" i="6" s="1"/>
  <c r="Z121" i="6" s="1"/>
  <c r="Y404" i="12"/>
  <c r="Y254" i="6"/>
  <c r="Y112" i="6"/>
  <c r="Y197" i="6"/>
  <c r="Y196" i="6" s="1"/>
  <c r="Y287" i="12"/>
  <c r="Y296" i="12" s="1"/>
  <c r="Y285" i="12"/>
  <c r="Y289" i="12"/>
  <c r="Y297" i="12" s="1"/>
  <c r="Y286" i="12"/>
  <c r="Y295" i="12" s="1"/>
  <c r="Y396" i="12"/>
  <c r="Y377" i="12"/>
  <c r="Y414" i="12"/>
  <c r="Y408" i="12"/>
  <c r="Y420" i="12"/>
  <c r="Y409" i="12"/>
  <c r="Y407" i="12"/>
  <c r="U120" i="6"/>
  <c r="U118" i="6"/>
  <c r="U113" i="6"/>
  <c r="U102" i="6"/>
  <c r="U91" i="6"/>
  <c r="U89" i="6"/>
  <c r="Y417" i="12" l="1"/>
  <c r="Y294" i="12"/>
  <c r="AA247" i="12"/>
  <c r="AA287" i="12" s="1"/>
  <c r="AA296" i="12" s="1"/>
  <c r="AA368" i="12"/>
  <c r="AA140" i="12"/>
  <c r="AA86" i="12"/>
  <c r="AA205" i="6"/>
  <c r="AA204" i="6" s="1"/>
  <c r="AA119" i="6"/>
  <c r="AA121" i="6" s="1"/>
  <c r="AA249" i="12"/>
  <c r="AA289" i="12" s="1"/>
  <c r="AA297" i="12" s="1"/>
  <c r="AA369" i="12"/>
  <c r="AA258" i="6" s="1"/>
  <c r="AA246" i="12"/>
  <c r="AA286" i="12" s="1"/>
  <c r="AA295" i="12" s="1"/>
  <c r="AA367" i="12"/>
  <c r="AA406" i="12" s="1"/>
  <c r="AA253" i="6"/>
  <c r="AA247" i="6"/>
  <c r="AA370" i="12"/>
  <c r="AA259" i="6" s="1"/>
  <c r="AA250" i="12"/>
  <c r="AA290" i="12" s="1"/>
  <c r="AA298" i="12" s="1"/>
  <c r="Z363" i="12"/>
  <c r="Z362" i="12" s="1"/>
  <c r="Z404" i="12" s="1"/>
  <c r="Z247" i="6"/>
  <c r="Z218" i="6"/>
  <c r="Z249" i="6"/>
  <c r="Z297" i="6"/>
  <c r="Z418" i="12"/>
  <c r="Z301" i="6"/>
  <c r="Z279" i="6"/>
  <c r="Z298" i="6"/>
  <c r="Z419" i="12"/>
  <c r="Z420" i="12"/>
  <c r="Z408" i="12"/>
  <c r="Z257" i="6"/>
  <c r="Z407" i="12"/>
  <c r="Z414" i="12"/>
  <c r="Y418" i="12"/>
  <c r="Z421" i="12"/>
  <c r="Z300" i="6"/>
  <c r="Z285" i="12"/>
  <c r="Z294" i="12" s="1"/>
  <c r="Z244" i="12"/>
  <c r="Z376" i="12" s="1"/>
  <c r="Z375" i="12" s="1"/>
  <c r="Z395" i="12" s="1"/>
  <c r="Z394" i="12" s="1"/>
  <c r="Z393" i="12" s="1"/>
  <c r="Z391" i="12" s="1"/>
  <c r="Z256" i="6"/>
  <c r="Z406" i="12"/>
  <c r="Z405" i="12"/>
  <c r="Z255" i="6"/>
  <c r="Z205" i="6"/>
  <c r="Z204" i="6" s="1"/>
  <c r="Z272" i="6" s="1"/>
  <c r="Y419" i="12"/>
  <c r="Y421" i="12"/>
  <c r="Y296" i="6"/>
  <c r="Y274" i="6"/>
  <c r="Y276" i="6"/>
  <c r="Y298" i="6"/>
  <c r="Y275" i="6"/>
  <c r="Y297" i="6"/>
  <c r="Y247" i="6"/>
  <c r="Y253" i="6"/>
  <c r="Y278" i="6"/>
  <c r="Y300" i="6"/>
  <c r="Y205" i="6"/>
  <c r="Y204" i="6" s="1"/>
  <c r="Y119" i="6"/>
  <c r="Y121" i="6" s="1"/>
  <c r="AA409" i="12" l="1"/>
  <c r="AA407" i="12"/>
  <c r="AA408" i="12"/>
  <c r="AA420" i="12"/>
  <c r="AA414" i="12"/>
  <c r="AA418" i="12"/>
  <c r="AA419" i="12"/>
  <c r="AA421" i="12"/>
  <c r="AA300" i="6"/>
  <c r="AA415" i="12"/>
  <c r="AA256" i="6"/>
  <c r="AA366" i="12"/>
  <c r="AA405" i="12" s="1"/>
  <c r="AA245" i="12"/>
  <c r="AA139" i="12"/>
  <c r="AA363" i="12" s="1"/>
  <c r="AA362" i="12" s="1"/>
  <c r="AA404" i="12" s="1"/>
  <c r="AA279" i="6"/>
  <c r="AA301" i="6"/>
  <c r="AA297" i="6"/>
  <c r="AA412" i="12"/>
  <c r="AA218" i="6"/>
  <c r="AA217" i="6" s="1"/>
  <c r="AA294" i="6"/>
  <c r="AA249" i="6"/>
  <c r="AA257" i="6"/>
  <c r="AA122" i="6"/>
  <c r="AA248" i="6" s="1"/>
  <c r="AA236" i="6"/>
  <c r="AA235" i="6" s="1"/>
  <c r="AA234" i="6" s="1"/>
  <c r="AA272" i="6"/>
  <c r="AA298" i="6"/>
  <c r="AA413" i="12"/>
  <c r="Z254" i="6"/>
  <c r="Z415" i="12"/>
  <c r="Z278" i="6"/>
  <c r="Z296" i="6"/>
  <c r="Z295" i="6" s="1"/>
  <c r="Z417" i="12"/>
  <c r="Z284" i="12"/>
  <c r="Z413" i="12"/>
  <c r="Z276" i="6"/>
  <c r="Z412" i="12"/>
  <c r="Z275" i="6"/>
  <c r="Z217" i="6"/>
  <c r="Z294" i="6"/>
  <c r="Z122" i="6"/>
  <c r="Z248" i="6" s="1"/>
  <c r="Z236" i="6"/>
  <c r="Z235" i="6" s="1"/>
  <c r="Z234" i="6" s="1"/>
  <c r="Y294" i="6"/>
  <c r="Y249" i="6"/>
  <c r="Y218" i="6"/>
  <c r="Y217" i="6" s="1"/>
  <c r="Y122" i="6"/>
  <c r="Y248" i="6" s="1"/>
  <c r="Y236" i="6"/>
  <c r="Y235" i="6" s="1"/>
  <c r="Y234" i="6" s="1"/>
  <c r="Y272" i="6"/>
  <c r="U345" i="12"/>
  <c r="U166" i="12" s="1"/>
  <c r="U344" i="12"/>
  <c r="U165" i="12" s="1"/>
  <c r="U343" i="12"/>
  <c r="U164" i="12" s="1"/>
  <c r="U335" i="12"/>
  <c r="U332" i="12"/>
  <c r="U319" i="12"/>
  <c r="U320" i="12"/>
  <c r="U318" i="12"/>
  <c r="U317" i="12"/>
  <c r="U316" i="12"/>
  <c r="AA276" i="6" l="1"/>
  <c r="AA285" i="12"/>
  <c r="AA244" i="12"/>
  <c r="AA376" i="12" s="1"/>
  <c r="AA375" i="12" s="1"/>
  <c r="AA395" i="12" s="1"/>
  <c r="AA394" i="12" s="1"/>
  <c r="AA393" i="12" s="1"/>
  <c r="AA391" i="12" s="1"/>
  <c r="AA278" i="6"/>
  <c r="AA255" i="6"/>
  <c r="AA254" i="6" s="1"/>
  <c r="AA275" i="6"/>
  <c r="Z416" i="12"/>
  <c r="Z315" i="6"/>
  <c r="Z411" i="12"/>
  <c r="Z410" i="12"/>
  <c r="Z274" i="6"/>
  <c r="X303" i="12"/>
  <c r="AA417" i="12" l="1"/>
  <c r="AA294" i="12"/>
  <c r="AF402" i="12"/>
  <c r="AA284" i="12"/>
  <c r="AA296" i="6"/>
  <c r="AA295" i="6" s="1"/>
  <c r="AA315" i="6" s="1"/>
  <c r="AA411" i="12"/>
  <c r="Z273" i="6"/>
  <c r="X207" i="6"/>
  <c r="U175" i="6"/>
  <c r="X208" i="12"/>
  <c r="AF403" i="12" l="1"/>
  <c r="AF401" i="12"/>
  <c r="AA416" i="12"/>
  <c r="AA410" i="12"/>
  <c r="AA274" i="6"/>
  <c r="AA273" i="6" s="1"/>
  <c r="AA293" i="6" s="1"/>
  <c r="X187" i="6" l="1"/>
  <c r="U187" i="6" l="1"/>
  <c r="X311" i="6" l="1"/>
  <c r="X310" i="6" l="1"/>
  <c r="X309" i="6"/>
  <c r="X308" i="6" l="1"/>
  <c r="X313" i="6"/>
  <c r="X258" i="2" l="1"/>
  <c r="X257" i="2" l="1"/>
  <c r="X259" i="2" l="1"/>
  <c r="X306" i="6" l="1"/>
  <c r="X307" i="6"/>
  <c r="X304" i="6" l="1"/>
  <c r="X305" i="6" l="1"/>
  <c r="X303" i="6" s="1"/>
  <c r="U347" i="12" l="1"/>
  <c r="U168" i="12" s="1"/>
  <c r="U346" i="12"/>
  <c r="U167" i="12" s="1"/>
  <c r="U353" i="12"/>
  <c r="U163" i="12" l="1"/>
  <c r="X324" i="12"/>
  <c r="U338" i="12" l="1"/>
  <c r="U230" i="12"/>
  <c r="U223" i="12"/>
  <c r="U221" i="12"/>
  <c r="X131" i="12"/>
  <c r="X323" i="12" l="1"/>
  <c r="X87" i="12"/>
  <c r="X203" i="12"/>
  <c r="X248" i="12" s="1"/>
  <c r="X288" i="12" s="1"/>
  <c r="X299" i="6" s="1"/>
  <c r="X200" i="12"/>
  <c r="X205" i="12"/>
  <c r="X201" i="12"/>
  <c r="X202" i="12"/>
  <c r="X192" i="12"/>
  <c r="X204" i="12"/>
  <c r="X327" i="12"/>
  <c r="X322" i="12"/>
  <c r="X85" i="12"/>
  <c r="W85" i="12"/>
  <c r="X183" i="6"/>
  <c r="U183" i="6" s="1"/>
  <c r="X182" i="6"/>
  <c r="U182" i="6" s="1"/>
  <c r="X181" i="6"/>
  <c r="U181" i="6" s="1"/>
  <c r="X179" i="6"/>
  <c r="U373" i="12"/>
  <c r="X374" i="12"/>
  <c r="X348" i="12"/>
  <c r="X380" i="12" s="1"/>
  <c r="X342" i="12"/>
  <c r="X378" i="12" s="1"/>
  <c r="X339" i="12"/>
  <c r="X336" i="12"/>
  <c r="X333" i="12"/>
  <c r="X330" i="12"/>
  <c r="X315" i="12"/>
  <c r="X274" i="12"/>
  <c r="X271" i="12"/>
  <c r="X268" i="12"/>
  <c r="X265" i="12"/>
  <c r="X262" i="12"/>
  <c r="X253" i="12"/>
  <c r="X226" i="12"/>
  <c r="X217" i="12"/>
  <c r="X184" i="12"/>
  <c r="X176" i="12"/>
  <c r="X170" i="12"/>
  <c r="X150" i="12"/>
  <c r="X155" i="12"/>
  <c r="X152" i="12"/>
  <c r="X151" i="12"/>
  <c r="X148" i="12"/>
  <c r="X116" i="12"/>
  <c r="X427" i="12"/>
  <c r="AE433" i="12" s="1"/>
  <c r="X426" i="12"/>
  <c r="AE432" i="12" s="1"/>
  <c r="U358" i="12"/>
  <c r="U342" i="12"/>
  <c r="U378" i="12" s="1"/>
  <c r="U303" i="12"/>
  <c r="U374" i="12"/>
  <c r="U99" i="6"/>
  <c r="X203" i="6"/>
  <c r="X202" i="6"/>
  <c r="U230" i="6"/>
  <c r="U229" i="6"/>
  <c r="X291" i="6"/>
  <c r="X289" i="6"/>
  <c r="X288" i="6"/>
  <c r="X287" i="6"/>
  <c r="X285" i="6"/>
  <c r="X284" i="6"/>
  <c r="X283" i="6"/>
  <c r="X282" i="6"/>
  <c r="X270" i="6"/>
  <c r="X268" i="6"/>
  <c r="X267" i="6"/>
  <c r="X266" i="6"/>
  <c r="X264" i="6"/>
  <c r="X263" i="6"/>
  <c r="X262" i="6"/>
  <c r="X261" i="6"/>
  <c r="X216" i="6"/>
  <c r="X214" i="6"/>
  <c r="X213" i="6"/>
  <c r="X194" i="6"/>
  <c r="U194" i="6" s="1"/>
  <c r="X193" i="6"/>
  <c r="U193" i="6" s="1"/>
  <c r="X192" i="6"/>
  <c r="U192" i="6" s="1"/>
  <c r="X191" i="6"/>
  <c r="U191" i="6" s="1"/>
  <c r="X190" i="6"/>
  <c r="U190" i="6" s="1"/>
  <c r="X188" i="6"/>
  <c r="U188" i="6" s="1"/>
  <c r="X186" i="6"/>
  <c r="U186" i="6" s="1"/>
  <c r="X185" i="6"/>
  <c r="X161" i="6"/>
  <c r="X157" i="6"/>
  <c r="X152" i="6"/>
  <c r="X150" i="6"/>
  <c r="X148" i="6"/>
  <c r="X147" i="6"/>
  <c r="X145" i="6"/>
  <c r="X144" i="6"/>
  <c r="X141" i="6"/>
  <c r="X140" i="6"/>
  <c r="X139" i="6"/>
  <c r="X134" i="6"/>
  <c r="X133" i="6"/>
  <c r="X132" i="6"/>
  <c r="X130" i="6"/>
  <c r="X129" i="6"/>
  <c r="X128" i="6"/>
  <c r="X127" i="6" s="1"/>
  <c r="X199" i="6"/>
  <c r="X83" i="6"/>
  <c r="X230" i="6"/>
  <c r="U268" i="6"/>
  <c r="U213" i="6"/>
  <c r="U207" i="6"/>
  <c r="U161" i="6"/>
  <c r="U157" i="6"/>
  <c r="U152" i="6"/>
  <c r="U150" i="6"/>
  <c r="U148" i="6"/>
  <c r="U147" i="6"/>
  <c r="U145" i="6"/>
  <c r="U144" i="6"/>
  <c r="U141" i="6"/>
  <c r="U140" i="6"/>
  <c r="U139" i="6"/>
  <c r="U134" i="6"/>
  <c r="U133" i="6"/>
  <c r="U132" i="6"/>
  <c r="U130" i="6"/>
  <c r="U129" i="6"/>
  <c r="U128" i="6"/>
  <c r="U151" i="6" l="1"/>
  <c r="X151" i="6"/>
  <c r="X131" i="6"/>
  <c r="U131" i="6"/>
  <c r="X321" i="12"/>
  <c r="X260" i="6"/>
  <c r="U359" i="12"/>
  <c r="X373" i="12"/>
  <c r="U360" i="12"/>
  <c r="U185" i="6"/>
  <c r="X184" i="6"/>
  <c r="U184" i="6" s="1"/>
  <c r="X91" i="12"/>
  <c r="X144" i="12" s="1"/>
  <c r="U179" i="6"/>
  <c r="X88" i="12"/>
  <c r="X238" i="6"/>
  <c r="X208" i="6"/>
  <c r="U357" i="12"/>
  <c r="X180" i="6"/>
  <c r="U180" i="6" s="1"/>
  <c r="X89" i="12"/>
  <c r="X142" i="12" s="1"/>
  <c r="X247" i="12" s="1"/>
  <c r="X90" i="12"/>
  <c r="X143" i="12" s="1"/>
  <c r="X249" i="12" s="1"/>
  <c r="X289" i="12" s="1"/>
  <c r="X297" i="12" s="1"/>
  <c r="X286" i="6"/>
  <c r="X265" i="6"/>
  <c r="X189" i="6"/>
  <c r="U189" i="6" s="1"/>
  <c r="X281" i="6"/>
  <c r="U388" i="12"/>
  <c r="U356" i="12"/>
  <c r="U372" i="12"/>
  <c r="U371" i="12" s="1"/>
  <c r="U386" i="12"/>
  <c r="X386" i="12"/>
  <c r="X365" i="12"/>
  <c r="X425" i="12"/>
  <c r="X355" i="12"/>
  <c r="X215" i="6"/>
  <c r="U203" i="6"/>
  <c r="U202" i="6"/>
  <c r="X372" i="12"/>
  <c r="X108" i="6"/>
  <c r="X115" i="6"/>
  <c r="X171" i="6"/>
  <c r="X114" i="6" s="1"/>
  <c r="X229" i="6"/>
  <c r="X227" i="6"/>
  <c r="X201" i="6"/>
  <c r="X200" i="6" s="1"/>
  <c r="X389" i="12"/>
  <c r="X84" i="6"/>
  <c r="X96" i="6" s="1"/>
  <c r="X197" i="6" s="1"/>
  <c r="X109" i="12"/>
  <c r="X364" i="12" s="1"/>
  <c r="X140" i="12"/>
  <c r="X423" i="12"/>
  <c r="X94" i="12"/>
  <c r="X388" i="12"/>
  <c r="X385" i="12"/>
  <c r="X277" i="6"/>
  <c r="X261" i="12"/>
  <c r="U127" i="6"/>
  <c r="X199" i="12"/>
  <c r="X424" i="12"/>
  <c r="X397" i="12"/>
  <c r="U315" i="12"/>
  <c r="X422" i="12"/>
  <c r="X149" i="12"/>
  <c r="X147" i="12" s="1"/>
  <c r="X97" i="6"/>
  <c r="X226" i="6"/>
  <c r="X198" i="6"/>
  <c r="X168" i="6"/>
  <c r="U226" i="6"/>
  <c r="AE242" i="6" l="1"/>
  <c r="AE430" i="12"/>
  <c r="AE428" i="12"/>
  <c r="AE429" i="12"/>
  <c r="AB245" i="6"/>
  <c r="AE245" i="6"/>
  <c r="AB242" i="6"/>
  <c r="AE431" i="12"/>
  <c r="U355" i="12"/>
  <c r="X371" i="12"/>
  <c r="X369" i="12"/>
  <c r="X258" i="6" s="1"/>
  <c r="X196" i="6"/>
  <c r="X86" i="12"/>
  <c r="X178" i="6"/>
  <c r="X300" i="6"/>
  <c r="X112" i="6"/>
  <c r="X205" i="6" s="1"/>
  <c r="U389" i="12"/>
  <c r="U201" i="6"/>
  <c r="U200" i="6" s="1"/>
  <c r="U385" i="12"/>
  <c r="U384" i="12" s="1"/>
  <c r="U390" i="12" s="1"/>
  <c r="AE403" i="12"/>
  <c r="X250" i="12"/>
  <c r="X290" i="12" s="1"/>
  <c r="X298" i="12" s="1"/>
  <c r="X370" i="12"/>
  <c r="X259" i="6" s="1"/>
  <c r="X384" i="12"/>
  <c r="X390" i="12" s="1"/>
  <c r="X387" i="12" s="1"/>
  <c r="U227" i="6"/>
  <c r="U225" i="6" s="1"/>
  <c r="U231" i="6" s="1"/>
  <c r="U228" i="6" s="1"/>
  <c r="AE244" i="6"/>
  <c r="X141" i="12"/>
  <c r="X246" i="12" s="1"/>
  <c r="X368" i="12"/>
  <c r="X287" i="12"/>
  <c r="X296" i="12" s="1"/>
  <c r="X225" i="6"/>
  <c r="X231" i="6" s="1"/>
  <c r="X228" i="6" s="1"/>
  <c r="X237" i="6"/>
  <c r="X206" i="6"/>
  <c r="W374" i="12"/>
  <c r="W315" i="12"/>
  <c r="W303" i="12"/>
  <c r="T230" i="12"/>
  <c r="T223" i="12"/>
  <c r="T221" i="12"/>
  <c r="T175" i="6"/>
  <c r="T118" i="6"/>
  <c r="T113" i="6"/>
  <c r="T102" i="6"/>
  <c r="T99" i="6"/>
  <c r="T91" i="6"/>
  <c r="T89" i="6"/>
  <c r="U173" i="6"/>
  <c r="U170" i="6"/>
  <c r="U169" i="6"/>
  <c r="T116" i="6"/>
  <c r="U110" i="6"/>
  <c r="T78" i="6"/>
  <c r="T76" i="6"/>
  <c r="T75" i="6"/>
  <c r="T73" i="6"/>
  <c r="T72" i="6"/>
  <c r="T71" i="6"/>
  <c r="T70" i="6"/>
  <c r="T65" i="6"/>
  <c r="T59" i="6"/>
  <c r="AA51" i="4"/>
  <c r="A59" i="6" s="1"/>
  <c r="T58" i="6"/>
  <c r="T53" i="6"/>
  <c r="T62" i="6"/>
  <c r="T61" i="6"/>
  <c r="T57" i="6"/>
  <c r="T56" i="6"/>
  <c r="T55" i="6"/>
  <c r="T54" i="6"/>
  <c r="T51" i="6"/>
  <c r="T48" i="6"/>
  <c r="T46" i="6"/>
  <c r="T45" i="6"/>
  <c r="T44" i="6"/>
  <c r="T43" i="6"/>
  <c r="T42" i="6"/>
  <c r="T41" i="6"/>
  <c r="T40" i="6"/>
  <c r="T39" i="6"/>
  <c r="T38" i="6"/>
  <c r="T37" i="6"/>
  <c r="T36" i="6"/>
  <c r="T34" i="6"/>
  <c r="T33" i="6"/>
  <c r="T28" i="6"/>
  <c r="T25" i="6"/>
  <c r="T22" i="6"/>
  <c r="T16" i="6"/>
  <c r="T19" i="6"/>
  <c r="T18" i="6"/>
  <c r="AA16" i="4"/>
  <c r="A16" i="6" s="1"/>
  <c r="T15" i="6"/>
  <c r="T14" i="6"/>
  <c r="T13" i="6"/>
  <c r="T12" i="6"/>
  <c r="T11" i="6"/>
  <c r="T9" i="6"/>
  <c r="W213" i="6"/>
  <c r="W207" i="6"/>
  <c r="W193" i="6"/>
  <c r="W192" i="6"/>
  <c r="W182" i="6"/>
  <c r="W181" i="6"/>
  <c r="W180" i="6"/>
  <c r="W179" i="6"/>
  <c r="W161" i="6"/>
  <c r="W157" i="6"/>
  <c r="W152" i="6"/>
  <c r="W150" i="6"/>
  <c r="W148" i="6"/>
  <c r="W147" i="6"/>
  <c r="W145" i="6"/>
  <c r="W144" i="6"/>
  <c r="W141" i="6"/>
  <c r="W140" i="6"/>
  <c r="W139" i="6"/>
  <c r="W134" i="6"/>
  <c r="W133" i="6"/>
  <c r="W132" i="6"/>
  <c r="W130" i="6"/>
  <c r="W129" i="6"/>
  <c r="W128" i="6"/>
  <c r="W83" i="6"/>
  <c r="W67" i="6" l="1"/>
  <c r="T67" i="6" s="1"/>
  <c r="T68" i="6"/>
  <c r="W229" i="6"/>
  <c r="T26" i="6"/>
  <c r="W230" i="6"/>
  <c r="T27" i="6"/>
  <c r="T32" i="6"/>
  <c r="W31" i="6"/>
  <c r="W227" i="6" s="1"/>
  <c r="W7" i="6"/>
  <c r="T7" i="6" s="1"/>
  <c r="T8" i="6"/>
  <c r="T50" i="6"/>
  <c r="W49" i="6"/>
  <c r="T49" i="6" s="1"/>
  <c r="T24" i="6"/>
  <c r="W23" i="6"/>
  <c r="X119" i="6"/>
  <c r="X121" i="6" s="1"/>
  <c r="X249" i="6" s="1"/>
  <c r="AE402" i="12"/>
  <c r="AE401" i="12"/>
  <c r="AB244" i="6"/>
  <c r="AB246" i="6"/>
  <c r="AE246" i="6"/>
  <c r="U387" i="12"/>
  <c r="W151" i="6"/>
  <c r="T90" i="6"/>
  <c r="U90" i="6"/>
  <c r="T95" i="6"/>
  <c r="U95" i="6"/>
  <c r="T103" i="6"/>
  <c r="U103" i="6"/>
  <c r="T107" i="6"/>
  <c r="U107" i="6"/>
  <c r="U116" i="6"/>
  <c r="T172" i="6"/>
  <c r="U172" i="6"/>
  <c r="T92" i="6"/>
  <c r="U92" i="6"/>
  <c r="T98" i="6"/>
  <c r="U98" i="6"/>
  <c r="T104" i="6"/>
  <c r="U104" i="6"/>
  <c r="T117" i="6"/>
  <c r="U117" i="6"/>
  <c r="T85" i="6"/>
  <c r="U85" i="6"/>
  <c r="T94" i="6"/>
  <c r="U94" i="6"/>
  <c r="T100" i="6"/>
  <c r="U100" i="6"/>
  <c r="T105" i="6"/>
  <c r="U105" i="6"/>
  <c r="T111" i="6"/>
  <c r="U111" i="6"/>
  <c r="T169" i="6"/>
  <c r="U168" i="6"/>
  <c r="T174" i="6"/>
  <c r="U174" i="6"/>
  <c r="X177" i="6"/>
  <c r="U178" i="6"/>
  <c r="T88" i="6"/>
  <c r="U88" i="6"/>
  <c r="W199" i="6"/>
  <c r="U93" i="6"/>
  <c r="U199" i="6" s="1"/>
  <c r="T101" i="6"/>
  <c r="U101" i="6"/>
  <c r="T106" i="6"/>
  <c r="U106" i="6"/>
  <c r="T109" i="6"/>
  <c r="U109" i="6"/>
  <c r="T176" i="6"/>
  <c r="U176" i="6"/>
  <c r="X278" i="6"/>
  <c r="X298" i="6"/>
  <c r="X301" i="6"/>
  <c r="X245" i="12"/>
  <c r="X285" i="12" s="1"/>
  <c r="X294" i="12" s="1"/>
  <c r="X366" i="12"/>
  <c r="X255" i="6" s="1"/>
  <c r="X414" i="12"/>
  <c r="X257" i="6"/>
  <c r="W168" i="6"/>
  <c r="W237" i="6" s="1"/>
  <c r="W186" i="6"/>
  <c r="X279" i="6"/>
  <c r="W188" i="6"/>
  <c r="W238" i="6"/>
  <c r="X421" i="12"/>
  <c r="W178" i="6"/>
  <c r="X367" i="12"/>
  <c r="X256" i="6" s="1"/>
  <c r="X139" i="12"/>
  <c r="X419" i="12"/>
  <c r="X407" i="12"/>
  <c r="X409" i="12"/>
  <c r="X408" i="12"/>
  <c r="X420" i="12"/>
  <c r="X396" i="12"/>
  <c r="X377" i="12"/>
  <c r="X204" i="6"/>
  <c r="X253" i="6"/>
  <c r="X247" i="6"/>
  <c r="W108" i="6"/>
  <c r="T170" i="6"/>
  <c r="U238" i="6" s="1"/>
  <c r="W208" i="6"/>
  <c r="W185" i="6"/>
  <c r="W171" i="6"/>
  <c r="W114" i="6" s="1"/>
  <c r="T110" i="6"/>
  <c r="T93" i="6"/>
  <c r="W97" i="6"/>
  <c r="T173" i="6"/>
  <c r="W131" i="6"/>
  <c r="W115" i="6"/>
  <c r="W203" i="6"/>
  <c r="W202" i="6"/>
  <c r="W127" i="6"/>
  <c r="U108" i="6" l="1"/>
  <c r="W201" i="6"/>
  <c r="W200" i="6" s="1"/>
  <c r="T31" i="6"/>
  <c r="W30" i="6"/>
  <c r="T30" i="6" s="1"/>
  <c r="W6" i="6"/>
  <c r="T6" i="6" s="1"/>
  <c r="T23" i="6"/>
  <c r="X218" i="6"/>
  <c r="X217" i="6" s="1"/>
  <c r="X294" i="6"/>
  <c r="U177" i="6"/>
  <c r="W206" i="6"/>
  <c r="U97" i="6"/>
  <c r="U171" i="6"/>
  <c r="U114" i="6" s="1"/>
  <c r="U208" i="6"/>
  <c r="U115" i="6"/>
  <c r="W84" i="6"/>
  <c r="W96" i="6" s="1"/>
  <c r="W112" i="6" s="1"/>
  <c r="W119" i="6" s="1"/>
  <c r="W121" i="6" s="1"/>
  <c r="U87" i="6"/>
  <c r="U198" i="6" s="1"/>
  <c r="X254" i="6"/>
  <c r="X276" i="6"/>
  <c r="X274" i="6"/>
  <c r="X296" i="6"/>
  <c r="X417" i="12"/>
  <c r="X244" i="12"/>
  <c r="X376" i="12" s="1"/>
  <c r="X375" i="12" s="1"/>
  <c r="W184" i="6"/>
  <c r="X405" i="12"/>
  <c r="X363" i="12"/>
  <c r="X362" i="12" s="1"/>
  <c r="X404" i="12" s="1"/>
  <c r="X286" i="12"/>
  <c r="X295" i="12" s="1"/>
  <c r="X406" i="12"/>
  <c r="X122" i="6"/>
  <c r="X248" i="6" s="1"/>
  <c r="X272" i="6"/>
  <c r="X236" i="6"/>
  <c r="X235" i="6" s="1"/>
  <c r="X234" i="6" s="1"/>
  <c r="T87" i="6"/>
  <c r="T84" i="6" s="1"/>
  <c r="W198" i="6"/>
  <c r="W226" i="6"/>
  <c r="W225" i="6" s="1"/>
  <c r="W231" i="6" s="1"/>
  <c r="W228" i="6" s="1"/>
  <c r="T353" i="12"/>
  <c r="T338" i="12"/>
  <c r="T335" i="12"/>
  <c r="T332" i="12"/>
  <c r="T320" i="12"/>
  <c r="T319" i="12"/>
  <c r="T318" i="12"/>
  <c r="T317" i="12"/>
  <c r="T316" i="12"/>
  <c r="AD245" i="6" l="1"/>
  <c r="AD242" i="6"/>
  <c r="AD244" i="6"/>
  <c r="AD246" i="6"/>
  <c r="AA244" i="6"/>
  <c r="AA245" i="6"/>
  <c r="AA246" i="6"/>
  <c r="AA242" i="6"/>
  <c r="W197" i="6"/>
  <c r="W196" i="6" s="1"/>
  <c r="W249" i="6" s="1"/>
  <c r="W218" i="6"/>
  <c r="W217" i="6" s="1"/>
  <c r="U84" i="6"/>
  <c r="U96" i="6" s="1"/>
  <c r="U197" i="6" s="1"/>
  <c r="U196" i="6" s="1"/>
  <c r="U253" i="6" s="1"/>
  <c r="X275" i="6"/>
  <c r="X297" i="6"/>
  <c r="X295" i="6" s="1"/>
  <c r="X315" i="6" s="1"/>
  <c r="X395" i="12"/>
  <c r="X394" i="12" s="1"/>
  <c r="X393" i="12" s="1"/>
  <c r="X391" i="12" s="1"/>
  <c r="U237" i="6"/>
  <c r="U206" i="6"/>
  <c r="X418" i="12"/>
  <c r="X284" i="12"/>
  <c r="W205" i="6"/>
  <c r="W294" i="6"/>
  <c r="U112" i="6" l="1"/>
  <c r="U119" i="6" s="1"/>
  <c r="U121" i="6" s="1"/>
  <c r="U214" i="6"/>
  <c r="T264" i="6"/>
  <c r="X273" i="6"/>
  <c r="X416" i="12"/>
  <c r="W214" i="6"/>
  <c r="W194" i="6"/>
  <c r="W253" i="6"/>
  <c r="W247" i="6"/>
  <c r="U263" i="6" l="1"/>
  <c r="U264" i="6"/>
  <c r="U247" i="6"/>
  <c r="U205" i="6"/>
  <c r="T263" i="6"/>
  <c r="W268" i="6"/>
  <c r="T303" i="12"/>
  <c r="T374" i="12"/>
  <c r="T342" i="12"/>
  <c r="T378" i="12" s="1"/>
  <c r="T315" i="12"/>
  <c r="W136" i="6" l="1"/>
  <c r="U294" i="6"/>
  <c r="U218" i="6"/>
  <c r="U217" i="6" s="1"/>
  <c r="U249" i="6"/>
  <c r="W191" i="6"/>
  <c r="W263" i="6"/>
  <c r="W267" i="6"/>
  <c r="W258" i="2"/>
  <c r="T284" i="6" l="1"/>
  <c r="T306" i="6"/>
  <c r="W313" i="6"/>
  <c r="U267" i="6"/>
  <c r="T285" i="6"/>
  <c r="T307" i="6"/>
  <c r="W190" i="6"/>
  <c r="W189" i="6" s="1"/>
  <c r="W177" i="6" s="1"/>
  <c r="W289" i="6"/>
  <c r="W311" i="6"/>
  <c r="W264" i="6"/>
  <c r="W259" i="2"/>
  <c r="W261" i="6"/>
  <c r="W288" i="6"/>
  <c r="W257" i="2"/>
  <c r="U310" i="6" l="1"/>
  <c r="U266" i="6"/>
  <c r="U265" i="6" s="1"/>
  <c r="T261" i="6"/>
  <c r="W284" i="6"/>
  <c r="W270" i="6"/>
  <c r="W306" i="6"/>
  <c r="W285" i="6"/>
  <c r="W262" i="6"/>
  <c r="W260" i="6" s="1"/>
  <c r="W291" i="6"/>
  <c r="U270" i="6" l="1"/>
  <c r="T262" i="6"/>
  <c r="T260" i="6" s="1"/>
  <c r="U288" i="6"/>
  <c r="U291" i="6"/>
  <c r="U313" i="6"/>
  <c r="U261" i="6"/>
  <c r="U262" i="6"/>
  <c r="W310" i="6"/>
  <c r="W266" i="6"/>
  <c r="W265" i="6" s="1"/>
  <c r="T282" i="6"/>
  <c r="T304" i="6"/>
  <c r="W282" i="6"/>
  <c r="W304" i="6"/>
  <c r="W307" i="6"/>
  <c r="T283" i="6" l="1"/>
  <c r="T281" i="6" s="1"/>
  <c r="U260" i="6"/>
  <c r="W283" i="6"/>
  <c r="W281" i="6" s="1"/>
  <c r="W305" i="6"/>
  <c r="W303" i="6" s="1"/>
  <c r="T360" i="12"/>
  <c r="T359" i="12"/>
  <c r="T358" i="12"/>
  <c r="T357" i="12"/>
  <c r="T356" i="12"/>
  <c r="S315" i="12"/>
  <c r="U212" i="12"/>
  <c r="T305" i="6" l="1"/>
  <c r="AB242" i="2"/>
  <c r="T227" i="12"/>
  <c r="U227" i="12"/>
  <c r="T266" i="12"/>
  <c r="U266" i="12"/>
  <c r="T218" i="12"/>
  <c r="U218" i="12"/>
  <c r="T231" i="12"/>
  <c r="U231" i="12"/>
  <c r="T258" i="12"/>
  <c r="U258" i="12"/>
  <c r="T264" i="12"/>
  <c r="U264" i="12"/>
  <c r="T273" i="12"/>
  <c r="U273" i="12"/>
  <c r="T269" i="12"/>
  <c r="U269" i="12"/>
  <c r="T325" i="12"/>
  <c r="U325" i="12"/>
  <c r="T334" i="12"/>
  <c r="T333" i="12" s="1"/>
  <c r="U334" i="12"/>
  <c r="U333" i="12" s="1"/>
  <c r="T341" i="12"/>
  <c r="U341" i="12"/>
  <c r="T349" i="12"/>
  <c r="U349" i="12"/>
  <c r="T209" i="12"/>
  <c r="U209" i="12"/>
  <c r="T213" i="12"/>
  <c r="U213" i="12"/>
  <c r="T328" i="12"/>
  <c r="U328" i="12"/>
  <c r="T337" i="12"/>
  <c r="T336" i="12" s="1"/>
  <c r="U337" i="12"/>
  <c r="U336" i="12" s="1"/>
  <c r="T351" i="12"/>
  <c r="U351" i="12"/>
  <c r="U287" i="6"/>
  <c r="T220" i="12"/>
  <c r="U220" i="12"/>
  <c r="T232" i="12"/>
  <c r="U232" i="12"/>
  <c r="T275" i="12"/>
  <c r="U275" i="12"/>
  <c r="T219" i="12"/>
  <c r="U219" i="12"/>
  <c r="T228" i="12"/>
  <c r="U228" i="12"/>
  <c r="T256" i="12"/>
  <c r="U256" i="12"/>
  <c r="T257" i="12"/>
  <c r="U257" i="12"/>
  <c r="T267" i="12"/>
  <c r="U267" i="12"/>
  <c r="T276" i="12"/>
  <c r="U276" i="12"/>
  <c r="T210" i="12"/>
  <c r="U210" i="12"/>
  <c r="T214" i="12"/>
  <c r="U214" i="12"/>
  <c r="T329" i="12"/>
  <c r="U329" i="12"/>
  <c r="T326" i="12"/>
  <c r="U326" i="12"/>
  <c r="T350" i="12"/>
  <c r="U350" i="12"/>
  <c r="T254" i="12"/>
  <c r="U254" i="12"/>
  <c r="T222" i="12"/>
  <c r="U222" i="12"/>
  <c r="T229" i="12"/>
  <c r="U229" i="12"/>
  <c r="T255" i="12"/>
  <c r="U255" i="12"/>
  <c r="T263" i="12"/>
  <c r="U263" i="12"/>
  <c r="T272" i="12"/>
  <c r="U272" i="12"/>
  <c r="T270" i="12"/>
  <c r="U270" i="12"/>
  <c r="T211" i="12"/>
  <c r="U211" i="12"/>
  <c r="T331" i="12"/>
  <c r="T330" i="12" s="1"/>
  <c r="U331" i="12"/>
  <c r="U330" i="12" s="1"/>
  <c r="T340" i="12"/>
  <c r="U340" i="12"/>
  <c r="T352" i="12"/>
  <c r="U352" i="12"/>
  <c r="U309" i="6"/>
  <c r="W309" i="6"/>
  <c r="W308" i="6" s="1"/>
  <c r="W287" i="6"/>
  <c r="W286" i="6" s="1"/>
  <c r="T212" i="12"/>
  <c r="T355" i="12"/>
  <c r="W201" i="12"/>
  <c r="W217" i="12"/>
  <c r="W202" i="12"/>
  <c r="W204" i="12"/>
  <c r="W323" i="12"/>
  <c r="W226" i="12"/>
  <c r="W203" i="12"/>
  <c r="W205" i="12"/>
  <c r="W322" i="12"/>
  <c r="W208" i="12"/>
  <c r="W200" i="12"/>
  <c r="U262" i="12" l="1"/>
  <c r="U200" i="12"/>
  <c r="T200" i="12"/>
  <c r="U348" i="12"/>
  <c r="U380" i="12" s="1"/>
  <c r="U205" i="12"/>
  <c r="T268" i="12"/>
  <c r="T262" i="12"/>
  <c r="T253" i="12"/>
  <c r="T323" i="12"/>
  <c r="T397" i="12" s="1"/>
  <c r="T205" i="12"/>
  <c r="T324" i="12"/>
  <c r="T327" i="12"/>
  <c r="T339" i="12"/>
  <c r="T271" i="12"/>
  <c r="T201" i="12"/>
  <c r="U339" i="12"/>
  <c r="U271" i="12"/>
  <c r="T202" i="12"/>
  <c r="T348" i="12"/>
  <c r="T380" i="12" s="1"/>
  <c r="T217" i="12"/>
  <c r="T204" i="12"/>
  <c r="T226" i="12"/>
  <c r="T274" i="12"/>
  <c r="T322" i="12"/>
  <c r="T321" i="12" s="1"/>
  <c r="U217" i="12"/>
  <c r="U323" i="12"/>
  <c r="U397" i="12" s="1"/>
  <c r="U253" i="12"/>
  <c r="U204" i="12"/>
  <c r="U201" i="12"/>
  <c r="U202" i="12"/>
  <c r="U327" i="12"/>
  <c r="U226" i="12"/>
  <c r="U268" i="12"/>
  <c r="U265" i="12"/>
  <c r="T265" i="12"/>
  <c r="U324" i="12"/>
  <c r="U274" i="12"/>
  <c r="U322" i="12"/>
  <c r="T203" i="12"/>
  <c r="T248" i="12" s="1"/>
  <c r="T288" i="12" s="1"/>
  <c r="T277" i="6" s="1"/>
  <c r="T208" i="12"/>
  <c r="W199" i="12"/>
  <c r="T199" i="12" l="1"/>
  <c r="T377" i="12"/>
  <c r="T396" i="12"/>
  <c r="U321" i="12"/>
  <c r="U396" i="12" s="1"/>
  <c r="T156" i="12"/>
  <c r="U156" i="12"/>
  <c r="T180" i="12"/>
  <c r="U180" i="12"/>
  <c r="T188" i="12"/>
  <c r="U188" i="12"/>
  <c r="T194" i="12"/>
  <c r="U194" i="12"/>
  <c r="T157" i="12"/>
  <c r="U157" i="12"/>
  <c r="T158" i="12"/>
  <c r="U158" i="12"/>
  <c r="T177" i="12"/>
  <c r="U177" i="12"/>
  <c r="T181" i="12"/>
  <c r="U181" i="12"/>
  <c r="T189" i="12"/>
  <c r="U189" i="12"/>
  <c r="T195" i="12"/>
  <c r="U195" i="12"/>
  <c r="T159" i="12"/>
  <c r="U159" i="12"/>
  <c r="T178" i="12"/>
  <c r="U178" i="12"/>
  <c r="T186" i="12"/>
  <c r="U186" i="12"/>
  <c r="T196" i="12"/>
  <c r="U196" i="12"/>
  <c r="T185" i="12"/>
  <c r="U185" i="12"/>
  <c r="T160" i="12"/>
  <c r="U160" i="12"/>
  <c r="T179" i="12"/>
  <c r="U179" i="12"/>
  <c r="T187" i="12"/>
  <c r="U187" i="12"/>
  <c r="T193" i="12"/>
  <c r="U193" i="12"/>
  <c r="T197" i="12"/>
  <c r="U197" i="12"/>
  <c r="T299" i="6"/>
  <c r="U203" i="12"/>
  <c r="U248" i="12" s="1"/>
  <c r="U288" i="12" s="1"/>
  <c r="U208" i="12"/>
  <c r="U199" i="12" s="1"/>
  <c r="W155" i="12"/>
  <c r="U175" i="12"/>
  <c r="U174" i="12"/>
  <c r="U173" i="12"/>
  <c r="U172" i="12"/>
  <c r="U110" i="12"/>
  <c r="U118" i="12"/>
  <c r="U114" i="12"/>
  <c r="U97" i="12"/>
  <c r="U99" i="12"/>
  <c r="U98" i="12"/>
  <c r="U96" i="12"/>
  <c r="C17" i="4"/>
  <c r="A16" i="12" s="1"/>
  <c r="U113" i="12" l="1"/>
  <c r="T389" i="12"/>
  <c r="W385" i="12"/>
  <c r="T386" i="12"/>
  <c r="T372" i="12"/>
  <c r="T388" i="12"/>
  <c r="U192" i="12"/>
  <c r="U184" i="12"/>
  <c r="U155" i="12"/>
  <c r="T192" i="12"/>
  <c r="T184" i="12"/>
  <c r="T155" i="12"/>
  <c r="U377" i="12"/>
  <c r="U176" i="12"/>
  <c r="T176" i="12"/>
  <c r="T95" i="12"/>
  <c r="T423" i="12" s="1"/>
  <c r="AA429" i="12" s="1"/>
  <c r="U95" i="12"/>
  <c r="U94" i="12" s="1"/>
  <c r="T117" i="12"/>
  <c r="U117" i="12"/>
  <c r="T119" i="12"/>
  <c r="U119" i="12"/>
  <c r="T135" i="12"/>
  <c r="U135" i="12"/>
  <c r="T171" i="12"/>
  <c r="T148" i="12" s="1"/>
  <c r="U171" i="12"/>
  <c r="T112" i="12"/>
  <c r="U112" i="12"/>
  <c r="T118" i="12"/>
  <c r="T132" i="12"/>
  <c r="U132" i="12"/>
  <c r="T136" i="12"/>
  <c r="U136" i="12"/>
  <c r="T120" i="12"/>
  <c r="U120" i="12"/>
  <c r="T133" i="12"/>
  <c r="U133" i="12"/>
  <c r="T121" i="12"/>
  <c r="U121" i="12"/>
  <c r="T134" i="12"/>
  <c r="U134" i="12"/>
  <c r="T111" i="12"/>
  <c r="U111" i="12"/>
  <c r="U277" i="6"/>
  <c r="U299" i="6"/>
  <c r="W373" i="12"/>
  <c r="T373" i="12"/>
  <c r="T98" i="12"/>
  <c r="W426" i="12"/>
  <c r="AD432" i="12" s="1"/>
  <c r="T110" i="12"/>
  <c r="W365" i="12"/>
  <c r="T114" i="12"/>
  <c r="T174" i="12"/>
  <c r="W216" i="6"/>
  <c r="W423" i="12"/>
  <c r="AD429" i="12" s="1"/>
  <c r="W422" i="12"/>
  <c r="AD428" i="12" s="1"/>
  <c r="W425" i="12"/>
  <c r="AD431" i="12" s="1"/>
  <c r="T97" i="12"/>
  <c r="T175" i="12"/>
  <c r="U152" i="12" s="1"/>
  <c r="T113" i="12"/>
  <c r="W215" i="6"/>
  <c r="T173" i="12"/>
  <c r="U150" i="12" s="1"/>
  <c r="W427" i="12"/>
  <c r="AD433" i="12" s="1"/>
  <c r="T99" i="12"/>
  <c r="W424" i="12"/>
  <c r="AD430" i="12" s="1"/>
  <c r="T96" i="12"/>
  <c r="T172" i="12"/>
  <c r="W87" i="12"/>
  <c r="W89" i="12"/>
  <c r="W142" i="12" s="1"/>
  <c r="W368" i="12" s="1"/>
  <c r="W257" i="6" s="1"/>
  <c r="W116" i="12"/>
  <c r="W170" i="12"/>
  <c r="W88" i="12"/>
  <c r="W141" i="12" s="1"/>
  <c r="W367" i="12" s="1"/>
  <c r="W256" i="6" s="1"/>
  <c r="W91" i="12"/>
  <c r="W144" i="12" s="1"/>
  <c r="W370" i="12" s="1"/>
  <c r="W259" i="6" s="1"/>
  <c r="W90" i="12"/>
  <c r="W143" i="12" s="1"/>
  <c r="T268" i="6"/>
  <c r="T267" i="6"/>
  <c r="T266" i="6"/>
  <c r="T259" i="2"/>
  <c r="T258" i="2"/>
  <c r="W355" i="12"/>
  <c r="W348" i="12"/>
  <c r="W380" i="12" s="1"/>
  <c r="W342" i="12"/>
  <c r="W378" i="12" s="1"/>
  <c r="W339" i="12"/>
  <c r="W336" i="12"/>
  <c r="W333" i="12"/>
  <c r="W330" i="12"/>
  <c r="W327" i="12"/>
  <c r="W324" i="12"/>
  <c r="W397" i="12"/>
  <c r="W274" i="12"/>
  <c r="W271" i="12"/>
  <c r="W268" i="12"/>
  <c r="W265" i="12"/>
  <c r="W262" i="12"/>
  <c r="W253" i="12"/>
  <c r="W248" i="12"/>
  <c r="W288" i="12" s="1"/>
  <c r="W299" i="6" s="1"/>
  <c r="W192" i="12"/>
  <c r="W184" i="12"/>
  <c r="W176" i="12"/>
  <c r="W152" i="12"/>
  <c r="W151" i="12"/>
  <c r="W150" i="12"/>
  <c r="W149" i="12"/>
  <c r="W148" i="12"/>
  <c r="W131" i="12"/>
  <c r="W109" i="12"/>
  <c r="W364" i="12" s="1"/>
  <c r="W94" i="12"/>
  <c r="T238" i="6"/>
  <c r="T230" i="6"/>
  <c r="T229" i="6"/>
  <c r="T214" i="6"/>
  <c r="T213" i="6"/>
  <c r="T208" i="6"/>
  <c r="T207" i="6"/>
  <c r="T203" i="6"/>
  <c r="T202" i="6"/>
  <c r="T199" i="6"/>
  <c r="T198" i="6"/>
  <c r="T194" i="6"/>
  <c r="T193" i="6"/>
  <c r="T192" i="6"/>
  <c r="T191" i="6"/>
  <c r="T190" i="6"/>
  <c r="T188" i="6"/>
  <c r="T186" i="6"/>
  <c r="T185" i="6"/>
  <c r="T182" i="6"/>
  <c r="T181" i="6"/>
  <c r="T180" i="6"/>
  <c r="T179" i="6"/>
  <c r="T171" i="6"/>
  <c r="T114" i="6" s="1"/>
  <c r="T168" i="6"/>
  <c r="T237" i="6" s="1"/>
  <c r="T161" i="6"/>
  <c r="T157" i="6"/>
  <c r="T152" i="6"/>
  <c r="T150" i="6"/>
  <c r="T148" i="6"/>
  <c r="T147" i="6"/>
  <c r="T145" i="6"/>
  <c r="T144" i="6"/>
  <c r="T141" i="6"/>
  <c r="T140" i="6"/>
  <c r="T139" i="6"/>
  <c r="T134" i="6"/>
  <c r="T133" i="6"/>
  <c r="T132" i="6"/>
  <c r="T130" i="6"/>
  <c r="T129" i="6"/>
  <c r="T128" i="6"/>
  <c r="T115" i="6"/>
  <c r="T108" i="6"/>
  <c r="T97" i="6"/>
  <c r="T96" i="6"/>
  <c r="T201" i="6"/>
  <c r="T226" i="6"/>
  <c r="Y411" i="12" l="1"/>
  <c r="Y412" i="12"/>
  <c r="Y415" i="12"/>
  <c r="W389" i="12"/>
  <c r="T371" i="12"/>
  <c r="W372" i="12"/>
  <c r="W371" i="12" s="1"/>
  <c r="W388" i="12"/>
  <c r="T385" i="12"/>
  <c r="T384" i="12" s="1"/>
  <c r="T390" i="12" s="1"/>
  <c r="T387" i="12" s="1"/>
  <c r="U116" i="12"/>
  <c r="T131" i="12"/>
  <c r="U109" i="12"/>
  <c r="U364" i="12" s="1"/>
  <c r="U88" i="12"/>
  <c r="U141" i="12" s="1"/>
  <c r="U89" i="12"/>
  <c r="U87" i="12"/>
  <c r="U131" i="12"/>
  <c r="T116" i="12"/>
  <c r="Y413" i="12"/>
  <c r="W369" i="12"/>
  <c r="W258" i="6" s="1"/>
  <c r="W86" i="12"/>
  <c r="T151" i="6"/>
  <c r="U148" i="12"/>
  <c r="T94" i="12"/>
  <c r="T426" i="12"/>
  <c r="AA432" i="12" s="1"/>
  <c r="T170" i="12"/>
  <c r="U149" i="12"/>
  <c r="W204" i="6"/>
  <c r="W272" i="6" s="1"/>
  <c r="T151" i="12"/>
  <c r="U151" i="12"/>
  <c r="W140" i="12"/>
  <c r="W366" i="12" s="1"/>
  <c r="W255" i="6" s="1"/>
  <c r="T427" i="12"/>
  <c r="AA433" i="12" s="1"/>
  <c r="U91" i="12"/>
  <c r="U90" i="12"/>
  <c r="T424" i="12"/>
  <c r="AA430" i="12" s="1"/>
  <c r="X415" i="12"/>
  <c r="T90" i="12"/>
  <c r="T143" i="12" s="1"/>
  <c r="T369" i="12" s="1"/>
  <c r="T258" i="6" s="1"/>
  <c r="T150" i="12"/>
  <c r="T152" i="12"/>
  <c r="T91" i="12"/>
  <c r="T144" i="12" s="1"/>
  <c r="T370" i="12" s="1"/>
  <c r="T259" i="6" s="1"/>
  <c r="T89" i="12"/>
  <c r="T142" i="12" s="1"/>
  <c r="U426" i="12"/>
  <c r="AB432" i="12" s="1"/>
  <c r="X412" i="12"/>
  <c r="T88" i="12"/>
  <c r="T141" i="12" s="1"/>
  <c r="T367" i="12" s="1"/>
  <c r="T149" i="12"/>
  <c r="U365" i="12"/>
  <c r="U215" i="6"/>
  <c r="X413" i="12"/>
  <c r="U424" i="12"/>
  <c r="AB430" i="12" s="1"/>
  <c r="U423" i="12"/>
  <c r="AB429" i="12" s="1"/>
  <c r="T216" i="6"/>
  <c r="T215" i="6"/>
  <c r="T189" i="6"/>
  <c r="T206" i="6"/>
  <c r="T422" i="12"/>
  <c r="AA428" i="12" s="1"/>
  <c r="T425" i="12"/>
  <c r="AA431" i="12" s="1"/>
  <c r="W147" i="12"/>
  <c r="T87" i="12"/>
  <c r="T310" i="6"/>
  <c r="T109" i="12"/>
  <c r="T364" i="12" s="1"/>
  <c r="T365" i="12"/>
  <c r="W420" i="12"/>
  <c r="W321" i="12"/>
  <c r="W377" i="12" s="1"/>
  <c r="W261" i="12"/>
  <c r="T136" i="6"/>
  <c r="W249" i="12"/>
  <c r="W289" i="12" s="1"/>
  <c r="W300" i="6" s="1"/>
  <c r="T257" i="2"/>
  <c r="T289" i="6"/>
  <c r="T131" i="6"/>
  <c r="T184" i="6"/>
  <c r="W250" i="12"/>
  <c r="W290" i="12" s="1"/>
  <c r="W298" i="12" s="1"/>
  <c r="W246" i="12"/>
  <c r="W286" i="12" s="1"/>
  <c r="W295" i="12" s="1"/>
  <c r="W409" i="12"/>
  <c r="W408" i="12"/>
  <c r="W407" i="12"/>
  <c r="W247" i="12"/>
  <c r="W287" i="12" s="1"/>
  <c r="W296" i="12" s="1"/>
  <c r="W386" i="12"/>
  <c r="W384" i="12" s="1"/>
  <c r="W390" i="12" s="1"/>
  <c r="T127" i="6"/>
  <c r="T178" i="6"/>
  <c r="T200" i="6"/>
  <c r="T197" i="6"/>
  <c r="T112" i="6"/>
  <c r="T227" i="6"/>
  <c r="T225" i="6" s="1"/>
  <c r="T231" i="6" s="1"/>
  <c r="T228" i="6" s="1"/>
  <c r="W297" i="12" l="1"/>
  <c r="W387" i="12"/>
  <c r="AD402" i="12"/>
  <c r="AD401" i="12"/>
  <c r="T250" i="12"/>
  <c r="T290" i="12" s="1"/>
  <c r="T147" i="12"/>
  <c r="T247" i="12"/>
  <c r="T287" i="12" s="1"/>
  <c r="W254" i="6"/>
  <c r="W396" i="12"/>
  <c r="T368" i="12"/>
  <c r="T408" i="12" s="1"/>
  <c r="T196" i="6"/>
  <c r="T253" i="6" s="1"/>
  <c r="W122" i="6"/>
  <c r="W248" i="6" s="1"/>
  <c r="U422" i="12"/>
  <c r="AB428" i="12" s="1"/>
  <c r="U427" i="12"/>
  <c r="AB433" i="12" s="1"/>
  <c r="U86" i="12"/>
  <c r="W236" i="6"/>
  <c r="W235" i="6" s="1"/>
  <c r="W234" i="6" s="1"/>
  <c r="T249" i="12"/>
  <c r="T289" i="12" s="1"/>
  <c r="W139" i="12"/>
  <c r="W363" i="12" s="1"/>
  <c r="W362" i="12" s="1"/>
  <c r="W404" i="12" s="1"/>
  <c r="U143" i="12"/>
  <c r="U369" i="12" s="1"/>
  <c r="U258" i="6" s="1"/>
  <c r="U144" i="12"/>
  <c r="U370" i="12" s="1"/>
  <c r="U259" i="6" s="1"/>
  <c r="U367" i="12"/>
  <c r="U425" i="12"/>
  <c r="AB431" i="12" s="1"/>
  <c r="U142" i="12"/>
  <c r="X293" i="6"/>
  <c r="X411" i="12"/>
  <c r="X410" i="12"/>
  <c r="T246" i="12"/>
  <c r="U216" i="6"/>
  <c r="U204" i="6" s="1"/>
  <c r="U122" i="6" s="1"/>
  <c r="U140" i="12"/>
  <c r="U170" i="12"/>
  <c r="T288" i="6"/>
  <c r="T287" i="6"/>
  <c r="W276" i="6"/>
  <c r="W298" i="6"/>
  <c r="W275" i="6"/>
  <c r="W297" i="6"/>
  <c r="W279" i="6"/>
  <c r="W301" i="6"/>
  <c r="W414" i="12"/>
  <c r="W277" i="6"/>
  <c r="T406" i="12"/>
  <c r="T256" i="6"/>
  <c r="T265" i="6"/>
  <c r="T86" i="12"/>
  <c r="T140" i="12"/>
  <c r="W278" i="6"/>
  <c r="W421" i="12"/>
  <c r="T309" i="6"/>
  <c r="T311" i="6"/>
  <c r="T177" i="6"/>
  <c r="W419" i="12"/>
  <c r="W245" i="12"/>
  <c r="W244" i="12" s="1"/>
  <c r="W376" i="12" s="1"/>
  <c r="W375" i="12" s="1"/>
  <c r="W406" i="12"/>
  <c r="W418" i="12"/>
  <c r="T205" i="6"/>
  <c r="T204" i="6" s="1"/>
  <c r="T272" i="6" s="1"/>
  <c r="T119" i="6"/>
  <c r="T121" i="6" s="1"/>
  <c r="R315" i="12"/>
  <c r="T301" i="6" l="1"/>
  <c r="T298" i="12"/>
  <c r="T279" i="6" s="1"/>
  <c r="T300" i="6"/>
  <c r="T297" i="12"/>
  <c r="T278" i="6" s="1"/>
  <c r="T298" i="6"/>
  <c r="T296" i="12"/>
  <c r="T276" i="6" s="1"/>
  <c r="AD403" i="12"/>
  <c r="T257" i="6"/>
  <c r="T247" i="6"/>
  <c r="T407" i="12"/>
  <c r="T419" i="12"/>
  <c r="T409" i="12"/>
  <c r="T421" i="12"/>
  <c r="U250" i="12"/>
  <c r="U290" i="12" s="1"/>
  <c r="U249" i="12"/>
  <c r="U289" i="12" s="1"/>
  <c r="U147" i="12"/>
  <c r="U247" i="12"/>
  <c r="U287" i="12" s="1"/>
  <c r="U296" i="12" s="1"/>
  <c r="U368" i="12"/>
  <c r="U407" i="12" s="1"/>
  <c r="U406" i="12"/>
  <c r="U256" i="6"/>
  <c r="U246" i="12"/>
  <c r="U366" i="12"/>
  <c r="U255" i="6" s="1"/>
  <c r="U139" i="12"/>
  <c r="U363" i="12" s="1"/>
  <c r="U362" i="12" s="1"/>
  <c r="U245" i="12"/>
  <c r="U272" i="6"/>
  <c r="U248" i="6"/>
  <c r="U236" i="6"/>
  <c r="U235" i="6" s="1"/>
  <c r="U234" i="6" s="1"/>
  <c r="T139" i="12"/>
  <c r="T363" i="12" s="1"/>
  <c r="T362" i="12" s="1"/>
  <c r="T404" i="12" s="1"/>
  <c r="T245" i="12"/>
  <c r="T366" i="12"/>
  <c r="T291" i="6"/>
  <c r="T270" i="6"/>
  <c r="T303" i="6"/>
  <c r="W405" i="12"/>
  <c r="W285" i="12"/>
  <c r="T294" i="6"/>
  <c r="T249" i="6"/>
  <c r="T218" i="6"/>
  <c r="T217" i="6" s="1"/>
  <c r="T236" i="6"/>
  <c r="T235" i="6" s="1"/>
  <c r="T234" i="6" s="1"/>
  <c r="T122" i="6"/>
  <c r="T248" i="6" s="1"/>
  <c r="W296" i="6" l="1"/>
  <c r="W295" i="6" s="1"/>
  <c r="W315" i="6" s="1"/>
  <c r="W294" i="12"/>
  <c r="U300" i="6"/>
  <c r="U297" i="12"/>
  <c r="U278" i="6" s="1"/>
  <c r="U301" i="6"/>
  <c r="U298" i="12"/>
  <c r="U279" i="6" s="1"/>
  <c r="U404" i="12"/>
  <c r="U421" i="12"/>
  <c r="U285" i="12"/>
  <c r="U294" i="12" s="1"/>
  <c r="U244" i="12"/>
  <c r="U376" i="12" s="1"/>
  <c r="U375" i="12" s="1"/>
  <c r="U395" i="12" s="1"/>
  <c r="U394" i="12" s="1"/>
  <c r="U393" i="12" s="1"/>
  <c r="U391" i="12" s="1"/>
  <c r="AA402" i="12" s="1"/>
  <c r="U405" i="12"/>
  <c r="U257" i="6"/>
  <c r="U254" i="6" s="1"/>
  <c r="U408" i="12"/>
  <c r="U409" i="12"/>
  <c r="U419" i="12"/>
  <c r="U298" i="6"/>
  <c r="T405" i="12"/>
  <c r="T255" i="6"/>
  <c r="T254" i="6" s="1"/>
  <c r="W284" i="12"/>
  <c r="W395" i="12"/>
  <c r="W394" i="12" s="1"/>
  <c r="W393" i="12" s="1"/>
  <c r="W391" i="12" s="1"/>
  <c r="T244" i="12"/>
  <c r="T376" i="12" s="1"/>
  <c r="T375" i="12" s="1"/>
  <c r="T395" i="12" s="1"/>
  <c r="T394" i="12" s="1"/>
  <c r="T393" i="12" s="1"/>
  <c r="T391" i="12" s="1"/>
  <c r="T285" i="12"/>
  <c r="T294" i="12" s="1"/>
  <c r="T313" i="6"/>
  <c r="T308" i="6"/>
  <c r="T286" i="6"/>
  <c r="W417" i="12"/>
  <c r="S90" i="12"/>
  <c r="S143" i="12" s="1"/>
  <c r="U415" i="12" l="1"/>
  <c r="U417" i="12"/>
  <c r="U296" i="6"/>
  <c r="U413" i="12"/>
  <c r="U276" i="6"/>
  <c r="W274" i="6"/>
  <c r="T296" i="6"/>
  <c r="T417" i="12"/>
  <c r="W416" i="12"/>
  <c r="S426" i="12"/>
  <c r="Z432" i="12" s="1"/>
  <c r="S339" i="12"/>
  <c r="S336" i="12"/>
  <c r="S333" i="12"/>
  <c r="S330" i="12"/>
  <c r="S327" i="12"/>
  <c r="S324" i="12"/>
  <c r="W273" i="6" l="1"/>
  <c r="U411" i="12"/>
  <c r="U274" i="6"/>
  <c r="T274" i="6"/>
  <c r="S91" i="12"/>
  <c r="S144" i="12" s="1"/>
  <c r="S89" i="12"/>
  <c r="S142" i="12" s="1"/>
  <c r="S88" i="12"/>
  <c r="S141" i="12" s="1"/>
  <c r="S87" i="12"/>
  <c r="S140" i="12" s="1"/>
  <c r="S139" i="12" l="1"/>
  <c r="V307" i="6" l="1"/>
  <c r="V285" i="6"/>
  <c r="U304" i="6" l="1"/>
  <c r="U283" i="6"/>
  <c r="U285" i="6"/>
  <c r="U307" i="6"/>
  <c r="S365" i="12"/>
  <c r="S253" i="12"/>
  <c r="S149" i="12"/>
  <c r="S148" i="12"/>
  <c r="S170" i="12"/>
  <c r="S150" i="12"/>
  <c r="S109" i="12"/>
  <c r="U282" i="6" l="1"/>
  <c r="U305" i="6"/>
  <c r="V283" i="6"/>
  <c r="V305" i="6"/>
  <c r="O168" i="6"/>
  <c r="O206" i="6" s="1"/>
  <c r="O67" i="6"/>
  <c r="O49" i="6"/>
  <c r="O131" i="12"/>
  <c r="O116" i="12"/>
  <c r="O109" i="12"/>
  <c r="O94" i="12"/>
  <c r="U306" i="6" l="1"/>
  <c r="U303" i="6" s="1"/>
  <c r="U284" i="6"/>
  <c r="U281" i="6" s="1"/>
  <c r="V282" i="6"/>
  <c r="V284" i="6"/>
  <c r="V304" i="6"/>
  <c r="V306" i="6"/>
  <c r="S222" i="6"/>
  <c r="S267" i="6"/>
  <c r="S259" i="2"/>
  <c r="S258" i="2"/>
  <c r="S264" i="6"/>
  <c r="S427" i="12"/>
  <c r="Z433" i="12" s="1"/>
  <c r="S425" i="12"/>
  <c r="Z431" i="12" s="1"/>
  <c r="S424" i="12"/>
  <c r="Z430" i="12" s="1"/>
  <c r="S423" i="12"/>
  <c r="Z429" i="12" s="1"/>
  <c r="S374" i="12"/>
  <c r="S373" i="12"/>
  <c r="S355" i="12"/>
  <c r="S348" i="12"/>
  <c r="S380" i="12" s="1"/>
  <c r="S342" i="12"/>
  <c r="S378" i="12" s="1"/>
  <c r="S323" i="12"/>
  <c r="S322" i="12"/>
  <c r="S303" i="12"/>
  <c r="S422" i="12" s="1"/>
  <c r="Z428" i="12" s="1"/>
  <c r="S274" i="12"/>
  <c r="S271" i="12"/>
  <c r="S268" i="12"/>
  <c r="S265" i="12"/>
  <c r="S262" i="12"/>
  <c r="S226" i="12"/>
  <c r="S217" i="12"/>
  <c r="S208" i="12"/>
  <c r="S205" i="12"/>
  <c r="S204" i="12"/>
  <c r="S203" i="12"/>
  <c r="S248" i="12" s="1"/>
  <c r="S202" i="12"/>
  <c r="S201" i="12"/>
  <c r="S200" i="12"/>
  <c r="S192" i="12"/>
  <c r="S184" i="12"/>
  <c r="S176" i="12"/>
  <c r="S155" i="12"/>
  <c r="S152" i="12"/>
  <c r="S151" i="12"/>
  <c r="S368" i="12"/>
  <c r="S257" i="6" s="1"/>
  <c r="S131" i="12"/>
  <c r="S116" i="12"/>
  <c r="S364" i="12"/>
  <c r="S94" i="12"/>
  <c r="V388" i="12"/>
  <c r="S238" i="6"/>
  <c r="S230" i="6"/>
  <c r="S229" i="6"/>
  <c r="S223" i="6"/>
  <c r="S216" i="6"/>
  <c r="S215" i="6"/>
  <c r="S214" i="6"/>
  <c r="S213" i="6"/>
  <c r="S208" i="6"/>
  <c r="S207" i="6"/>
  <c r="S203" i="6"/>
  <c r="S202" i="6"/>
  <c r="S199" i="6"/>
  <c r="S198" i="6"/>
  <c r="S194" i="6"/>
  <c r="S193" i="6"/>
  <c r="S192" i="6"/>
  <c r="S191" i="6"/>
  <c r="S190" i="6"/>
  <c r="S188" i="6"/>
  <c r="S186" i="6"/>
  <c r="S185" i="6"/>
  <c r="S182" i="6"/>
  <c r="S181" i="6"/>
  <c r="S180" i="6"/>
  <c r="S179" i="6"/>
  <c r="S171" i="6"/>
  <c r="S114" i="6" s="1"/>
  <c r="S168" i="6"/>
  <c r="S237" i="6" s="1"/>
  <c r="S161" i="6"/>
  <c r="S157" i="6"/>
  <c r="S152" i="6"/>
  <c r="S150" i="6"/>
  <c r="S148" i="6"/>
  <c r="S147" i="6"/>
  <c r="S145" i="6"/>
  <c r="S144" i="6"/>
  <c r="S141" i="6"/>
  <c r="S140" i="6"/>
  <c r="S139" i="6"/>
  <c r="S134" i="6"/>
  <c r="S133" i="6"/>
  <c r="S132" i="6"/>
  <c r="S130" i="6"/>
  <c r="S129" i="6"/>
  <c r="S128" i="6"/>
  <c r="S115" i="6"/>
  <c r="S108" i="6"/>
  <c r="S97" i="6"/>
  <c r="S84" i="6"/>
  <c r="S96" i="6" s="1"/>
  <c r="V227" i="6"/>
  <c r="T413" i="12" l="1"/>
  <c r="T415" i="12"/>
  <c r="S261" i="6"/>
  <c r="S262" i="6"/>
  <c r="S321" i="12"/>
  <c r="S377" i="12" s="1"/>
  <c r="S389" i="12"/>
  <c r="V389" i="12"/>
  <c r="S386" i="12"/>
  <c r="V386" i="12"/>
  <c r="Y242" i="2"/>
  <c r="S151" i="6"/>
  <c r="AC242" i="2"/>
  <c r="S199" i="12"/>
  <c r="AD244" i="2"/>
  <c r="AA242" i="2"/>
  <c r="AD242" i="2"/>
  <c r="AA244" i="2"/>
  <c r="Z244" i="2"/>
  <c r="Z242" i="2"/>
  <c r="V281" i="6"/>
  <c r="S372" i="12"/>
  <c r="S371" i="12" s="1"/>
  <c r="V372" i="12"/>
  <c r="V371" i="12" s="1"/>
  <c r="S385" i="12"/>
  <c r="V385" i="12"/>
  <c r="S201" i="6"/>
  <c r="S200" i="6" s="1"/>
  <c r="V201" i="6"/>
  <c r="V200" i="6" s="1"/>
  <c r="S131" i="6"/>
  <c r="S226" i="6"/>
  <c r="V226" i="6"/>
  <c r="V225" i="6" s="1"/>
  <c r="V231" i="6" s="1"/>
  <c r="V228" i="6" s="1"/>
  <c r="V303" i="6"/>
  <c r="T411" i="12"/>
  <c r="W412" i="12"/>
  <c r="W413" i="12"/>
  <c r="W415" i="12"/>
  <c r="W410" i="12"/>
  <c r="W411" i="12"/>
  <c r="S263" i="6"/>
  <c r="S206" i="6"/>
  <c r="S408" i="12"/>
  <c r="S409" i="12"/>
  <c r="S250" i="12"/>
  <c r="S290" i="12" s="1"/>
  <c r="S298" i="12" s="1"/>
  <c r="S189" i="6"/>
  <c r="S397" i="12"/>
  <c r="S261" i="12"/>
  <c r="S86" i="12"/>
  <c r="S268" i="6"/>
  <c r="S289" i="6"/>
  <c r="S266" i="6"/>
  <c r="S257" i="2"/>
  <c r="S184" i="6"/>
  <c r="S127" i="6"/>
  <c r="S407" i="12"/>
  <c r="S147" i="12"/>
  <c r="S369" i="12"/>
  <c r="S258" i="6" s="1"/>
  <c r="S249" i="12"/>
  <c r="S289" i="12" s="1"/>
  <c r="S297" i="12" s="1"/>
  <c r="S370" i="12"/>
  <c r="S259" i="6" s="1"/>
  <c r="S288" i="12"/>
  <c r="S367" i="12"/>
  <c r="S246" i="12"/>
  <c r="S286" i="12" s="1"/>
  <c r="S295" i="12" s="1"/>
  <c r="S388" i="12"/>
  <c r="S178" i="6"/>
  <c r="S247" i="12"/>
  <c r="S287" i="12" s="1"/>
  <c r="S296" i="12" s="1"/>
  <c r="S112" i="6"/>
  <c r="S205" i="6" s="1"/>
  <c r="S227" i="6"/>
  <c r="S197" i="6"/>
  <c r="S196" i="6" s="1"/>
  <c r="S260" i="6" l="1"/>
  <c r="S225" i="6"/>
  <c r="S231" i="6" s="1"/>
  <c r="S228" i="6" s="1"/>
  <c r="S384" i="12"/>
  <c r="S390" i="12" s="1"/>
  <c r="S387" i="12" s="1"/>
  <c r="V384" i="12"/>
  <c r="V390" i="12" s="1"/>
  <c r="V387" i="12" s="1"/>
  <c r="AC402" i="12"/>
  <c r="Z242" i="6"/>
  <c r="Z245" i="6"/>
  <c r="Z244" i="6"/>
  <c r="AC245" i="6"/>
  <c r="AC242" i="6"/>
  <c r="S279" i="6"/>
  <c r="S301" i="6"/>
  <c r="S406" i="12"/>
  <c r="S256" i="6"/>
  <c r="S306" i="6"/>
  <c r="S313" i="6"/>
  <c r="S310" i="6"/>
  <c r="S288" i="6"/>
  <c r="S204" i="6"/>
  <c r="S272" i="6" s="1"/>
  <c r="S119" i="6"/>
  <c r="S121" i="6" s="1"/>
  <c r="S300" i="6"/>
  <c r="S415" i="12"/>
  <c r="S421" i="12"/>
  <c r="S299" i="6"/>
  <c r="S277" i="6"/>
  <c r="S265" i="6"/>
  <c r="S177" i="6"/>
  <c r="S307" i="6"/>
  <c r="S285" i="6"/>
  <c r="S396" i="12"/>
  <c r="S136" i="6"/>
  <c r="S270" i="6"/>
  <c r="S311" i="6"/>
  <c r="S287" i="6"/>
  <c r="S305" i="6"/>
  <c r="S419" i="12"/>
  <c r="S298" i="6"/>
  <c r="S366" i="12"/>
  <c r="S363" i="12"/>
  <c r="S362" i="12" s="1"/>
  <c r="S404" i="12" s="1"/>
  <c r="S245" i="12"/>
  <c r="S285" i="12" s="1"/>
  <c r="S294" i="12" s="1"/>
  <c r="S253" i="6"/>
  <c r="S247" i="6"/>
  <c r="J168" i="6"/>
  <c r="J206" i="6" s="1"/>
  <c r="J97" i="6"/>
  <c r="J108" i="6"/>
  <c r="O208" i="6"/>
  <c r="O207" i="6"/>
  <c r="S282" i="6" l="1"/>
  <c r="AC244" i="6"/>
  <c r="AC246" i="6"/>
  <c r="Z246" i="6"/>
  <c r="S405" i="12"/>
  <c r="S255" i="6"/>
  <c r="S254" i="6" s="1"/>
  <c r="S284" i="6"/>
  <c r="S286" i="6"/>
  <c r="S122" i="6"/>
  <c r="S248" i="6" s="1"/>
  <c r="S236" i="6"/>
  <c r="S235" i="6" s="1"/>
  <c r="S234" i="6" s="1"/>
  <c r="S249" i="6"/>
  <c r="S294" i="6"/>
  <c r="S218" i="6"/>
  <c r="S217" i="6" s="1"/>
  <c r="S278" i="6"/>
  <c r="S284" i="12"/>
  <c r="S309" i="6"/>
  <c r="S308" i="6" s="1"/>
  <c r="S291" i="6"/>
  <c r="S304" i="6"/>
  <c r="S303" i="6" s="1"/>
  <c r="S283" i="6"/>
  <c r="S418" i="12"/>
  <c r="S297" i="6"/>
  <c r="S413" i="12"/>
  <c r="S276" i="6"/>
  <c r="S244" i="12"/>
  <c r="S376" i="12" s="1"/>
  <c r="S375" i="12" s="1"/>
  <c r="S395" i="12" s="1"/>
  <c r="S394" i="12" s="1"/>
  <c r="S393" i="12" s="1"/>
  <c r="S391" i="12" s="1"/>
  <c r="S412" i="12"/>
  <c r="S275" i="6"/>
  <c r="O108" i="6"/>
  <c r="S281" i="6" l="1"/>
  <c r="S411" i="12"/>
  <c r="S410" i="12"/>
  <c r="S274" i="6"/>
  <c r="S273" i="6" s="1"/>
  <c r="S296" i="6"/>
  <c r="S295" i="6" s="1"/>
  <c r="S315" i="6" s="1"/>
  <c r="S417" i="12"/>
  <c r="R254" i="6"/>
  <c r="Q215" i="6"/>
  <c r="Q213" i="6"/>
  <c r="Q171" i="6"/>
  <c r="Q108" i="6"/>
  <c r="S293" i="6" l="1"/>
  <c r="S416" i="12"/>
  <c r="Q260" i="6"/>
  <c r="P207" i="6"/>
  <c r="O97" i="6" l="1"/>
  <c r="O216" i="6"/>
  <c r="O215" i="6"/>
  <c r="O214" i="6"/>
  <c r="O213" i="6"/>
  <c r="O199" i="6"/>
  <c r="O198" i="6"/>
  <c r="N213" i="6" l="1"/>
  <c r="N168" i="6"/>
  <c r="N206" i="6" s="1"/>
  <c r="A306" i="6"/>
  <c r="A301" i="6"/>
  <c r="A300" i="6"/>
  <c r="A284" i="6"/>
  <c r="A279" i="6"/>
  <c r="A278" i="6"/>
  <c r="A263" i="6"/>
  <c r="A259" i="6"/>
  <c r="A258" i="6"/>
  <c r="A187" i="6"/>
  <c r="A183" i="6"/>
  <c r="A182" i="6"/>
  <c r="AA144" i="4"/>
  <c r="AA154" i="4"/>
  <c r="AA136" i="4"/>
  <c r="AA126" i="4"/>
  <c r="N171" i="6"/>
  <c r="N114" i="6" s="1"/>
  <c r="N67" i="6"/>
  <c r="N49" i="6"/>
  <c r="N31" i="6"/>
  <c r="N23" i="6"/>
  <c r="Q31" i="12" l="1"/>
  <c r="O31" i="12"/>
  <c r="N31" i="12"/>
  <c r="M31" i="12"/>
  <c r="L31" i="12"/>
  <c r="K31" i="12"/>
  <c r="J31" i="12"/>
  <c r="I31" i="12"/>
  <c r="H31" i="12"/>
  <c r="G31" i="12"/>
  <c r="F31" i="12"/>
  <c r="E31" i="12"/>
  <c r="P31" i="12"/>
  <c r="N199" i="6" l="1"/>
  <c r="M199" i="6"/>
  <c r="L199" i="6"/>
  <c r="K199" i="6"/>
  <c r="J199" i="6"/>
  <c r="I199" i="6"/>
  <c r="H199" i="6"/>
  <c r="G199" i="6"/>
  <c r="F199" i="6"/>
  <c r="E199" i="6"/>
  <c r="D199" i="6"/>
  <c r="C199" i="6"/>
  <c r="B199" i="6"/>
  <c r="N198" i="6"/>
  <c r="M198" i="6"/>
  <c r="L198" i="6"/>
  <c r="K198" i="6"/>
  <c r="J198" i="6"/>
  <c r="I198" i="6"/>
  <c r="H198" i="6"/>
  <c r="G198" i="6"/>
  <c r="F198" i="6"/>
  <c r="E198" i="6"/>
  <c r="D198" i="6"/>
  <c r="C198" i="6"/>
  <c r="B198" i="6"/>
  <c r="P199" i="6"/>
  <c r="P198" i="6"/>
  <c r="R198" i="6" l="1"/>
  <c r="Q198" i="6"/>
  <c r="N216" i="6"/>
  <c r="N215" i="6"/>
  <c r="P216" i="6"/>
  <c r="Q216" i="6"/>
  <c r="P215" i="6"/>
  <c r="Q212" i="2" l="1"/>
  <c r="P212" i="2"/>
  <c r="O212" i="2"/>
  <c r="N212" i="2"/>
  <c r="M212" i="2"/>
  <c r="L212" i="2"/>
  <c r="K212" i="2"/>
  <c r="J212" i="2"/>
  <c r="I212" i="2"/>
  <c r="H212" i="2"/>
  <c r="G212" i="2"/>
  <c r="F212" i="2"/>
  <c r="E212" i="2"/>
  <c r="D212" i="2"/>
  <c r="C212" i="2"/>
  <c r="B212" i="2"/>
  <c r="Q207" i="2"/>
  <c r="N207" i="2"/>
  <c r="M207" i="2"/>
  <c r="L207" i="2"/>
  <c r="K207" i="2"/>
  <c r="J207" i="2"/>
  <c r="I207" i="2"/>
  <c r="H207" i="2"/>
  <c r="G207" i="2"/>
  <c r="F207" i="2"/>
  <c r="E207" i="2"/>
  <c r="D207" i="2"/>
  <c r="C207" i="2"/>
  <c r="B207" i="2"/>
  <c r="P207" i="2"/>
  <c r="Q201" i="2"/>
  <c r="P201" i="2"/>
  <c r="Q147" i="2" l="1"/>
  <c r="P147" i="2"/>
  <c r="O147" i="2"/>
  <c r="N147" i="2"/>
  <c r="M147" i="2"/>
  <c r="L147" i="2"/>
  <c r="K147" i="2"/>
  <c r="J147" i="2"/>
  <c r="I147" i="2"/>
  <c r="H147" i="2"/>
  <c r="G147" i="2"/>
  <c r="F147" i="2"/>
  <c r="E147" i="2"/>
  <c r="D147" i="2"/>
  <c r="C147" i="2"/>
  <c r="B147" i="2"/>
  <c r="Q132" i="2"/>
  <c r="P132" i="2"/>
  <c r="O132" i="2"/>
  <c r="N132" i="2"/>
  <c r="L132" i="2"/>
  <c r="K132" i="2"/>
  <c r="J132" i="2"/>
  <c r="I132" i="2"/>
  <c r="H132" i="2"/>
  <c r="G132" i="2"/>
  <c r="F132" i="2"/>
  <c r="E132" i="2"/>
  <c r="D132" i="2"/>
  <c r="C132" i="2"/>
  <c r="B132" i="2"/>
  <c r="Q127" i="2"/>
  <c r="P127" i="2"/>
  <c r="O127" i="2"/>
  <c r="N127" i="2"/>
  <c r="M127" i="2"/>
  <c r="L127" i="2"/>
  <c r="K127" i="2"/>
  <c r="J127" i="2"/>
  <c r="I127" i="2"/>
  <c r="H127" i="2"/>
  <c r="G127" i="2"/>
  <c r="F127" i="2"/>
  <c r="E127" i="2"/>
  <c r="D127" i="2"/>
  <c r="C127" i="2"/>
  <c r="B127" i="2"/>
  <c r="Q122" i="2"/>
  <c r="P122" i="2"/>
  <c r="O122" i="2"/>
  <c r="N122" i="2"/>
  <c r="M122" i="2"/>
  <c r="L122" i="2"/>
  <c r="K122" i="2"/>
  <c r="J122" i="2"/>
  <c r="I122" i="2"/>
  <c r="H122" i="2"/>
  <c r="G122" i="2"/>
  <c r="F122" i="2"/>
  <c r="E122" i="2"/>
  <c r="D122" i="2"/>
  <c r="C122" i="2"/>
  <c r="B122" i="2"/>
  <c r="Q111" i="2"/>
  <c r="P111" i="2"/>
  <c r="O111" i="2"/>
  <c r="N111" i="2"/>
  <c r="M111" i="2"/>
  <c r="L111" i="2"/>
  <c r="K111" i="2"/>
  <c r="J111" i="2"/>
  <c r="I111" i="2"/>
  <c r="H111" i="2"/>
  <c r="G111" i="2"/>
  <c r="F111" i="2"/>
  <c r="E111" i="2"/>
  <c r="D111" i="2"/>
  <c r="C111" i="2"/>
  <c r="B111" i="2"/>
  <c r="Q106" i="2"/>
  <c r="P106" i="2"/>
  <c r="O106" i="2"/>
  <c r="N106" i="2"/>
  <c r="M106" i="2"/>
  <c r="L106" i="2"/>
  <c r="K106" i="2"/>
  <c r="J106" i="2"/>
  <c r="I106" i="2"/>
  <c r="H106" i="2"/>
  <c r="G106" i="2"/>
  <c r="F106" i="2"/>
  <c r="E106" i="2"/>
  <c r="D106" i="2"/>
  <c r="C106" i="2"/>
  <c r="B106" i="2"/>
  <c r="Q101" i="2"/>
  <c r="P101" i="2"/>
  <c r="O101" i="2"/>
  <c r="N101" i="2"/>
  <c r="M101" i="2"/>
  <c r="L101" i="2"/>
  <c r="K101" i="2"/>
  <c r="J101" i="2"/>
  <c r="I101" i="2"/>
  <c r="H101" i="2"/>
  <c r="G101" i="2"/>
  <c r="F101" i="2"/>
  <c r="E101" i="2"/>
  <c r="D101" i="2"/>
  <c r="C101" i="2"/>
  <c r="B101" i="2"/>
  <c r="Q95" i="2"/>
  <c r="P95" i="2"/>
  <c r="O95" i="2"/>
  <c r="N95" i="2"/>
  <c r="M95" i="2"/>
  <c r="L95" i="2"/>
  <c r="K95" i="2"/>
  <c r="J95" i="2"/>
  <c r="I95" i="2"/>
  <c r="H95" i="2"/>
  <c r="G95" i="2"/>
  <c r="F95" i="2"/>
  <c r="E95" i="2"/>
  <c r="D95" i="2"/>
  <c r="C95" i="2"/>
  <c r="B95" i="2"/>
  <c r="Q77" i="2"/>
  <c r="P77" i="2"/>
  <c r="O77" i="2"/>
  <c r="N77" i="2"/>
  <c r="M77" i="2"/>
  <c r="L77" i="2"/>
  <c r="K77" i="2"/>
  <c r="J77" i="2"/>
  <c r="I77" i="2"/>
  <c r="H77" i="2"/>
  <c r="G77" i="2"/>
  <c r="F77" i="2"/>
  <c r="E77" i="2"/>
  <c r="D77" i="2"/>
  <c r="C77" i="2"/>
  <c r="B77" i="2"/>
  <c r="Q71" i="2"/>
  <c r="P71" i="2"/>
  <c r="N71" i="2"/>
  <c r="M71" i="2"/>
  <c r="L71" i="2"/>
  <c r="K71" i="2"/>
  <c r="J71" i="2"/>
  <c r="I71" i="2"/>
  <c r="H71" i="2"/>
  <c r="G71" i="2"/>
  <c r="F71" i="2"/>
  <c r="E71" i="2"/>
  <c r="D71" i="2"/>
  <c r="C71" i="2"/>
  <c r="B71" i="2"/>
  <c r="Q161" i="2"/>
  <c r="P161" i="2"/>
  <c r="O161" i="2"/>
  <c r="N161" i="2"/>
  <c r="M161" i="2"/>
  <c r="L161" i="2"/>
  <c r="K161" i="2"/>
  <c r="J161" i="2"/>
  <c r="I161" i="2"/>
  <c r="H161" i="2"/>
  <c r="G161" i="2"/>
  <c r="F161" i="2"/>
  <c r="E161" i="2"/>
  <c r="D161" i="2"/>
  <c r="C161" i="2"/>
  <c r="B161" i="2"/>
  <c r="G142" i="4"/>
  <c r="A145" i="2" l="1"/>
  <c r="Q120" i="2"/>
  <c r="P120" i="2"/>
  <c r="O120" i="2"/>
  <c r="N120" i="2"/>
  <c r="M120" i="2"/>
  <c r="L120" i="2"/>
  <c r="K120" i="2"/>
  <c r="J120" i="2"/>
  <c r="I120" i="2"/>
  <c r="H120" i="2"/>
  <c r="G120" i="2"/>
  <c r="F120" i="2"/>
  <c r="E120" i="2"/>
  <c r="D120" i="2"/>
  <c r="C120" i="2"/>
  <c r="B120" i="2"/>
  <c r="Q92" i="2"/>
  <c r="P92" i="2"/>
  <c r="O92" i="2"/>
  <c r="N92" i="2"/>
  <c r="M92" i="2"/>
  <c r="L92" i="2"/>
  <c r="K92" i="2"/>
  <c r="J92" i="2"/>
  <c r="I92" i="2"/>
  <c r="H92" i="2"/>
  <c r="G92" i="2"/>
  <c r="F92" i="2"/>
  <c r="E92" i="2"/>
  <c r="D92" i="2"/>
  <c r="C92" i="2"/>
  <c r="B92" i="2"/>
  <c r="Q86" i="2"/>
  <c r="P86" i="2"/>
  <c r="O86" i="2"/>
  <c r="N86" i="2"/>
  <c r="M86" i="2"/>
  <c r="L86" i="2"/>
  <c r="K86" i="2"/>
  <c r="J86" i="2"/>
  <c r="I86" i="2"/>
  <c r="H86" i="2"/>
  <c r="G86" i="2"/>
  <c r="F86" i="2"/>
  <c r="E86" i="2"/>
  <c r="D86" i="2"/>
  <c r="C86" i="2"/>
  <c r="B86" i="2"/>
  <c r="Q198" i="2"/>
  <c r="P198" i="2"/>
  <c r="O198" i="2"/>
  <c r="N198" i="2"/>
  <c r="M198" i="2"/>
  <c r="L198" i="2"/>
  <c r="K198" i="2"/>
  <c r="J198" i="2"/>
  <c r="I198" i="2"/>
  <c r="H198" i="2"/>
  <c r="G198" i="2"/>
  <c r="F198" i="2"/>
  <c r="E198" i="2"/>
  <c r="D198" i="2"/>
  <c r="C198" i="2"/>
  <c r="B198" i="2"/>
  <c r="G249" i="4"/>
  <c r="A248" i="2" s="1"/>
  <c r="G257" i="4"/>
  <c r="A256" i="2" s="1"/>
  <c r="G253" i="4"/>
  <c r="A252" i="2" s="1"/>
  <c r="G216" i="4"/>
  <c r="A215" i="2" s="1"/>
  <c r="G211" i="4"/>
  <c r="A210" i="2" s="1"/>
  <c r="G201" i="4"/>
  <c r="A200" i="2" s="1"/>
  <c r="G200" i="4"/>
  <c r="A199" i="2" s="1"/>
  <c r="G199" i="4"/>
  <c r="A198" i="2" s="1"/>
  <c r="G188" i="4"/>
  <c r="A187" i="2" s="1"/>
  <c r="G184" i="4"/>
  <c r="A183" i="2" s="1"/>
  <c r="G172" i="4"/>
  <c r="A175" i="2" s="1"/>
  <c r="G167" i="4"/>
  <c r="A170" i="2" s="1"/>
  <c r="G160" i="4"/>
  <c r="A163" i="2" s="1"/>
  <c r="G159" i="4"/>
  <c r="A162" i="2" s="1"/>
  <c r="G158" i="4"/>
  <c r="A161" i="2" s="1"/>
  <c r="G147" i="4"/>
  <c r="A150" i="2" s="1"/>
  <c r="G137" i="4"/>
  <c r="A135" i="2" s="1"/>
  <c r="G132" i="4"/>
  <c r="A130" i="2" s="1"/>
  <c r="G127" i="4"/>
  <c r="A125" i="2" s="1"/>
  <c r="G122" i="4"/>
  <c r="A120" i="2" s="1"/>
  <c r="G117" i="4"/>
  <c r="A114" i="2" s="1"/>
  <c r="G112" i="4"/>
  <c r="A109" i="2" s="1"/>
  <c r="G107" i="4"/>
  <c r="A104" i="2" s="1"/>
  <c r="G102" i="4"/>
  <c r="A98" i="2" s="1"/>
  <c r="G96" i="4"/>
  <c r="A92" i="2" s="1"/>
  <c r="G90" i="4"/>
  <c r="A86" i="2" s="1"/>
  <c r="G85" i="4"/>
  <c r="A80" i="2" s="1"/>
  <c r="G31" i="4"/>
  <c r="G26" i="4"/>
  <c r="G79" i="4"/>
  <c r="A74" i="2" s="1"/>
  <c r="K145" i="2" l="1"/>
  <c r="K170" i="2" s="1"/>
  <c r="G145" i="2"/>
  <c r="G170" i="2" s="1"/>
  <c r="O145" i="2"/>
  <c r="O170" i="2" s="1"/>
  <c r="C145" i="2"/>
  <c r="C170" i="2" s="1"/>
  <c r="D145" i="2"/>
  <c r="D170" i="2" s="1"/>
  <c r="H145" i="2"/>
  <c r="H170" i="2" s="1"/>
  <c r="P145" i="2"/>
  <c r="P170" i="2" s="1"/>
  <c r="L145" i="2"/>
  <c r="L170" i="2" s="1"/>
  <c r="B145" i="2"/>
  <c r="B170" i="2" s="1"/>
  <c r="F145" i="2"/>
  <c r="F170" i="2" s="1"/>
  <c r="J145" i="2"/>
  <c r="J170" i="2" s="1"/>
  <c r="N145" i="2"/>
  <c r="N170" i="2" s="1"/>
  <c r="E145" i="2"/>
  <c r="E170" i="2" s="1"/>
  <c r="I145" i="2"/>
  <c r="I170" i="2" s="1"/>
  <c r="M145" i="2"/>
  <c r="M170" i="2" s="1"/>
  <c r="Q145" i="2"/>
  <c r="Q170" i="2" s="1"/>
  <c r="R216" i="6"/>
  <c r="R215" i="6"/>
  <c r="R427" i="12"/>
  <c r="Y433" i="12" s="1"/>
  <c r="O175" i="2" l="1"/>
  <c r="G175" i="2"/>
  <c r="K175" i="2"/>
  <c r="H175" i="2"/>
  <c r="D175" i="2"/>
  <c r="P175" i="2"/>
  <c r="C175" i="2"/>
  <c r="E175" i="2"/>
  <c r="F175" i="2"/>
  <c r="J175" i="2"/>
  <c r="Q175" i="2"/>
  <c r="N175" i="2"/>
  <c r="I175" i="2"/>
  <c r="M175" i="2"/>
  <c r="B175" i="2"/>
  <c r="L175" i="2"/>
  <c r="R151" i="12"/>
  <c r="R284" i="6" l="1"/>
  <c r="R306" i="6"/>
  <c r="R268" i="6"/>
  <c r="R267" i="6"/>
  <c r="P229" i="2"/>
  <c r="R259" i="2"/>
  <c r="R258" i="2"/>
  <c r="Q259" i="2"/>
  <c r="Q258" i="2"/>
  <c r="P259" i="2"/>
  <c r="T263" i="2" s="1"/>
  <c r="W263" i="2" s="1"/>
  <c r="P258" i="2"/>
  <c r="T262" i="2" s="1"/>
  <c r="W262" i="2" s="1"/>
  <c r="Q230" i="2"/>
  <c r="P230" i="2"/>
  <c r="Q229" i="2"/>
  <c r="D230" i="2"/>
  <c r="C230" i="2"/>
  <c r="B230" i="2"/>
  <c r="D229" i="2"/>
  <c r="C229" i="2"/>
  <c r="B229" i="2"/>
  <c r="Q224" i="2"/>
  <c r="N192" i="2"/>
  <c r="M192" i="2"/>
  <c r="L192" i="2"/>
  <c r="K192" i="2"/>
  <c r="J192" i="2"/>
  <c r="I192" i="2"/>
  <c r="H192" i="2"/>
  <c r="G192" i="2"/>
  <c r="F192" i="2"/>
  <c r="E192" i="2"/>
  <c r="D192" i="2"/>
  <c r="C192" i="2"/>
  <c r="Q192" i="2"/>
  <c r="P192" i="2"/>
  <c r="N195" i="2"/>
  <c r="M195" i="2"/>
  <c r="L195" i="2"/>
  <c r="K195" i="2"/>
  <c r="J195" i="2"/>
  <c r="I195" i="2"/>
  <c r="H195" i="2"/>
  <c r="G195" i="2"/>
  <c r="F195" i="2"/>
  <c r="E195" i="2"/>
  <c r="D195" i="2"/>
  <c r="C195" i="2"/>
  <c r="B195" i="2"/>
  <c r="Q195" i="2"/>
  <c r="P195" i="2"/>
  <c r="O195" i="2"/>
  <c r="Q191" i="2"/>
  <c r="Q238" i="2" s="1"/>
  <c r="P191" i="2"/>
  <c r="P238" i="2" s="1"/>
  <c r="Q190" i="2"/>
  <c r="P190" i="2"/>
  <c r="N191" i="2"/>
  <c r="M191" i="2"/>
  <c r="M238" i="2" s="1"/>
  <c r="L191" i="2"/>
  <c r="L238" i="2" s="1"/>
  <c r="K191" i="2"/>
  <c r="K238" i="2" s="1"/>
  <c r="J191" i="2"/>
  <c r="J238" i="2" s="1"/>
  <c r="I191" i="2"/>
  <c r="I238" i="2" s="1"/>
  <c r="H191" i="2"/>
  <c r="H238" i="2" s="1"/>
  <c r="G191" i="2"/>
  <c r="G238" i="2" s="1"/>
  <c r="F191" i="2"/>
  <c r="F238" i="2" s="1"/>
  <c r="E191" i="2"/>
  <c r="E238" i="2" s="1"/>
  <c r="D191" i="2"/>
  <c r="D238" i="2" s="1"/>
  <c r="C191" i="2"/>
  <c r="C238" i="2" s="1"/>
  <c r="B191" i="2"/>
  <c r="B238" i="2" s="1"/>
  <c r="N190" i="2"/>
  <c r="M190" i="2"/>
  <c r="L190" i="2"/>
  <c r="K190" i="2"/>
  <c r="J190" i="2"/>
  <c r="I190" i="2"/>
  <c r="H190" i="2"/>
  <c r="G190" i="2"/>
  <c r="F190" i="2"/>
  <c r="E190" i="2"/>
  <c r="D190" i="2"/>
  <c r="C190" i="2"/>
  <c r="Q164" i="2"/>
  <c r="P164" i="2"/>
  <c r="O164" i="2"/>
  <c r="M164" i="2"/>
  <c r="L164" i="2"/>
  <c r="K164" i="2"/>
  <c r="J164" i="2"/>
  <c r="I164" i="2"/>
  <c r="H164" i="2"/>
  <c r="G164" i="2"/>
  <c r="F164" i="2"/>
  <c r="E164" i="2"/>
  <c r="D164" i="2"/>
  <c r="C164" i="2"/>
  <c r="B164" i="2"/>
  <c r="Q155" i="2"/>
  <c r="P155" i="2"/>
  <c r="N155" i="2"/>
  <c r="M155" i="2"/>
  <c r="L155" i="2"/>
  <c r="K155" i="2"/>
  <c r="J155" i="2"/>
  <c r="I155" i="2"/>
  <c r="H155" i="2"/>
  <c r="G155" i="2"/>
  <c r="F155" i="2"/>
  <c r="E155" i="2"/>
  <c r="D155" i="2"/>
  <c r="C155" i="2"/>
  <c r="B155" i="2"/>
  <c r="N158" i="2"/>
  <c r="M158" i="2"/>
  <c r="L158" i="2"/>
  <c r="K158" i="2"/>
  <c r="J158" i="2"/>
  <c r="I158" i="2"/>
  <c r="H158" i="2"/>
  <c r="G158" i="2"/>
  <c r="F158" i="2"/>
  <c r="E158" i="2"/>
  <c r="D158" i="2"/>
  <c r="C158" i="2"/>
  <c r="B158" i="2"/>
  <c r="Q158" i="2"/>
  <c r="P158" i="2"/>
  <c r="O158" i="2"/>
  <c r="O155" i="2"/>
  <c r="Q154" i="2"/>
  <c r="P154" i="2"/>
  <c r="O154" i="2"/>
  <c r="Q153" i="2"/>
  <c r="P153" i="2"/>
  <c r="O153" i="2"/>
  <c r="M154" i="2"/>
  <c r="L154" i="2"/>
  <c r="K154" i="2"/>
  <c r="J154" i="2"/>
  <c r="I154" i="2"/>
  <c r="H154" i="2"/>
  <c r="G154" i="2"/>
  <c r="F154" i="2"/>
  <c r="E154" i="2"/>
  <c r="D154" i="2"/>
  <c r="C154" i="2"/>
  <c r="B154" i="2"/>
  <c r="M153" i="2"/>
  <c r="L153" i="2"/>
  <c r="K153" i="2"/>
  <c r="J153" i="2"/>
  <c r="I153" i="2"/>
  <c r="H153" i="2"/>
  <c r="G153" i="2"/>
  <c r="F153" i="2"/>
  <c r="E153" i="2"/>
  <c r="D153" i="2"/>
  <c r="C153" i="2"/>
  <c r="B153" i="2"/>
  <c r="Q121" i="2"/>
  <c r="P121" i="2"/>
  <c r="Q119" i="2"/>
  <c r="P119" i="2"/>
  <c r="Q118" i="2"/>
  <c r="P118" i="2"/>
  <c r="Q93" i="2"/>
  <c r="P93" i="2"/>
  <c r="O93" i="2"/>
  <c r="N93" i="2"/>
  <c r="Q91" i="2"/>
  <c r="P91" i="2"/>
  <c r="O91" i="2"/>
  <c r="N91" i="2"/>
  <c r="Q90" i="2"/>
  <c r="P90" i="2"/>
  <c r="O90" i="2"/>
  <c r="N90" i="2"/>
  <c r="K87" i="2"/>
  <c r="J87" i="2"/>
  <c r="I87" i="2"/>
  <c r="H87" i="2"/>
  <c r="G87" i="2"/>
  <c r="F87" i="2"/>
  <c r="E87" i="2"/>
  <c r="D87" i="2"/>
  <c r="C87" i="2"/>
  <c r="B87" i="2"/>
  <c r="K85" i="2"/>
  <c r="J85" i="2"/>
  <c r="I85" i="2"/>
  <c r="H85" i="2"/>
  <c r="G85" i="2"/>
  <c r="F85" i="2"/>
  <c r="E85" i="2"/>
  <c r="D85" i="2"/>
  <c r="C85" i="2"/>
  <c r="B85" i="2"/>
  <c r="K84" i="2"/>
  <c r="J84" i="2"/>
  <c r="I84" i="2"/>
  <c r="H84" i="2"/>
  <c r="G84" i="2"/>
  <c r="F84" i="2"/>
  <c r="E84" i="2"/>
  <c r="D84" i="2"/>
  <c r="C84" i="2"/>
  <c r="B84" i="2"/>
  <c r="Q87" i="2"/>
  <c r="P87" i="2"/>
  <c r="O87" i="2"/>
  <c r="N87" i="2"/>
  <c r="M87" i="2"/>
  <c r="Q85" i="2"/>
  <c r="P85" i="2"/>
  <c r="P262" i="6" s="1"/>
  <c r="N85" i="2"/>
  <c r="M85" i="2"/>
  <c r="Q84" i="2"/>
  <c r="P84" i="2"/>
  <c r="P261" i="6" s="1"/>
  <c r="N84" i="2"/>
  <c r="M84" i="2"/>
  <c r="R257" i="2"/>
  <c r="R425" i="12"/>
  <c r="Y431" i="12" s="1"/>
  <c r="R424" i="12"/>
  <c r="Y430" i="12" s="1"/>
  <c r="R423" i="12"/>
  <c r="Q425" i="12"/>
  <c r="Q424" i="12"/>
  <c r="Q423" i="12"/>
  <c r="R365" i="12"/>
  <c r="M365" i="12"/>
  <c r="L365" i="12"/>
  <c r="K365" i="12"/>
  <c r="J365" i="12"/>
  <c r="I365" i="12"/>
  <c r="H365" i="12"/>
  <c r="G365" i="12"/>
  <c r="F365" i="12"/>
  <c r="E365" i="12"/>
  <c r="D365" i="12"/>
  <c r="C365" i="12"/>
  <c r="B365" i="12"/>
  <c r="N365" i="12"/>
  <c r="O365" i="12"/>
  <c r="P365" i="12"/>
  <c r="Q365" i="12"/>
  <c r="R355" i="12"/>
  <c r="Q355" i="12"/>
  <c r="P355" i="12"/>
  <c r="O355" i="12"/>
  <c r="M355" i="12"/>
  <c r="L355" i="12"/>
  <c r="K355" i="12"/>
  <c r="J355" i="12"/>
  <c r="I355" i="12"/>
  <c r="H355" i="12"/>
  <c r="G355" i="12"/>
  <c r="F355" i="12"/>
  <c r="E355" i="12"/>
  <c r="D355" i="12"/>
  <c r="C355" i="12"/>
  <c r="B355" i="12"/>
  <c r="N355" i="12"/>
  <c r="R348" i="12"/>
  <c r="R380" i="12" s="1"/>
  <c r="Q348" i="12"/>
  <c r="Q380" i="12" s="1"/>
  <c r="P348" i="12"/>
  <c r="N348" i="12"/>
  <c r="M348" i="12"/>
  <c r="L348" i="12"/>
  <c r="K348" i="12"/>
  <c r="J348" i="12"/>
  <c r="I348" i="12"/>
  <c r="H348" i="12"/>
  <c r="F348" i="12"/>
  <c r="E348" i="12"/>
  <c r="D348" i="12"/>
  <c r="C348" i="12"/>
  <c r="B348" i="12"/>
  <c r="O348" i="12"/>
  <c r="Q330" i="12"/>
  <c r="P330" i="12"/>
  <c r="N330" i="12"/>
  <c r="M330" i="12"/>
  <c r="L330" i="12"/>
  <c r="K330" i="12"/>
  <c r="J330" i="12"/>
  <c r="I330" i="12"/>
  <c r="H330" i="12"/>
  <c r="G330" i="12"/>
  <c r="F330" i="12"/>
  <c r="E330" i="12"/>
  <c r="D330" i="12"/>
  <c r="C330" i="12"/>
  <c r="B330" i="12"/>
  <c r="Q327" i="12"/>
  <c r="P327" i="12"/>
  <c r="O327" i="12"/>
  <c r="N327" i="12"/>
  <c r="M327" i="12"/>
  <c r="L327" i="12"/>
  <c r="K327" i="12"/>
  <c r="J327" i="12"/>
  <c r="I327" i="12"/>
  <c r="H327" i="12"/>
  <c r="G327" i="12"/>
  <c r="F327" i="12"/>
  <c r="E327" i="12"/>
  <c r="D327" i="12"/>
  <c r="C327" i="12"/>
  <c r="B327" i="12"/>
  <c r="R327" i="12"/>
  <c r="R330" i="12"/>
  <c r="Q333" i="12"/>
  <c r="P333" i="12"/>
  <c r="O333" i="12"/>
  <c r="N333" i="12"/>
  <c r="M333" i="12"/>
  <c r="L333" i="12"/>
  <c r="K333" i="12"/>
  <c r="J333" i="12"/>
  <c r="I333" i="12"/>
  <c r="H333" i="12"/>
  <c r="G333" i="12"/>
  <c r="F333" i="12"/>
  <c r="E333" i="12"/>
  <c r="D333" i="12"/>
  <c r="C333" i="12"/>
  <c r="B333" i="12"/>
  <c r="R333" i="12"/>
  <c r="R336" i="12"/>
  <c r="P336" i="12"/>
  <c r="O336" i="12"/>
  <c r="N336" i="12"/>
  <c r="M336" i="12"/>
  <c r="L336" i="12"/>
  <c r="K336" i="12"/>
  <c r="J336" i="12"/>
  <c r="I336" i="12"/>
  <c r="H336" i="12"/>
  <c r="G336" i="12"/>
  <c r="F336" i="12"/>
  <c r="E336" i="12"/>
  <c r="D336" i="12"/>
  <c r="C336" i="12"/>
  <c r="B336" i="12"/>
  <c r="Q336" i="12"/>
  <c r="R339" i="12"/>
  <c r="Q339" i="12"/>
  <c r="P339" i="12"/>
  <c r="R342" i="12"/>
  <c r="R378" i="12" s="1"/>
  <c r="Q342" i="12"/>
  <c r="Q378" i="12" s="1"/>
  <c r="O342" i="12"/>
  <c r="N342" i="12"/>
  <c r="M342" i="12"/>
  <c r="L342" i="12"/>
  <c r="K342" i="12"/>
  <c r="J342" i="12"/>
  <c r="I342" i="12"/>
  <c r="H342" i="12"/>
  <c r="G342" i="12"/>
  <c r="F342" i="12"/>
  <c r="E342" i="12"/>
  <c r="D342" i="12"/>
  <c r="C342" i="12"/>
  <c r="B342" i="12"/>
  <c r="P342" i="12"/>
  <c r="C303" i="4"/>
  <c r="R374" i="12"/>
  <c r="R373" i="12"/>
  <c r="Q374" i="12"/>
  <c r="Q373" i="12"/>
  <c r="P374" i="12"/>
  <c r="P373" i="12"/>
  <c r="C288" i="4"/>
  <c r="A365" i="12" s="1"/>
  <c r="R324" i="12"/>
  <c r="Q324" i="12"/>
  <c r="P324" i="12"/>
  <c r="O324" i="12"/>
  <c r="R323" i="12"/>
  <c r="R397" i="12" s="1"/>
  <c r="Q323" i="12"/>
  <c r="P323" i="12"/>
  <c r="R322" i="12"/>
  <c r="Q322" i="12"/>
  <c r="P322" i="12"/>
  <c r="O322" i="12"/>
  <c r="N323" i="12"/>
  <c r="N322" i="12"/>
  <c r="L323" i="12"/>
  <c r="K323" i="12"/>
  <c r="J323" i="12"/>
  <c r="I323" i="12"/>
  <c r="H323" i="12"/>
  <c r="G323" i="12"/>
  <c r="F323" i="12"/>
  <c r="E323" i="12"/>
  <c r="D323" i="12"/>
  <c r="C323" i="12"/>
  <c r="B323" i="12"/>
  <c r="L322" i="12"/>
  <c r="K322" i="12"/>
  <c r="J322" i="12"/>
  <c r="I322" i="12"/>
  <c r="H322" i="12"/>
  <c r="G322" i="12"/>
  <c r="F322" i="12"/>
  <c r="E322" i="12"/>
  <c r="D322" i="12"/>
  <c r="C322" i="12"/>
  <c r="B322" i="12"/>
  <c r="M323" i="12"/>
  <c r="M322" i="12"/>
  <c r="P315" i="12"/>
  <c r="O315" i="12"/>
  <c r="N315" i="12"/>
  <c r="M315" i="12"/>
  <c r="L315" i="12"/>
  <c r="K315" i="12"/>
  <c r="J315" i="12"/>
  <c r="I315" i="12"/>
  <c r="H315" i="12"/>
  <c r="G315" i="12"/>
  <c r="F315" i="12"/>
  <c r="E315" i="12"/>
  <c r="D315" i="12"/>
  <c r="C315" i="12"/>
  <c r="B315" i="12"/>
  <c r="Q315" i="12"/>
  <c r="R303" i="12"/>
  <c r="R422" i="12" s="1"/>
  <c r="Y428" i="12" s="1"/>
  <c r="Q303" i="12"/>
  <c r="O303" i="12"/>
  <c r="O422" i="12" s="1"/>
  <c r="N303" i="12"/>
  <c r="N422" i="12" s="1"/>
  <c r="M303" i="12"/>
  <c r="M422" i="12" s="1"/>
  <c r="L303" i="12"/>
  <c r="K303" i="12"/>
  <c r="J303" i="12"/>
  <c r="I303" i="12"/>
  <c r="H303" i="12"/>
  <c r="G303" i="12"/>
  <c r="F303" i="12"/>
  <c r="E303" i="12"/>
  <c r="D303" i="12"/>
  <c r="C303" i="12"/>
  <c r="B303" i="12"/>
  <c r="P303" i="12"/>
  <c r="P422" i="12" s="1"/>
  <c r="C239" i="4"/>
  <c r="A314" i="12" s="1"/>
  <c r="C238" i="4"/>
  <c r="A313" i="12" s="1"/>
  <c r="C233" i="4"/>
  <c r="A308" i="12" s="1"/>
  <c r="C245" i="4"/>
  <c r="A320" i="12" s="1"/>
  <c r="C263" i="4"/>
  <c r="A338" i="12" s="1"/>
  <c r="C262" i="4"/>
  <c r="A337" i="12" s="1"/>
  <c r="C261" i="4"/>
  <c r="A336" i="12" s="1"/>
  <c r="C272" i="4"/>
  <c r="A347" i="12" s="1"/>
  <c r="C271" i="4"/>
  <c r="A346" i="12" s="1"/>
  <c r="C278" i="4"/>
  <c r="A353" i="12" s="1"/>
  <c r="C277" i="4"/>
  <c r="A352" i="12" s="1"/>
  <c r="C284" i="4"/>
  <c r="A360" i="12" s="1"/>
  <c r="C283" i="4"/>
  <c r="A359" i="12" s="1"/>
  <c r="C293" i="4"/>
  <c r="A370" i="12" s="1"/>
  <c r="C329" i="4"/>
  <c r="A409" i="12" s="1"/>
  <c r="C328" i="4"/>
  <c r="A408" i="12" s="1"/>
  <c r="C335" i="4"/>
  <c r="A415" i="12" s="1"/>
  <c r="C334" i="4"/>
  <c r="A414" i="12" s="1"/>
  <c r="C341" i="4"/>
  <c r="A421" i="12" s="1"/>
  <c r="C340" i="4"/>
  <c r="A420" i="12" s="1"/>
  <c r="C347" i="4"/>
  <c r="A427" i="12" s="1"/>
  <c r="C346" i="4"/>
  <c r="A426" i="12" s="1"/>
  <c r="C353" i="4"/>
  <c r="A433" i="12" s="1"/>
  <c r="C352" i="4"/>
  <c r="A432" i="12" s="1"/>
  <c r="R274" i="12"/>
  <c r="Q274" i="12"/>
  <c r="P274" i="12"/>
  <c r="O274" i="12"/>
  <c r="N274" i="12"/>
  <c r="M274" i="12"/>
  <c r="L274" i="12"/>
  <c r="K274" i="12"/>
  <c r="J274" i="12"/>
  <c r="I274" i="12"/>
  <c r="H274" i="12"/>
  <c r="G274" i="12"/>
  <c r="F274" i="12"/>
  <c r="E274" i="12"/>
  <c r="D274" i="12"/>
  <c r="C274" i="12"/>
  <c r="B274" i="12"/>
  <c r="R271" i="12"/>
  <c r="Q271" i="12"/>
  <c r="P271" i="12"/>
  <c r="O271" i="12"/>
  <c r="N271" i="12"/>
  <c r="M271" i="12"/>
  <c r="L271" i="12"/>
  <c r="K271" i="12"/>
  <c r="J271" i="12"/>
  <c r="I271" i="12"/>
  <c r="H271" i="12"/>
  <c r="G271" i="12"/>
  <c r="F271" i="12"/>
  <c r="E271" i="12"/>
  <c r="D271" i="12"/>
  <c r="C271" i="12"/>
  <c r="B271" i="12"/>
  <c r="R268" i="12"/>
  <c r="Q268" i="12"/>
  <c r="P268" i="12"/>
  <c r="O268" i="12"/>
  <c r="N268" i="12"/>
  <c r="M268" i="12"/>
  <c r="L268" i="12"/>
  <c r="K268" i="12"/>
  <c r="J268" i="12"/>
  <c r="I268" i="12"/>
  <c r="H268" i="12"/>
  <c r="G268" i="12"/>
  <c r="F268" i="12"/>
  <c r="E268" i="12"/>
  <c r="D268" i="12"/>
  <c r="C268" i="12"/>
  <c r="R265" i="12"/>
  <c r="U286" i="12" s="1"/>
  <c r="Q265" i="12"/>
  <c r="P265" i="12"/>
  <c r="O265" i="12"/>
  <c r="N265" i="12"/>
  <c r="M265" i="12"/>
  <c r="L265" i="12"/>
  <c r="K265" i="12"/>
  <c r="J265" i="12"/>
  <c r="I265" i="12"/>
  <c r="H265" i="12"/>
  <c r="G265" i="12"/>
  <c r="F265" i="12"/>
  <c r="E265" i="12"/>
  <c r="D265" i="12"/>
  <c r="C265" i="12"/>
  <c r="R262" i="12"/>
  <c r="Q262" i="12"/>
  <c r="P262" i="12"/>
  <c r="O262" i="12"/>
  <c r="N262" i="12"/>
  <c r="M262" i="12"/>
  <c r="L262" i="12"/>
  <c r="K262" i="12"/>
  <c r="J262" i="12"/>
  <c r="I262" i="12"/>
  <c r="H262" i="12"/>
  <c r="G262" i="12"/>
  <c r="F262" i="12"/>
  <c r="E262" i="12"/>
  <c r="D262" i="12"/>
  <c r="C262" i="12"/>
  <c r="R253" i="12"/>
  <c r="Q253" i="12"/>
  <c r="P253" i="12"/>
  <c r="O253" i="12"/>
  <c r="N253" i="12"/>
  <c r="M253" i="12"/>
  <c r="L253" i="12"/>
  <c r="K253" i="12"/>
  <c r="J253" i="12"/>
  <c r="I253" i="12"/>
  <c r="H253" i="12"/>
  <c r="G253" i="12"/>
  <c r="F253" i="12"/>
  <c r="E253" i="12"/>
  <c r="D253" i="12"/>
  <c r="C253" i="12"/>
  <c r="B253" i="12"/>
  <c r="R226" i="12"/>
  <c r="Q226" i="12"/>
  <c r="P226" i="12"/>
  <c r="N226" i="12"/>
  <c r="M226" i="12"/>
  <c r="L226" i="12"/>
  <c r="K226" i="12"/>
  <c r="J226" i="12"/>
  <c r="I226" i="12"/>
  <c r="H226" i="12"/>
  <c r="G226" i="12"/>
  <c r="F226" i="12"/>
  <c r="E226" i="12"/>
  <c r="D226" i="12"/>
  <c r="C226" i="12"/>
  <c r="B226" i="12"/>
  <c r="O226" i="12"/>
  <c r="R217" i="12"/>
  <c r="M217" i="12"/>
  <c r="L217" i="12"/>
  <c r="K217" i="12"/>
  <c r="J217" i="12"/>
  <c r="I217" i="12"/>
  <c r="H217" i="12"/>
  <c r="G217" i="12"/>
  <c r="F217" i="12"/>
  <c r="E217" i="12"/>
  <c r="D217" i="12"/>
  <c r="C217" i="12"/>
  <c r="B217" i="12"/>
  <c r="Q217" i="12"/>
  <c r="P217" i="12"/>
  <c r="O217" i="12"/>
  <c r="N217" i="12"/>
  <c r="R208" i="12"/>
  <c r="Q208" i="12"/>
  <c r="P208" i="12"/>
  <c r="N208" i="12"/>
  <c r="M208" i="12"/>
  <c r="L208" i="12"/>
  <c r="K208" i="12"/>
  <c r="J208" i="12"/>
  <c r="I208" i="12"/>
  <c r="H208" i="12"/>
  <c r="G208" i="12"/>
  <c r="F208" i="12"/>
  <c r="E208" i="12"/>
  <c r="D208" i="12"/>
  <c r="C208" i="12"/>
  <c r="B208" i="12"/>
  <c r="O208" i="12"/>
  <c r="R204" i="12"/>
  <c r="Q204" i="12"/>
  <c r="P204" i="12"/>
  <c r="O204" i="12"/>
  <c r="N204" i="12"/>
  <c r="R203" i="12"/>
  <c r="R248" i="12" s="1"/>
  <c r="Q203" i="12"/>
  <c r="Q248" i="12" s="1"/>
  <c r="P203" i="12"/>
  <c r="P248" i="12" s="1"/>
  <c r="O203" i="12"/>
  <c r="O248" i="12" s="1"/>
  <c r="N203" i="12"/>
  <c r="R202" i="12"/>
  <c r="Q202" i="12"/>
  <c r="P202" i="12"/>
  <c r="O202" i="12"/>
  <c r="N202" i="12"/>
  <c r="R201" i="12"/>
  <c r="Q201" i="12"/>
  <c r="P201" i="12"/>
  <c r="O201" i="12"/>
  <c r="N201" i="12"/>
  <c r="R200" i="12"/>
  <c r="Q200" i="12"/>
  <c r="P200" i="12"/>
  <c r="O200" i="12"/>
  <c r="N200" i="12"/>
  <c r="R205" i="12"/>
  <c r="Q205" i="12"/>
  <c r="P205" i="12"/>
  <c r="O205" i="12"/>
  <c r="N205" i="12"/>
  <c r="M205" i="12"/>
  <c r="L205" i="12"/>
  <c r="K205" i="12"/>
  <c r="J205" i="12"/>
  <c r="I205" i="12"/>
  <c r="H205" i="12"/>
  <c r="G205" i="12"/>
  <c r="F205" i="12"/>
  <c r="E205" i="12"/>
  <c r="D205" i="12"/>
  <c r="C205" i="12"/>
  <c r="B205" i="12"/>
  <c r="R192" i="12"/>
  <c r="Q192" i="12"/>
  <c r="P192" i="12"/>
  <c r="O192" i="12"/>
  <c r="N192" i="12"/>
  <c r="M192" i="12"/>
  <c r="L192" i="12"/>
  <c r="K192" i="12"/>
  <c r="J192" i="12"/>
  <c r="I192" i="12"/>
  <c r="H192" i="12"/>
  <c r="G192" i="12"/>
  <c r="F192" i="12"/>
  <c r="E192" i="12"/>
  <c r="D192" i="12"/>
  <c r="C192" i="12"/>
  <c r="B192" i="12"/>
  <c r="R184" i="12"/>
  <c r="Q184" i="12"/>
  <c r="P184" i="12"/>
  <c r="O184" i="12"/>
  <c r="N184" i="12"/>
  <c r="M184" i="12"/>
  <c r="L184" i="12"/>
  <c r="K184" i="12"/>
  <c r="J184" i="12"/>
  <c r="I184" i="12"/>
  <c r="H184" i="12"/>
  <c r="G184" i="12"/>
  <c r="F184" i="12"/>
  <c r="E184" i="12"/>
  <c r="D184" i="12"/>
  <c r="C184" i="12"/>
  <c r="B184" i="12"/>
  <c r="R176" i="12"/>
  <c r="Q176" i="12"/>
  <c r="P176" i="12"/>
  <c r="O176" i="12"/>
  <c r="N176" i="12"/>
  <c r="M176" i="12"/>
  <c r="L176" i="12"/>
  <c r="K176" i="12"/>
  <c r="J176" i="12"/>
  <c r="I176" i="12"/>
  <c r="H176" i="12"/>
  <c r="G176" i="12"/>
  <c r="F176" i="12"/>
  <c r="E176" i="12"/>
  <c r="D176" i="12"/>
  <c r="C176" i="12"/>
  <c r="B176" i="12"/>
  <c r="R170" i="12"/>
  <c r="Q170" i="12"/>
  <c r="P170" i="12"/>
  <c r="N170" i="12"/>
  <c r="M170" i="12"/>
  <c r="L170" i="12"/>
  <c r="K170" i="12"/>
  <c r="J170" i="12"/>
  <c r="I170" i="12"/>
  <c r="H170" i="12"/>
  <c r="G170" i="12"/>
  <c r="F170" i="12"/>
  <c r="E170" i="12"/>
  <c r="D170" i="12"/>
  <c r="C170" i="12"/>
  <c r="B170" i="12"/>
  <c r="O170" i="12"/>
  <c r="R155" i="12"/>
  <c r="Q155" i="12"/>
  <c r="P155" i="12"/>
  <c r="N155" i="12"/>
  <c r="M155" i="12"/>
  <c r="L155" i="12"/>
  <c r="K155" i="12"/>
  <c r="J155" i="12"/>
  <c r="I155" i="12"/>
  <c r="H155" i="12"/>
  <c r="G155" i="12"/>
  <c r="F155" i="12"/>
  <c r="E155" i="12"/>
  <c r="D155" i="12"/>
  <c r="C155" i="12"/>
  <c r="B155" i="12"/>
  <c r="O155" i="12"/>
  <c r="R152" i="12"/>
  <c r="R150" i="12"/>
  <c r="R149" i="12"/>
  <c r="R148" i="12"/>
  <c r="Q152" i="12"/>
  <c r="P152" i="12"/>
  <c r="O152" i="12"/>
  <c r="N152" i="12"/>
  <c r="M152" i="12"/>
  <c r="L152" i="12"/>
  <c r="K152" i="12"/>
  <c r="J152" i="12"/>
  <c r="I152" i="12"/>
  <c r="H152" i="12"/>
  <c r="G152" i="12"/>
  <c r="F152" i="12"/>
  <c r="E152" i="12"/>
  <c r="D152" i="12"/>
  <c r="C152" i="12"/>
  <c r="Q151" i="12"/>
  <c r="P151" i="12"/>
  <c r="O151" i="12"/>
  <c r="N151" i="12"/>
  <c r="M151" i="12"/>
  <c r="L151" i="12"/>
  <c r="K151" i="12"/>
  <c r="J151" i="12"/>
  <c r="I151" i="12"/>
  <c r="H151" i="12"/>
  <c r="G151" i="12"/>
  <c r="F151" i="12"/>
  <c r="E151" i="12"/>
  <c r="D151" i="12"/>
  <c r="C151" i="12"/>
  <c r="Q150" i="12"/>
  <c r="P150" i="12"/>
  <c r="O150" i="12"/>
  <c r="N150" i="12"/>
  <c r="M150" i="12"/>
  <c r="L150" i="12"/>
  <c r="K150" i="12"/>
  <c r="J150" i="12"/>
  <c r="I150" i="12"/>
  <c r="H150" i="12"/>
  <c r="G150" i="12"/>
  <c r="F150" i="12"/>
  <c r="E150" i="12"/>
  <c r="D150" i="12"/>
  <c r="C150" i="12"/>
  <c r="Q149" i="12"/>
  <c r="P149" i="12"/>
  <c r="O149" i="12"/>
  <c r="N149" i="12"/>
  <c r="M149" i="12"/>
  <c r="L149" i="12"/>
  <c r="K149" i="12"/>
  <c r="J149" i="12"/>
  <c r="I149" i="12"/>
  <c r="H149" i="12"/>
  <c r="G149" i="12"/>
  <c r="F149" i="12"/>
  <c r="E149" i="12"/>
  <c r="D149" i="12"/>
  <c r="C149" i="12"/>
  <c r="Q148" i="12"/>
  <c r="P148" i="12"/>
  <c r="O148" i="12"/>
  <c r="N148" i="12"/>
  <c r="M148" i="12"/>
  <c r="L148" i="12"/>
  <c r="K148" i="12"/>
  <c r="J148" i="12"/>
  <c r="I148" i="12"/>
  <c r="H148" i="12"/>
  <c r="G148" i="12"/>
  <c r="F148" i="12"/>
  <c r="E148" i="12"/>
  <c r="D148" i="12"/>
  <c r="C148" i="12"/>
  <c r="R131" i="12"/>
  <c r="Q131" i="12"/>
  <c r="P131" i="12"/>
  <c r="N131" i="12"/>
  <c r="M131" i="12"/>
  <c r="L131" i="12"/>
  <c r="K131" i="12"/>
  <c r="J131" i="12"/>
  <c r="I131" i="12"/>
  <c r="H131" i="12"/>
  <c r="G131" i="12"/>
  <c r="F131" i="12"/>
  <c r="E131" i="12"/>
  <c r="D131" i="12"/>
  <c r="C131" i="12"/>
  <c r="B131" i="12"/>
  <c r="B152" i="12"/>
  <c r="B151" i="12"/>
  <c r="R91" i="12"/>
  <c r="R144" i="12" s="1"/>
  <c r="Q91" i="12"/>
  <c r="Q144" i="12" s="1"/>
  <c r="P91" i="12"/>
  <c r="P144" i="12" s="1"/>
  <c r="O91" i="12"/>
  <c r="O144" i="12" s="1"/>
  <c r="R90" i="12"/>
  <c r="R143" i="12" s="1"/>
  <c r="Q90" i="12"/>
  <c r="Q143" i="12" s="1"/>
  <c r="P90" i="12"/>
  <c r="P143" i="12" s="1"/>
  <c r="P369" i="12" s="1"/>
  <c r="O90" i="12"/>
  <c r="O143" i="12" s="1"/>
  <c r="R89" i="12"/>
  <c r="R142" i="12" s="1"/>
  <c r="Q89" i="12"/>
  <c r="Q142" i="12" s="1"/>
  <c r="Q257" i="6" s="1"/>
  <c r="P89" i="12"/>
  <c r="P142" i="12" s="1"/>
  <c r="P257" i="6" s="1"/>
  <c r="O89" i="12"/>
  <c r="O142" i="12" s="1"/>
  <c r="R88" i="12"/>
  <c r="R141" i="12" s="1"/>
  <c r="Q88" i="12"/>
  <c r="Q141" i="12" s="1"/>
  <c r="Q256" i="6" s="1"/>
  <c r="P88" i="12"/>
  <c r="P141" i="12" s="1"/>
  <c r="P256" i="6" s="1"/>
  <c r="O88" i="12"/>
  <c r="O141" i="12" s="1"/>
  <c r="R87" i="12"/>
  <c r="R140" i="12" s="1"/>
  <c r="Q87" i="12"/>
  <c r="Q140" i="12" s="1"/>
  <c r="P87" i="12"/>
  <c r="P140" i="12" s="1"/>
  <c r="P255" i="6" s="1"/>
  <c r="O87" i="12"/>
  <c r="M91" i="12"/>
  <c r="M144" i="12" s="1"/>
  <c r="M370" i="12" s="1"/>
  <c r="L91" i="12"/>
  <c r="L144" i="12" s="1"/>
  <c r="L370" i="12" s="1"/>
  <c r="K91" i="12"/>
  <c r="K144" i="12" s="1"/>
  <c r="K370" i="12" s="1"/>
  <c r="J91" i="12"/>
  <c r="J144" i="12" s="1"/>
  <c r="J370" i="12" s="1"/>
  <c r="I91" i="12"/>
  <c r="I144" i="12" s="1"/>
  <c r="I370" i="12" s="1"/>
  <c r="H91" i="12"/>
  <c r="H144" i="12" s="1"/>
  <c r="H370" i="12" s="1"/>
  <c r="G91" i="12"/>
  <c r="G144" i="12" s="1"/>
  <c r="G370" i="12" s="1"/>
  <c r="F91" i="12"/>
  <c r="F144" i="12" s="1"/>
  <c r="F370" i="12" s="1"/>
  <c r="E91" i="12"/>
  <c r="E144" i="12" s="1"/>
  <c r="E370" i="12" s="1"/>
  <c r="D91" i="12"/>
  <c r="D144" i="12" s="1"/>
  <c r="D370" i="12" s="1"/>
  <c r="C91" i="12"/>
  <c r="C144" i="12" s="1"/>
  <c r="C370" i="12" s="1"/>
  <c r="B91" i="12"/>
  <c r="B144" i="12" s="1"/>
  <c r="B370" i="12" s="1"/>
  <c r="M90" i="12"/>
  <c r="M143" i="12" s="1"/>
  <c r="M369" i="12" s="1"/>
  <c r="L90" i="12"/>
  <c r="L143" i="12" s="1"/>
  <c r="L369" i="12" s="1"/>
  <c r="K90" i="12"/>
  <c r="K143" i="12" s="1"/>
  <c r="K369" i="12" s="1"/>
  <c r="J90" i="12"/>
  <c r="J143" i="12" s="1"/>
  <c r="J369" i="12" s="1"/>
  <c r="I90" i="12"/>
  <c r="I143" i="12" s="1"/>
  <c r="I369" i="12" s="1"/>
  <c r="H90" i="12"/>
  <c r="H143" i="12" s="1"/>
  <c r="H369" i="12" s="1"/>
  <c r="G90" i="12"/>
  <c r="G143" i="12" s="1"/>
  <c r="G369" i="12" s="1"/>
  <c r="F90" i="12"/>
  <c r="F143" i="12" s="1"/>
  <c r="F369" i="12" s="1"/>
  <c r="E90" i="12"/>
  <c r="E143" i="12" s="1"/>
  <c r="E369" i="12" s="1"/>
  <c r="D90" i="12"/>
  <c r="D143" i="12" s="1"/>
  <c r="D369" i="12" s="1"/>
  <c r="C90" i="12"/>
  <c r="C143" i="12" s="1"/>
  <c r="C369" i="12" s="1"/>
  <c r="B90" i="12"/>
  <c r="B143" i="12" s="1"/>
  <c r="B369" i="12" s="1"/>
  <c r="M89" i="12"/>
  <c r="L89" i="12"/>
  <c r="K89" i="12"/>
  <c r="J89" i="12"/>
  <c r="I89" i="12"/>
  <c r="H89" i="12"/>
  <c r="G89" i="12"/>
  <c r="F89" i="12"/>
  <c r="E89" i="12"/>
  <c r="D89" i="12"/>
  <c r="C89" i="12"/>
  <c r="B89" i="12"/>
  <c r="M88" i="12"/>
  <c r="L88" i="12"/>
  <c r="K88" i="12"/>
  <c r="J88" i="12"/>
  <c r="I88" i="12"/>
  <c r="H88" i="12"/>
  <c r="G88" i="12"/>
  <c r="F88" i="12"/>
  <c r="E88" i="12"/>
  <c r="D88" i="12"/>
  <c r="C88" i="12"/>
  <c r="B88" i="12"/>
  <c r="M87" i="12"/>
  <c r="L87" i="12"/>
  <c r="K87" i="12"/>
  <c r="J87" i="12"/>
  <c r="I87" i="12"/>
  <c r="H87" i="12"/>
  <c r="G87" i="12"/>
  <c r="F87" i="12"/>
  <c r="E87" i="12"/>
  <c r="D87" i="12"/>
  <c r="C87" i="12"/>
  <c r="B87" i="12"/>
  <c r="N91" i="12"/>
  <c r="N144" i="12" s="1"/>
  <c r="N90" i="12"/>
  <c r="N143" i="12" s="1"/>
  <c r="N369" i="12" s="1"/>
  <c r="N89" i="12"/>
  <c r="N88" i="12"/>
  <c r="R94" i="12"/>
  <c r="Q94" i="12"/>
  <c r="Q84" i="6" s="1"/>
  <c r="Q96" i="6" s="1"/>
  <c r="P94" i="12"/>
  <c r="O84" i="6"/>
  <c r="N94" i="12"/>
  <c r="R109" i="12"/>
  <c r="R364" i="12" s="1"/>
  <c r="Q109" i="12"/>
  <c r="Q364" i="12" s="1"/>
  <c r="P109" i="12"/>
  <c r="P364" i="12" s="1"/>
  <c r="O364" i="12"/>
  <c r="N109" i="12"/>
  <c r="N364" i="12" s="1"/>
  <c r="R116" i="12"/>
  <c r="Q116" i="12"/>
  <c r="P116" i="12"/>
  <c r="N116" i="12"/>
  <c r="C87" i="4"/>
  <c r="A91" i="12" s="1"/>
  <c r="C86" i="4"/>
  <c r="A90" i="12" s="1"/>
  <c r="C217" i="4"/>
  <c r="A290" i="12" s="1"/>
  <c r="C210" i="4"/>
  <c r="A276" i="12" s="1"/>
  <c r="C209" i="4"/>
  <c r="A275" i="12" s="1"/>
  <c r="C208" i="4"/>
  <c r="A274" i="12" s="1"/>
  <c r="C194" i="4"/>
  <c r="A258" i="12" s="1"/>
  <c r="C188" i="4"/>
  <c r="A250" i="12" s="1"/>
  <c r="C181" i="4"/>
  <c r="A232" i="12" s="1"/>
  <c r="C174" i="4"/>
  <c r="A223" i="12" s="1"/>
  <c r="C167" i="4"/>
  <c r="A214" i="12" s="1"/>
  <c r="C160" i="4"/>
  <c r="A205" i="12" s="1"/>
  <c r="C153" i="4"/>
  <c r="A197" i="12" s="1"/>
  <c r="C147" i="4"/>
  <c r="A189" i="12" s="1"/>
  <c r="C141" i="4"/>
  <c r="A181" i="12" s="1"/>
  <c r="C135" i="4"/>
  <c r="C129" i="4"/>
  <c r="A160" i="12" s="1"/>
  <c r="C123" i="4"/>
  <c r="A152" i="12" s="1"/>
  <c r="C117" i="4"/>
  <c r="A144" i="12" s="1"/>
  <c r="C111" i="4"/>
  <c r="A136" i="12" s="1"/>
  <c r="C105" i="4"/>
  <c r="A121" i="12" s="1"/>
  <c r="C99" i="4"/>
  <c r="A114" i="12" s="1"/>
  <c r="C93" i="4"/>
  <c r="A99" i="12" s="1"/>
  <c r="C224" i="4"/>
  <c r="C36" i="4"/>
  <c r="A36" i="12" s="1"/>
  <c r="C35" i="4"/>
  <c r="A35" i="12" s="1"/>
  <c r="C30" i="4"/>
  <c r="A29" i="12" s="1"/>
  <c r="C29" i="4"/>
  <c r="A28" i="12" s="1"/>
  <c r="C232" i="4"/>
  <c r="A307" i="12" s="1"/>
  <c r="C244" i="4"/>
  <c r="A319" i="12" s="1"/>
  <c r="C260" i="4"/>
  <c r="A335" i="12" s="1"/>
  <c r="C259" i="4"/>
  <c r="A334" i="12" s="1"/>
  <c r="C258" i="4"/>
  <c r="A333" i="12" s="1"/>
  <c r="C292" i="4"/>
  <c r="A369" i="12" s="1"/>
  <c r="C216" i="4"/>
  <c r="A289" i="12" s="1"/>
  <c r="C122" i="4"/>
  <c r="A151" i="12" s="1"/>
  <c r="C121" i="4"/>
  <c r="C134" i="4"/>
  <c r="C146" i="4"/>
  <c r="A188" i="12" s="1"/>
  <c r="C207" i="4"/>
  <c r="A273" i="12" s="1"/>
  <c r="C206" i="4"/>
  <c r="A272" i="12" s="1"/>
  <c r="C205" i="4"/>
  <c r="A271" i="12" s="1"/>
  <c r="C193" i="4"/>
  <c r="A257" i="12" s="1"/>
  <c r="C187" i="4"/>
  <c r="A249" i="12" s="1"/>
  <c r="C180" i="4"/>
  <c r="A231" i="12" s="1"/>
  <c r="C173" i="4"/>
  <c r="A222" i="12" s="1"/>
  <c r="C166" i="4"/>
  <c r="A213" i="12" s="1"/>
  <c r="C159" i="4"/>
  <c r="A204" i="12" s="1"/>
  <c r="C152" i="4"/>
  <c r="A196" i="12" s="1"/>
  <c r="C140" i="4"/>
  <c r="A180" i="12" s="1"/>
  <c r="C128" i="4"/>
  <c r="A159" i="12" s="1"/>
  <c r="C116" i="4"/>
  <c r="A143" i="12" s="1"/>
  <c r="C110" i="4"/>
  <c r="A135" i="12" s="1"/>
  <c r="C104" i="4"/>
  <c r="A120" i="12" s="1"/>
  <c r="C98" i="4"/>
  <c r="A113" i="12" s="1"/>
  <c r="C223" i="4"/>
  <c r="C92" i="4"/>
  <c r="A98" i="12" s="1"/>
  <c r="R372" i="12"/>
  <c r="R386" i="12"/>
  <c r="R389" i="12"/>
  <c r="R388" i="12"/>
  <c r="R385" i="12"/>
  <c r="R208" i="6"/>
  <c r="R207" i="6"/>
  <c r="R214" i="6"/>
  <c r="R213" i="6"/>
  <c r="R238" i="6"/>
  <c r="Q238" i="6"/>
  <c r="R230" i="6"/>
  <c r="R229" i="6"/>
  <c r="Q230" i="6"/>
  <c r="Q229" i="6"/>
  <c r="R223" i="6"/>
  <c r="Q223" i="6"/>
  <c r="R222" i="6"/>
  <c r="Q222" i="6"/>
  <c r="AA211" i="4"/>
  <c r="AA210" i="4"/>
  <c r="Q214" i="6"/>
  <c r="Q208" i="6"/>
  <c r="Q207" i="6"/>
  <c r="P214" i="6"/>
  <c r="P213" i="6"/>
  <c r="P208" i="6"/>
  <c r="R203" i="6"/>
  <c r="R202" i="6"/>
  <c r="Q203" i="6"/>
  <c r="Q202" i="6"/>
  <c r="P203" i="6"/>
  <c r="P202" i="6"/>
  <c r="R199" i="6"/>
  <c r="Q199" i="6"/>
  <c r="N84" i="6"/>
  <c r="M84" i="6"/>
  <c r="L84" i="6"/>
  <c r="K84" i="6"/>
  <c r="J84" i="6"/>
  <c r="I84" i="6"/>
  <c r="H84" i="6"/>
  <c r="G84" i="6"/>
  <c r="F84" i="6"/>
  <c r="E84" i="6"/>
  <c r="D84" i="6"/>
  <c r="C84" i="6"/>
  <c r="B84" i="6"/>
  <c r="R84" i="6"/>
  <c r="R96" i="6" s="1"/>
  <c r="R197" i="6" s="1"/>
  <c r="P84" i="6"/>
  <c r="AA197" i="4"/>
  <c r="A199" i="6" s="1"/>
  <c r="R194" i="6"/>
  <c r="Q194" i="6"/>
  <c r="R193" i="6"/>
  <c r="P194" i="6"/>
  <c r="O194" i="6"/>
  <c r="N194" i="6"/>
  <c r="N193" i="6"/>
  <c r="O193" i="6"/>
  <c r="P193" i="6"/>
  <c r="Q193" i="6"/>
  <c r="R192" i="6"/>
  <c r="R191" i="6"/>
  <c r="R190" i="6"/>
  <c r="Q192" i="6"/>
  <c r="P192" i="6"/>
  <c r="O192" i="6"/>
  <c r="Q191" i="6"/>
  <c r="P191" i="6"/>
  <c r="O191" i="6"/>
  <c r="Q190" i="6"/>
  <c r="P190" i="6"/>
  <c r="O190" i="6"/>
  <c r="R188" i="6"/>
  <c r="R186" i="6"/>
  <c r="R185" i="6"/>
  <c r="Q188" i="6"/>
  <c r="P188" i="6"/>
  <c r="Q186" i="6"/>
  <c r="P186" i="6"/>
  <c r="Q185" i="6"/>
  <c r="P185" i="6"/>
  <c r="R182" i="6"/>
  <c r="R181" i="6"/>
  <c r="R180" i="6"/>
  <c r="R179" i="6"/>
  <c r="Q182" i="6"/>
  <c r="P182" i="6"/>
  <c r="O182" i="6"/>
  <c r="Q181" i="6"/>
  <c r="P181" i="6"/>
  <c r="O181" i="6"/>
  <c r="N181" i="6"/>
  <c r="M181" i="6"/>
  <c r="Q180" i="6"/>
  <c r="P180" i="6"/>
  <c r="O180" i="6"/>
  <c r="N180" i="6"/>
  <c r="M180" i="6"/>
  <c r="Q179" i="6"/>
  <c r="P179" i="6"/>
  <c r="O179" i="6"/>
  <c r="N179" i="6"/>
  <c r="M179" i="6"/>
  <c r="R115" i="6"/>
  <c r="Q115" i="6"/>
  <c r="P115" i="6"/>
  <c r="R171" i="6"/>
  <c r="R114" i="6" s="1"/>
  <c r="R168" i="6"/>
  <c r="R206" i="6" s="1"/>
  <c r="R161" i="6"/>
  <c r="R157" i="6"/>
  <c r="R152" i="6"/>
  <c r="R150" i="6"/>
  <c r="R148" i="6"/>
  <c r="R147" i="6"/>
  <c r="R145" i="6"/>
  <c r="R144" i="6"/>
  <c r="R141" i="6"/>
  <c r="R140" i="6"/>
  <c r="R139" i="6"/>
  <c r="R134" i="6"/>
  <c r="R133" i="6"/>
  <c r="R132" i="6"/>
  <c r="R130" i="6"/>
  <c r="R129" i="6"/>
  <c r="R128" i="6"/>
  <c r="R108" i="6"/>
  <c r="R97" i="6"/>
  <c r="R201" i="6"/>
  <c r="R227" i="6"/>
  <c r="R226" i="6"/>
  <c r="U284" i="12" l="1"/>
  <c r="AA401" i="12" s="1"/>
  <c r="U295" i="12"/>
  <c r="R261" i="6"/>
  <c r="R260" i="6" s="1"/>
  <c r="A174" i="12"/>
  <c r="A167" i="12"/>
  <c r="A175" i="12"/>
  <c r="A168" i="12"/>
  <c r="Q144" i="2"/>
  <c r="Q174" i="2" s="1"/>
  <c r="D83" i="2"/>
  <c r="H83" i="2"/>
  <c r="Q199" i="12"/>
  <c r="Q189" i="2"/>
  <c r="Q237" i="2" s="1"/>
  <c r="M83" i="2"/>
  <c r="P89" i="2"/>
  <c r="R199" i="12"/>
  <c r="Y429" i="12"/>
  <c r="R196" i="6"/>
  <c r="R253" i="6" s="1"/>
  <c r="U261" i="12"/>
  <c r="N83" i="2"/>
  <c r="E83" i="2"/>
  <c r="I83" i="2"/>
  <c r="Q89" i="2"/>
  <c r="P117" i="2"/>
  <c r="T261" i="12"/>
  <c r="T286" i="12"/>
  <c r="T295" i="12" s="1"/>
  <c r="Q249" i="12"/>
  <c r="Q289" i="12" s="1"/>
  <c r="Q300" i="6" s="1"/>
  <c r="Q250" i="12"/>
  <c r="Q290" i="12" s="1"/>
  <c r="P321" i="12"/>
  <c r="O140" i="12"/>
  <c r="O86" i="12"/>
  <c r="O367" i="12"/>
  <c r="O246" i="12"/>
  <c r="O295" i="12" s="1"/>
  <c r="O368" i="12"/>
  <c r="O247" i="12"/>
  <c r="O249" i="12"/>
  <c r="O297" i="12" s="1"/>
  <c r="O250" i="12"/>
  <c r="O290" i="12" s="1"/>
  <c r="N147" i="12"/>
  <c r="Q321" i="12"/>
  <c r="Q396" i="12" s="1"/>
  <c r="P146" i="2"/>
  <c r="P171" i="2" s="1"/>
  <c r="O152" i="2"/>
  <c r="P264" i="6"/>
  <c r="P260" i="6" s="1"/>
  <c r="P247" i="2"/>
  <c r="C83" i="2"/>
  <c r="G83" i="2"/>
  <c r="K83" i="2"/>
  <c r="O89" i="2"/>
  <c r="Q117" i="2"/>
  <c r="Q146" i="2"/>
  <c r="Q176" i="2" s="1"/>
  <c r="Q285" i="6" s="1"/>
  <c r="B83" i="2"/>
  <c r="F83" i="2"/>
  <c r="J83" i="2"/>
  <c r="N89" i="2"/>
  <c r="P189" i="2"/>
  <c r="P237" i="2" s="1"/>
  <c r="R371" i="12"/>
  <c r="P86" i="12"/>
  <c r="P250" i="12"/>
  <c r="P298" i="12" s="1"/>
  <c r="R151" i="6"/>
  <c r="P245" i="12"/>
  <c r="P285" i="12" s="1"/>
  <c r="P296" i="6" s="1"/>
  <c r="P366" i="12"/>
  <c r="P405" i="12" s="1"/>
  <c r="P367" i="12"/>
  <c r="P246" i="12"/>
  <c r="P286" i="12" s="1"/>
  <c r="P297" i="6" s="1"/>
  <c r="P247" i="12"/>
  <c r="P296" i="12" s="1"/>
  <c r="P368" i="12"/>
  <c r="Q255" i="6"/>
  <c r="Q254" i="6" s="1"/>
  <c r="Q366" i="12"/>
  <c r="Q405" i="12" s="1"/>
  <c r="Q245" i="12"/>
  <c r="Q285" i="12" s="1"/>
  <c r="Q296" i="6" s="1"/>
  <c r="Q246" i="12"/>
  <c r="Q286" i="12" s="1"/>
  <c r="Q297" i="6" s="1"/>
  <c r="Q367" i="12"/>
  <c r="Q406" i="12" s="1"/>
  <c r="Q368" i="12"/>
  <c r="Q407" i="12" s="1"/>
  <c r="Q247" i="12"/>
  <c r="Q287" i="12" s="1"/>
  <c r="Q298" i="6" s="1"/>
  <c r="P277" i="6"/>
  <c r="P288" i="12"/>
  <c r="P299" i="6" s="1"/>
  <c r="N370" i="12"/>
  <c r="N250" i="12"/>
  <c r="N290" i="12" s="1"/>
  <c r="Q86" i="12"/>
  <c r="Q288" i="12"/>
  <c r="Q299" i="6" s="1"/>
  <c r="O370" i="12"/>
  <c r="C261" i="12"/>
  <c r="G261" i="12"/>
  <c r="K261" i="12"/>
  <c r="O261" i="12"/>
  <c r="Q246" i="2"/>
  <c r="Q83" i="2"/>
  <c r="D152" i="2"/>
  <c r="H152" i="2"/>
  <c r="L152" i="2"/>
  <c r="Q152" i="2"/>
  <c r="D261" i="12"/>
  <c r="H261" i="12"/>
  <c r="L261" i="12"/>
  <c r="Q422" i="12"/>
  <c r="E152" i="2"/>
  <c r="I152" i="2"/>
  <c r="M152" i="2"/>
  <c r="E261" i="12"/>
  <c r="I261" i="12"/>
  <c r="M261" i="12"/>
  <c r="Q397" i="12"/>
  <c r="B152" i="2"/>
  <c r="F152" i="2"/>
  <c r="J152" i="2"/>
  <c r="F147" i="12"/>
  <c r="J147" i="12"/>
  <c r="F261" i="12"/>
  <c r="J261" i="12"/>
  <c r="N261" i="12"/>
  <c r="P83" i="2"/>
  <c r="C152" i="2"/>
  <c r="G152" i="2"/>
  <c r="K152" i="2"/>
  <c r="P152" i="2"/>
  <c r="R384" i="12"/>
  <c r="R390" i="12" s="1"/>
  <c r="R387" i="12" s="1"/>
  <c r="R189" i="6"/>
  <c r="Q370" i="12"/>
  <c r="R237" i="6"/>
  <c r="P144" i="2"/>
  <c r="P246" i="2"/>
  <c r="Q247" i="2"/>
  <c r="Q143" i="2"/>
  <c r="P143" i="2"/>
  <c r="R131" i="6"/>
  <c r="R184" i="6"/>
  <c r="R321" i="12"/>
  <c r="R377" i="12" s="1"/>
  <c r="Q369" i="12"/>
  <c r="R288" i="12"/>
  <c r="R299" i="6" s="1"/>
  <c r="R277" i="6"/>
  <c r="O369" i="12"/>
  <c r="R147" i="12"/>
  <c r="R370" i="12"/>
  <c r="R250" i="12"/>
  <c r="R290" i="12" s="1"/>
  <c r="R301" i="6" s="1"/>
  <c r="R249" i="12"/>
  <c r="R289" i="12" s="1"/>
  <c r="R369" i="12"/>
  <c r="R247" i="12"/>
  <c r="R368" i="12"/>
  <c r="R409" i="12" s="1"/>
  <c r="R246" i="12"/>
  <c r="R286" i="12" s="1"/>
  <c r="R367" i="12"/>
  <c r="R86" i="12"/>
  <c r="R366" i="12"/>
  <c r="R245" i="12"/>
  <c r="R285" i="12" s="1"/>
  <c r="R136" i="6"/>
  <c r="P370" i="12"/>
  <c r="Q261" i="12"/>
  <c r="R261" i="12"/>
  <c r="B250" i="12"/>
  <c r="B290" i="12" s="1"/>
  <c r="F250" i="12"/>
  <c r="F290" i="12" s="1"/>
  <c r="J250" i="12"/>
  <c r="J290" i="12" s="1"/>
  <c r="C250" i="12"/>
  <c r="C290" i="12" s="1"/>
  <c r="G250" i="12"/>
  <c r="G290" i="12" s="1"/>
  <c r="K250" i="12"/>
  <c r="K290" i="12" s="1"/>
  <c r="P261" i="12"/>
  <c r="D250" i="12"/>
  <c r="D290" i="12" s="1"/>
  <c r="H250" i="12"/>
  <c r="H290" i="12" s="1"/>
  <c r="L250" i="12"/>
  <c r="L290" i="12" s="1"/>
  <c r="E250" i="12"/>
  <c r="E290" i="12" s="1"/>
  <c r="I250" i="12"/>
  <c r="I290" i="12" s="1"/>
  <c r="M250" i="12"/>
  <c r="M290" i="12" s="1"/>
  <c r="Q139" i="12"/>
  <c r="Q363" i="12" s="1"/>
  <c r="Q362" i="12" s="1"/>
  <c r="P249" i="12"/>
  <c r="P297" i="12" s="1"/>
  <c r="R139" i="12"/>
  <c r="R363" i="12" s="1"/>
  <c r="R362" i="12" s="1"/>
  <c r="P139" i="12"/>
  <c r="P363" i="12" s="1"/>
  <c r="P362" i="12" s="1"/>
  <c r="D147" i="12"/>
  <c r="H147" i="12"/>
  <c r="L147" i="12"/>
  <c r="P147" i="12"/>
  <c r="E147" i="12"/>
  <c r="I147" i="12"/>
  <c r="M147" i="12"/>
  <c r="Q147" i="12"/>
  <c r="C147" i="12"/>
  <c r="G147" i="12"/>
  <c r="K147" i="12"/>
  <c r="O147" i="12"/>
  <c r="P254" i="6"/>
  <c r="R178" i="6"/>
  <c r="R225" i="6"/>
  <c r="R231" i="6" s="1"/>
  <c r="R228" i="6" s="1"/>
  <c r="R200" i="6"/>
  <c r="Y242" i="6" s="1"/>
  <c r="R127" i="6"/>
  <c r="R112" i="6"/>
  <c r="AA403" i="12" l="1"/>
  <c r="Q295" i="12"/>
  <c r="Q275" i="6" s="1"/>
  <c r="Q296" i="12"/>
  <c r="Q276" i="6" s="1"/>
  <c r="O298" i="12"/>
  <c r="R295" i="12"/>
  <c r="P295" i="12"/>
  <c r="P275" i="6" s="1"/>
  <c r="R296" i="12"/>
  <c r="R276" i="6" s="1"/>
  <c r="R294" i="12"/>
  <c r="R297" i="12"/>
  <c r="R298" i="12"/>
  <c r="P294" i="12"/>
  <c r="P274" i="6" s="1"/>
  <c r="Q298" i="12"/>
  <c r="P278" i="6"/>
  <c r="P276" i="6"/>
  <c r="Q294" i="12"/>
  <c r="P290" i="12"/>
  <c r="Q223" i="2"/>
  <c r="Q377" i="12"/>
  <c r="Q169" i="2"/>
  <c r="Q255" i="2" s="1"/>
  <c r="Q171" i="2"/>
  <c r="Q307" i="6" s="1"/>
  <c r="P176" i="2"/>
  <c r="P245" i="2"/>
  <c r="R247" i="6"/>
  <c r="Y244" i="6"/>
  <c r="Y246" i="6"/>
  <c r="X246" i="6"/>
  <c r="Y245" i="6"/>
  <c r="Q428" i="12"/>
  <c r="U418" i="12"/>
  <c r="U297" i="6"/>
  <c r="U295" i="6" s="1"/>
  <c r="Q245" i="2"/>
  <c r="P223" i="2"/>
  <c r="T297" i="6"/>
  <c r="T295" i="6" s="1"/>
  <c r="T315" i="6" s="1"/>
  <c r="T418" i="12"/>
  <c r="T284" i="12"/>
  <c r="R408" i="12"/>
  <c r="T275" i="6"/>
  <c r="T273" i="6" s="1"/>
  <c r="T293" i="6" s="1"/>
  <c r="T410" i="12"/>
  <c r="T412" i="12"/>
  <c r="R300" i="6"/>
  <c r="R421" i="12"/>
  <c r="R307" i="6"/>
  <c r="O245" i="12"/>
  <c r="O294" i="12" s="1"/>
  <c r="O139" i="12"/>
  <c r="O366" i="12"/>
  <c r="Q419" i="12"/>
  <c r="P287" i="12"/>
  <c r="P298" i="6" s="1"/>
  <c r="Q244" i="12"/>
  <c r="Q376" i="12" s="1"/>
  <c r="Q284" i="12"/>
  <c r="Q416" i="12" s="1"/>
  <c r="Q417" i="12"/>
  <c r="Q295" i="6"/>
  <c r="Q418" i="12"/>
  <c r="R119" i="6"/>
  <c r="R121" i="6" s="1"/>
  <c r="R205" i="6"/>
  <c r="R285" i="6"/>
  <c r="R177" i="6"/>
  <c r="P173" i="2"/>
  <c r="P168" i="2"/>
  <c r="Q173" i="2"/>
  <c r="Q172" i="2" s="1"/>
  <c r="Q168" i="2"/>
  <c r="Q251" i="2"/>
  <c r="Q283" i="6"/>
  <c r="P174" i="2"/>
  <c r="P251" i="2" s="1"/>
  <c r="P169" i="2"/>
  <c r="P255" i="2" s="1"/>
  <c r="R396" i="12"/>
  <c r="Q404" i="12"/>
  <c r="R311" i="6"/>
  <c r="R270" i="6"/>
  <c r="R275" i="6"/>
  <c r="R244" i="12"/>
  <c r="R376" i="12" s="1"/>
  <c r="R375" i="12" s="1"/>
  <c r="R395" i="12" s="1"/>
  <c r="R287" i="12"/>
  <c r="R284" i="12" s="1"/>
  <c r="R407" i="12"/>
  <c r="R418" i="12"/>
  <c r="R297" i="6"/>
  <c r="R406" i="12"/>
  <c r="R404" i="12"/>
  <c r="R417" i="12"/>
  <c r="R296" i="6"/>
  <c r="R405" i="12"/>
  <c r="R266" i="6"/>
  <c r="R265" i="6" s="1"/>
  <c r="P244" i="12"/>
  <c r="P289" i="12"/>
  <c r="R413" i="12" l="1"/>
  <c r="Q305" i="6"/>
  <c r="Q375" i="12"/>
  <c r="Q395" i="12" s="1"/>
  <c r="Q394" i="12" s="1"/>
  <c r="Q393" i="12" s="1"/>
  <c r="Q391" i="12" s="1"/>
  <c r="Q413" i="12"/>
  <c r="Q167" i="2"/>
  <c r="Q253" i="2" s="1"/>
  <c r="Q412" i="12"/>
  <c r="U289" i="6"/>
  <c r="U286" i="6" s="1"/>
  <c r="U311" i="6"/>
  <c r="U308" i="6" s="1"/>
  <c r="U315" i="6" s="1"/>
  <c r="Q410" i="12"/>
  <c r="U416" i="12"/>
  <c r="T416" i="12"/>
  <c r="U275" i="6"/>
  <c r="U273" i="6" s="1"/>
  <c r="U412" i="12"/>
  <c r="U410" i="12"/>
  <c r="P273" i="6"/>
  <c r="Q274" i="6"/>
  <c r="Q273" i="6" s="1"/>
  <c r="R294" i="6"/>
  <c r="R278" i="6"/>
  <c r="R415" i="12"/>
  <c r="O244" i="12"/>
  <c r="Q411" i="12"/>
  <c r="R204" i="6"/>
  <c r="R236" i="6" s="1"/>
  <c r="R235" i="6" s="1"/>
  <c r="R234" i="6" s="1"/>
  <c r="R274" i="6"/>
  <c r="R410" i="12"/>
  <c r="P167" i="2"/>
  <c r="P253" i="2" s="1"/>
  <c r="P250" i="2"/>
  <c r="P172" i="2"/>
  <c r="R218" i="6"/>
  <c r="R217" i="6" s="1"/>
  <c r="R249" i="6"/>
  <c r="R289" i="6"/>
  <c r="R310" i="6"/>
  <c r="R288" i="6"/>
  <c r="Q282" i="6"/>
  <c r="Q281" i="6" s="1"/>
  <c r="Q250" i="2"/>
  <c r="R304" i="6"/>
  <c r="P254" i="2"/>
  <c r="R305" i="6"/>
  <c r="R282" i="6"/>
  <c r="R283" i="6"/>
  <c r="Q254" i="2"/>
  <c r="Q304" i="6"/>
  <c r="R394" i="12"/>
  <c r="R393" i="12" s="1"/>
  <c r="R391" i="12" s="1"/>
  <c r="R291" i="6"/>
  <c r="R313" i="6"/>
  <c r="R412" i="12"/>
  <c r="R411" i="12"/>
  <c r="R419" i="12"/>
  <c r="R298" i="6"/>
  <c r="R295" i="6" s="1"/>
  <c r="R416" i="12"/>
  <c r="P284" i="12"/>
  <c r="P300" i="6"/>
  <c r="P295" i="6" s="1"/>
  <c r="P223" i="6"/>
  <c r="O223" i="6"/>
  <c r="N223" i="6"/>
  <c r="M223" i="6"/>
  <c r="P222" i="6"/>
  <c r="O222" i="6"/>
  <c r="N222" i="6"/>
  <c r="M222" i="6"/>
  <c r="Q178" i="6"/>
  <c r="Q303" i="6" l="1"/>
  <c r="U293" i="6"/>
  <c r="V311" i="6"/>
  <c r="V308" i="6" s="1"/>
  <c r="V315" i="6" s="1"/>
  <c r="V289" i="6"/>
  <c r="V286" i="6" s="1"/>
  <c r="V293" i="6" s="1"/>
  <c r="R273" i="6"/>
  <c r="R281" i="6"/>
  <c r="R303" i="6"/>
  <c r="R122" i="6"/>
  <c r="R248" i="6" s="1"/>
  <c r="R272" i="6"/>
  <c r="R287" i="6"/>
  <c r="R286" i="6" s="1"/>
  <c r="R309" i="6"/>
  <c r="R308" i="6" s="1"/>
  <c r="AA82" i="4"/>
  <c r="A93" i="6" s="1"/>
  <c r="AB243" i="2" l="1"/>
  <c r="R315" i="6"/>
  <c r="R293" i="6"/>
  <c r="AA243" i="2" l="1"/>
  <c r="AD243" i="2"/>
  <c r="AC243" i="2"/>
  <c r="Z243" i="2"/>
  <c r="Y243" i="2"/>
  <c r="Q114" i="6" l="1"/>
  <c r="AA208" i="4" l="1"/>
  <c r="A213" i="6" s="1"/>
  <c r="Q161" i="6"/>
  <c r="Q157" i="6"/>
  <c r="Q152" i="6"/>
  <c r="Q151" i="6" l="1"/>
  <c r="M23" i="6" l="1"/>
  <c r="M49" i="6"/>
  <c r="M67" i="6"/>
  <c r="Q31" i="6" l="1"/>
  <c r="Q227" i="6" s="1"/>
  <c r="Q49" i="6"/>
  <c r="Q67" i="6"/>
  <c r="Q201" i="6" s="1"/>
  <c r="Q219" i="2" l="1"/>
  <c r="Q184" i="2" l="1"/>
  <c r="Q142" i="2"/>
  <c r="Q222" i="2" s="1"/>
  <c r="Q221" i="2" s="1"/>
  <c r="Q236" i="2" s="1"/>
  <c r="Q235" i="2" s="1"/>
  <c r="Q234" i="2" s="1"/>
  <c r="Q232" i="2" s="1"/>
  <c r="Q249" i="2"/>
  <c r="Q56" i="2"/>
  <c r="Q218" i="2" s="1"/>
  <c r="Q40" i="2"/>
  <c r="Q26" i="2"/>
  <c r="Q227" i="2" s="1"/>
  <c r="Q7" i="2"/>
  <c r="Q226" i="2" s="1"/>
  <c r="Q20" i="2"/>
  <c r="Q225" i="2" l="1"/>
  <c r="Q231" i="2" s="1"/>
  <c r="Q228" i="2" s="1"/>
  <c r="C312" i="4"/>
  <c r="Q389" i="12"/>
  <c r="Q24" i="12"/>
  <c r="Q388" i="12" s="1"/>
  <c r="Q71" i="12"/>
  <c r="Q372" i="12" s="1"/>
  <c r="Q21" i="12" l="1"/>
  <c r="Q371" i="12"/>
  <c r="X402" i="12" l="1"/>
  <c r="X401" i="12"/>
  <c r="U401" i="12"/>
  <c r="U402" i="12"/>
  <c r="Q189" i="6"/>
  <c r="Q168" i="6"/>
  <c r="Q184" i="6"/>
  <c r="Q134" i="6"/>
  <c r="Q133" i="6"/>
  <c r="Q132" i="6"/>
  <c r="Q130" i="6"/>
  <c r="Q129" i="6"/>
  <c r="Q128" i="6"/>
  <c r="Q206" i="6" l="1"/>
  <c r="Q237" i="6"/>
  <c r="Q177" i="6"/>
  <c r="Q136" i="6" l="1"/>
  <c r="Q270" i="6" l="1"/>
  <c r="Q291" i="6" l="1"/>
  <c r="Q268" i="6" l="1"/>
  <c r="Q311" i="6"/>
  <c r="Q266" i="6"/>
  <c r="Q287" i="6"/>
  <c r="Q267" i="6" l="1"/>
  <c r="Q265" i="6" s="1"/>
  <c r="Q289" i="6"/>
  <c r="Q309" i="6"/>
  <c r="Q310" i="6" l="1"/>
  <c r="Q308" i="6" s="1"/>
  <c r="Q288" i="6"/>
  <c r="Q286" i="6" s="1"/>
  <c r="Q257" i="2" l="1"/>
  <c r="T261" i="2" s="1"/>
  <c r="W261" i="2" s="1"/>
  <c r="Q204" i="2" l="1"/>
  <c r="Q220" i="2" l="1"/>
  <c r="Q217" i="2" l="1"/>
  <c r="Q25" i="2" l="1"/>
  <c r="Q6" i="2"/>
  <c r="Q139" i="6" l="1"/>
  <c r="Q140" i="6"/>
  <c r="Q141" i="6"/>
  <c r="Q144" i="6"/>
  <c r="Q145" i="6"/>
  <c r="Q147" i="6"/>
  <c r="Q148" i="6"/>
  <c r="Q150" i="6"/>
  <c r="Q131" i="6"/>
  <c r="Q197" i="6" l="1"/>
  <c r="Q196" i="6" s="1"/>
  <c r="Q97" i="6"/>
  <c r="Q112" i="6" s="1"/>
  <c r="Q55" i="12"/>
  <c r="Q38" i="12"/>
  <c r="Q386" i="12" s="1"/>
  <c r="Q7" i="12"/>
  <c r="Q127" i="6"/>
  <c r="Q200" i="6"/>
  <c r="X245" i="6" l="1"/>
  <c r="X242" i="6"/>
  <c r="U242" i="6"/>
  <c r="U245" i="6"/>
  <c r="Q205" i="6"/>
  <c r="Q204" i="6" s="1"/>
  <c r="Q122" i="6" s="1"/>
  <c r="Q119" i="6"/>
  <c r="Q121" i="6" s="1"/>
  <c r="Q253" i="6"/>
  <c r="Q6" i="12"/>
  <c r="X403" i="12" s="1"/>
  <c r="Q385" i="12"/>
  <c r="Q384" i="12" s="1"/>
  <c r="Q390" i="12" s="1"/>
  <c r="Q387" i="12" s="1"/>
  <c r="Q37" i="12"/>
  <c r="Q23" i="6"/>
  <c r="Q7" i="6"/>
  <c r="Q226" i="6" s="1"/>
  <c r="Q225" i="6" s="1"/>
  <c r="Q231" i="6" s="1"/>
  <c r="U403" i="12" l="1"/>
  <c r="Q218" i="6"/>
  <c r="Q294" i="6"/>
  <c r="Q315" i="6" s="1"/>
  <c r="Q272" i="6"/>
  <c r="Q293" i="6" s="1"/>
  <c r="Q247" i="6"/>
  <c r="Q236" i="6"/>
  <c r="Q235" i="6" s="1"/>
  <c r="Q234" i="6" s="1"/>
  <c r="Q249" i="6"/>
  <c r="Q30" i="6"/>
  <c r="Q228" i="6"/>
  <c r="Q6" i="6"/>
  <c r="X244" i="6" s="1"/>
  <c r="U244" i="6" l="1"/>
  <c r="U246" i="6"/>
  <c r="Q248" i="6"/>
  <c r="O311" i="6"/>
  <c r="P224" i="2"/>
  <c r="P204" i="2"/>
  <c r="P304" i="6"/>
  <c r="P171" i="6"/>
  <c r="P114" i="6" s="1"/>
  <c r="P168" i="6"/>
  <c r="P206" i="6" s="1"/>
  <c r="P108" i="6"/>
  <c r="P97" i="6"/>
  <c r="P96" i="6"/>
  <c r="P197" i="6" s="1"/>
  <c r="P196" i="6" s="1"/>
  <c r="P267" i="6" l="1"/>
  <c r="P268" i="6"/>
  <c r="P311" i="6"/>
  <c r="P266" i="6"/>
  <c r="P112" i="6"/>
  <c r="P205" i="6" s="1"/>
  <c r="P204" i="6" s="1"/>
  <c r="P282" i="6"/>
  <c r="P307" i="6"/>
  <c r="P285" i="6"/>
  <c r="P163" i="6"/>
  <c r="P164" i="6"/>
  <c r="P165" i="6"/>
  <c r="P167" i="6"/>
  <c r="P166" i="6"/>
  <c r="P162" i="6"/>
  <c r="P188" i="2"/>
  <c r="P160" i="6" s="1"/>
  <c r="P159" i="6"/>
  <c r="P158" i="6"/>
  <c r="P156" i="6"/>
  <c r="P155" i="6"/>
  <c r="P154" i="6"/>
  <c r="P153" i="6"/>
  <c r="P289" i="6" l="1"/>
  <c r="P122" i="6"/>
  <c r="P272" i="6"/>
  <c r="P265" i="6"/>
  <c r="P310" i="6"/>
  <c r="P288" i="6"/>
  <c r="O309" i="6"/>
  <c r="P313" i="6"/>
  <c r="P291" i="6"/>
  <c r="O310" i="6"/>
  <c r="P142" i="2"/>
  <c r="P222" i="2" s="1"/>
  <c r="P221" i="2" s="1"/>
  <c r="P236" i="2" s="1"/>
  <c r="P235" i="2" s="1"/>
  <c r="P234" i="2" s="1"/>
  <c r="P232" i="2" s="1"/>
  <c r="P305" i="6"/>
  <c r="P303" i="6" s="1"/>
  <c r="P119" i="6"/>
  <c r="P121" i="6" s="1"/>
  <c r="P157" i="6"/>
  <c r="P152" i="6"/>
  <c r="P161" i="6"/>
  <c r="P294" i="6" l="1"/>
  <c r="P218" i="6"/>
  <c r="P217" i="6" s="1"/>
  <c r="O308" i="6"/>
  <c r="P309" i="6"/>
  <c r="P308" i="6" s="1"/>
  <c r="P287" i="6"/>
  <c r="P286" i="6" s="1"/>
  <c r="P249" i="2"/>
  <c r="P283" i="6"/>
  <c r="P281" i="6" s="1"/>
  <c r="P151" i="6"/>
  <c r="O332" i="12"/>
  <c r="P315" i="6" l="1"/>
  <c r="P293" i="6"/>
  <c r="O330" i="12"/>
  <c r="O296" i="12" s="1"/>
  <c r="O323" i="12"/>
  <c r="O321" i="12" s="1"/>
  <c r="P233" i="6" l="1"/>
  <c r="Q233" i="6" s="1"/>
  <c r="R233" i="6" s="1"/>
  <c r="R232" i="6" l="1"/>
  <c r="S233" i="6"/>
  <c r="P238" i="6"/>
  <c r="T233" i="6" l="1"/>
  <c r="S232" i="6"/>
  <c r="P131" i="6"/>
  <c r="P127" i="6"/>
  <c r="P189" i="6"/>
  <c r="P253" i="6"/>
  <c r="P178" i="6"/>
  <c r="P184" i="6"/>
  <c r="P150" i="6"/>
  <c r="P148" i="6"/>
  <c r="P147" i="6"/>
  <c r="P145" i="6"/>
  <c r="P144" i="6"/>
  <c r="P141" i="6"/>
  <c r="P140" i="6"/>
  <c r="P139" i="6"/>
  <c r="U233" i="6" l="1"/>
  <c r="V233" i="6" s="1"/>
  <c r="W233" i="6"/>
  <c r="T232" i="6"/>
  <c r="P249" i="6"/>
  <c r="P247" i="6"/>
  <c r="P248" i="6"/>
  <c r="P237" i="6"/>
  <c r="W232" i="6" l="1"/>
  <c r="Z233" i="6"/>
  <c r="Y233" i="6"/>
  <c r="Y232" i="6" s="1"/>
  <c r="V232" i="6"/>
  <c r="X233" i="6"/>
  <c r="X232" i="6" s="1"/>
  <c r="X243" i="6" s="1"/>
  <c r="U232" i="6"/>
  <c r="AA233" i="6" l="1"/>
  <c r="AC233" i="6"/>
  <c r="Z232" i="6"/>
  <c r="Z243" i="6" s="1"/>
  <c r="Y243" i="6"/>
  <c r="U243" i="6"/>
  <c r="AB233" i="6" l="1"/>
  <c r="AD233" i="6"/>
  <c r="AA232" i="6"/>
  <c r="AA243" i="6" s="1"/>
  <c r="AC232" i="6"/>
  <c r="AC243" i="6" s="1"/>
  <c r="AF243" i="6" l="1"/>
  <c r="AD232" i="6"/>
  <c r="AD243" i="6" s="1"/>
  <c r="AE233" i="6"/>
  <c r="AM233" i="6" s="1"/>
  <c r="AM232" i="6" s="1"/>
  <c r="AB232" i="6"/>
  <c r="AB243" i="6" s="1"/>
  <c r="AE232" i="6" l="1"/>
  <c r="AK243" i="6" s="1"/>
  <c r="P270" i="6"/>
  <c r="AQ233" i="6" l="1"/>
  <c r="AE243" i="6"/>
  <c r="AQ232" i="6" l="1"/>
  <c r="AN232" i="6" s="1"/>
  <c r="AN233" i="6"/>
  <c r="O208" i="2"/>
  <c r="O207" i="2" s="1"/>
  <c r="O201" i="2"/>
  <c r="O192" i="2"/>
  <c r="P184" i="2"/>
  <c r="P257" i="2" l="1"/>
  <c r="S261" i="2" s="1"/>
  <c r="P220" i="2" l="1"/>
  <c r="P219" i="2"/>
  <c r="P56" i="2" l="1"/>
  <c r="P218" i="2" s="1"/>
  <c r="P217" i="2" s="1"/>
  <c r="P40" i="2"/>
  <c r="P26" i="2"/>
  <c r="P227" i="2" s="1"/>
  <c r="P7" i="2"/>
  <c r="P226" i="2" s="1"/>
  <c r="P225" i="2" l="1"/>
  <c r="P231" i="2" s="1"/>
  <c r="P228" i="2" s="1"/>
  <c r="P20" i="2"/>
  <c r="P6" i="2" s="1"/>
  <c r="P25" i="2"/>
  <c r="P389" i="12" l="1"/>
  <c r="P24" i="12"/>
  <c r="P388" i="12" s="1"/>
  <c r="P380" i="12"/>
  <c r="P71" i="12"/>
  <c r="P372" i="12" s="1"/>
  <c r="P371" i="12" s="1"/>
  <c r="P55" i="12"/>
  <c r="P38" i="12"/>
  <c r="P386" i="12" s="1"/>
  <c r="P7" i="12"/>
  <c r="P378" i="12"/>
  <c r="W402" i="12" l="1"/>
  <c r="W401" i="12"/>
  <c r="T401" i="12"/>
  <c r="T402" i="12"/>
  <c r="P37" i="12"/>
  <c r="P21" i="12"/>
  <c r="P6" i="12" s="1"/>
  <c r="W403" i="12" s="1"/>
  <c r="P385" i="12"/>
  <c r="P384" i="12" s="1"/>
  <c r="P390" i="12" s="1"/>
  <c r="P387" i="12" s="1"/>
  <c r="T403" i="12" l="1"/>
  <c r="P425" i="12"/>
  <c r="P424" i="12"/>
  <c r="P423" i="12" l="1"/>
  <c r="O7" i="2" l="1"/>
  <c r="O226" i="2" s="1"/>
  <c r="O229" i="2"/>
  <c r="O230" i="2"/>
  <c r="O26" i="2"/>
  <c r="O227" i="2" s="1"/>
  <c r="O40" i="2"/>
  <c r="O56" i="2"/>
  <c r="O225" i="2" l="1"/>
  <c r="O231" i="2" s="1"/>
  <c r="O228" i="2" s="1"/>
  <c r="O25" i="2"/>
  <c r="O20" i="2"/>
  <c r="O6" i="2" s="1"/>
  <c r="L213" i="6" l="1"/>
  <c r="N156" i="6" l="1"/>
  <c r="O160" i="6"/>
  <c r="O163" i="6"/>
  <c r="O164" i="6"/>
  <c r="O165" i="6"/>
  <c r="O167" i="6"/>
  <c r="O166" i="6"/>
  <c r="O162" i="6"/>
  <c r="O159" i="6"/>
  <c r="O158" i="6"/>
  <c r="O156" i="6"/>
  <c r="O155" i="6"/>
  <c r="O154" i="6"/>
  <c r="O153" i="6"/>
  <c r="M424" i="12"/>
  <c r="Q430" i="12" s="1"/>
  <c r="O185" i="6"/>
  <c r="O186" i="6"/>
  <c r="O188" i="6"/>
  <c r="M133" i="6"/>
  <c r="N133" i="6"/>
  <c r="L133" i="6"/>
  <c r="O230" i="6"/>
  <c r="O229" i="6"/>
  <c r="O202" i="6"/>
  <c r="O264" i="6"/>
  <c r="O171" i="6"/>
  <c r="O238" i="6"/>
  <c r="O237" i="6"/>
  <c r="O149" i="6"/>
  <c r="O150" i="6"/>
  <c r="O147" i="6"/>
  <c r="O148" i="6"/>
  <c r="O144" i="6"/>
  <c r="O145" i="6"/>
  <c r="O139" i="6"/>
  <c r="O140" i="6"/>
  <c r="O141" i="6"/>
  <c r="O73" i="2"/>
  <c r="O72" i="2"/>
  <c r="O184" i="2"/>
  <c r="O374" i="12"/>
  <c r="O378" i="12"/>
  <c r="O397" i="12"/>
  <c r="C204" i="12"/>
  <c r="C249" i="12" s="1"/>
  <c r="D204" i="12"/>
  <c r="D249" i="12" s="1"/>
  <c r="E204" i="12"/>
  <c r="E249" i="12" s="1"/>
  <c r="F204" i="12"/>
  <c r="F249" i="12" s="1"/>
  <c r="G204" i="12"/>
  <c r="G249" i="12" s="1"/>
  <c r="H204" i="12"/>
  <c r="H249" i="12" s="1"/>
  <c r="I204" i="12"/>
  <c r="I249" i="12" s="1"/>
  <c r="J204" i="12"/>
  <c r="J249" i="12" s="1"/>
  <c r="K204" i="12"/>
  <c r="K249" i="12" s="1"/>
  <c r="L204" i="12"/>
  <c r="M204" i="12"/>
  <c r="M249" i="12" s="1"/>
  <c r="B204" i="12"/>
  <c r="B249" i="12" s="1"/>
  <c r="C116" i="12"/>
  <c r="D116" i="12"/>
  <c r="E116" i="12"/>
  <c r="F116" i="12"/>
  <c r="G116" i="12"/>
  <c r="H116" i="12"/>
  <c r="I116" i="12"/>
  <c r="J116" i="12"/>
  <c r="K116" i="12"/>
  <c r="L116" i="12"/>
  <c r="M116" i="12"/>
  <c r="B116" i="12"/>
  <c r="C109" i="12"/>
  <c r="C364" i="12" s="1"/>
  <c r="D109" i="12"/>
  <c r="D364" i="12" s="1"/>
  <c r="E109" i="12"/>
  <c r="E364" i="12" s="1"/>
  <c r="F109" i="12"/>
  <c r="F364" i="12" s="1"/>
  <c r="G109" i="12"/>
  <c r="G364" i="12" s="1"/>
  <c r="H109" i="12"/>
  <c r="H364" i="12" s="1"/>
  <c r="I109" i="12"/>
  <c r="I364" i="12" s="1"/>
  <c r="J109" i="12"/>
  <c r="J364" i="12" s="1"/>
  <c r="K109" i="12"/>
  <c r="K364" i="12" s="1"/>
  <c r="L109" i="12"/>
  <c r="L364" i="12" s="1"/>
  <c r="M109" i="12"/>
  <c r="M364" i="12" s="1"/>
  <c r="B109" i="12"/>
  <c r="B364" i="12" s="1"/>
  <c r="C94" i="12"/>
  <c r="D94" i="12"/>
  <c r="E94" i="12"/>
  <c r="F94" i="12"/>
  <c r="G94" i="12"/>
  <c r="H94" i="12"/>
  <c r="I94" i="12"/>
  <c r="J94" i="12"/>
  <c r="K94" i="12"/>
  <c r="L94" i="12"/>
  <c r="M94" i="12"/>
  <c r="B94" i="12"/>
  <c r="O373" i="12"/>
  <c r="O219" i="2"/>
  <c r="O220" i="2"/>
  <c r="O218" i="2"/>
  <c r="N7" i="12"/>
  <c r="N385" i="12" s="1"/>
  <c r="N24" i="12"/>
  <c r="N388" i="12" s="1"/>
  <c r="N389" i="12"/>
  <c r="N38" i="12"/>
  <c r="N386" i="12" s="1"/>
  <c r="N55" i="12"/>
  <c r="N71" i="12"/>
  <c r="N372" i="12" s="1"/>
  <c r="N87" i="12"/>
  <c r="N141" i="12"/>
  <c r="N367" i="12" s="1"/>
  <c r="N142" i="12"/>
  <c r="N368" i="12" s="1"/>
  <c r="N248" i="12"/>
  <c r="O133" i="6"/>
  <c r="O131" i="6" s="1"/>
  <c r="N258" i="2"/>
  <c r="R262" i="2" s="1"/>
  <c r="N259" i="2"/>
  <c r="R263" i="2" s="1"/>
  <c r="O224" i="2"/>
  <c r="O190" i="2"/>
  <c r="O191" i="2"/>
  <c r="O238" i="2" s="1"/>
  <c r="O121" i="2"/>
  <c r="O146" i="2" s="1"/>
  <c r="O176" i="2" s="1"/>
  <c r="O285" i="6" s="1"/>
  <c r="M339" i="12"/>
  <c r="N339" i="12"/>
  <c r="N203" i="6"/>
  <c r="N202" i="6"/>
  <c r="N201" i="6"/>
  <c r="N30" i="6"/>
  <c r="N7" i="6"/>
  <c r="N192" i="6"/>
  <c r="N191" i="6"/>
  <c r="N190" i="6"/>
  <c r="M267" i="6"/>
  <c r="M268" i="6"/>
  <c r="N219" i="2"/>
  <c r="N188" i="6"/>
  <c r="N186" i="6"/>
  <c r="N184" i="2"/>
  <c r="N220" i="2"/>
  <c r="N26" i="2"/>
  <c r="N227" i="2" s="1"/>
  <c r="N40" i="2"/>
  <c r="N374" i="12"/>
  <c r="N373" i="12"/>
  <c r="M389" i="12"/>
  <c r="M24" i="12"/>
  <c r="M388" i="12" s="1"/>
  <c r="N182" i="6"/>
  <c r="N378" i="12"/>
  <c r="N425" i="12"/>
  <c r="N229" i="6"/>
  <c r="N230" i="6"/>
  <c r="N207" i="6"/>
  <c r="N238" i="6"/>
  <c r="N153" i="6"/>
  <c r="N154" i="6"/>
  <c r="N155" i="6"/>
  <c r="N158" i="6"/>
  <c r="N159" i="6"/>
  <c r="N160" i="6"/>
  <c r="N162" i="6"/>
  <c r="N163" i="6"/>
  <c r="N164" i="6"/>
  <c r="N165" i="6"/>
  <c r="N166" i="6"/>
  <c r="N167" i="6"/>
  <c r="N139" i="6"/>
  <c r="N140" i="6"/>
  <c r="N141" i="6"/>
  <c r="N144" i="6"/>
  <c r="N145" i="6"/>
  <c r="N147" i="6"/>
  <c r="N148" i="6"/>
  <c r="N149" i="6"/>
  <c r="N150" i="6"/>
  <c r="N128" i="6"/>
  <c r="N129" i="6"/>
  <c r="N130" i="6"/>
  <c r="N134" i="6"/>
  <c r="N135" i="6"/>
  <c r="N214" i="6"/>
  <c r="N266" i="6"/>
  <c r="N424" i="12"/>
  <c r="N267" i="6"/>
  <c r="N185" i="6"/>
  <c r="N115" i="6"/>
  <c r="N380" i="12"/>
  <c r="N230" i="2"/>
  <c r="N229" i="2"/>
  <c r="N56" i="2"/>
  <c r="N218" i="2" s="1"/>
  <c r="N7" i="2"/>
  <c r="N226" i="2" s="1"/>
  <c r="N423" i="12"/>
  <c r="N324" i="12"/>
  <c r="N108" i="6"/>
  <c r="N310" i="6"/>
  <c r="N268" i="6"/>
  <c r="N289" i="6"/>
  <c r="N311" i="6"/>
  <c r="N201" i="2"/>
  <c r="N238" i="2"/>
  <c r="N132" i="6"/>
  <c r="N224" i="2"/>
  <c r="N164" i="2"/>
  <c r="N152" i="2" s="1"/>
  <c r="N154" i="2"/>
  <c r="N153" i="2"/>
  <c r="N121" i="2"/>
  <c r="N146" i="2" s="1"/>
  <c r="N119" i="2"/>
  <c r="N144" i="2" s="1"/>
  <c r="N169" i="2" s="1"/>
  <c r="N118" i="2"/>
  <c r="N143" i="2" s="1"/>
  <c r="N168" i="2" s="1"/>
  <c r="N254" i="2" s="1"/>
  <c r="N204" i="2"/>
  <c r="N264" i="6"/>
  <c r="N262" i="6"/>
  <c r="N261" i="6"/>
  <c r="AI21" i="4"/>
  <c r="E22" i="5" s="1"/>
  <c r="AA286" i="4"/>
  <c r="A293" i="6" s="1"/>
  <c r="AA207" i="4"/>
  <c r="A212" i="6" s="1"/>
  <c r="AA108" i="4"/>
  <c r="A120" i="6" s="1"/>
  <c r="AA107" i="4"/>
  <c r="A119" i="6" s="1"/>
  <c r="AA26" i="4"/>
  <c r="A28" i="6" s="1"/>
  <c r="AA70" i="4"/>
  <c r="A80" i="6" s="1"/>
  <c r="AE4" i="4"/>
  <c r="AE3" i="4"/>
  <c r="AE77" i="4"/>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0" i="4"/>
  <c r="AE19" i="4"/>
  <c r="AE18" i="4"/>
  <c r="AE17" i="4"/>
  <c r="AE16" i="4"/>
  <c r="AE14" i="4"/>
  <c r="AE13" i="4"/>
  <c r="AE12" i="4"/>
  <c r="AE11" i="4"/>
  <c r="AE10" i="4"/>
  <c r="AE9" i="4"/>
  <c r="AE8" i="4"/>
  <c r="AE7" i="4"/>
  <c r="AE6" i="4"/>
  <c r="AE5" i="4"/>
  <c r="AE1" i="4"/>
  <c r="K142" i="4"/>
  <c r="K75" i="4"/>
  <c r="K74" i="4"/>
  <c r="C313" i="6"/>
  <c r="D313" i="6"/>
  <c r="E313" i="6"/>
  <c r="F313" i="6"/>
  <c r="G313" i="6"/>
  <c r="B313" i="6"/>
  <c r="C270" i="6"/>
  <c r="D270" i="6"/>
  <c r="E270" i="6"/>
  <c r="F270" i="6"/>
  <c r="G270" i="6"/>
  <c r="B270" i="6"/>
  <c r="C194" i="6"/>
  <c r="D194" i="6"/>
  <c r="E194" i="6"/>
  <c r="F194" i="6"/>
  <c r="G194" i="6"/>
  <c r="H194" i="6"/>
  <c r="I194" i="6"/>
  <c r="J194" i="6"/>
  <c r="K194" i="6"/>
  <c r="L194" i="6"/>
  <c r="M194" i="6"/>
  <c r="B194" i="6"/>
  <c r="C190" i="6"/>
  <c r="D190" i="6"/>
  <c r="E190" i="6"/>
  <c r="F190" i="6"/>
  <c r="G190" i="6"/>
  <c r="H190" i="6"/>
  <c r="I190" i="6"/>
  <c r="J190" i="6"/>
  <c r="K190" i="6"/>
  <c r="L190" i="6"/>
  <c r="M190" i="6"/>
  <c r="C191" i="6"/>
  <c r="D191" i="6"/>
  <c r="E191" i="6"/>
  <c r="F191" i="6"/>
  <c r="G191" i="6"/>
  <c r="H191" i="6"/>
  <c r="I191" i="6"/>
  <c r="J191" i="6"/>
  <c r="K191" i="6"/>
  <c r="L191" i="6"/>
  <c r="M191" i="6"/>
  <c r="C192" i="6"/>
  <c r="D192" i="6"/>
  <c r="E192" i="6"/>
  <c r="F192" i="6"/>
  <c r="G192" i="6"/>
  <c r="H192" i="6"/>
  <c r="I192" i="6"/>
  <c r="J192" i="6"/>
  <c r="K192" i="6"/>
  <c r="L192" i="6"/>
  <c r="M192" i="6"/>
  <c r="B191" i="6"/>
  <c r="B192" i="6"/>
  <c r="B190" i="6"/>
  <c r="C179" i="6"/>
  <c r="D179" i="6"/>
  <c r="E179" i="6"/>
  <c r="F179" i="6"/>
  <c r="G179" i="6"/>
  <c r="H179" i="6"/>
  <c r="I179" i="6"/>
  <c r="J179" i="6"/>
  <c r="K179" i="6"/>
  <c r="L179" i="6"/>
  <c r="C180" i="6"/>
  <c r="D180" i="6"/>
  <c r="E180" i="6"/>
  <c r="F180" i="6"/>
  <c r="G180" i="6"/>
  <c r="H180" i="6"/>
  <c r="I180" i="6"/>
  <c r="J180" i="6"/>
  <c r="K180" i="6"/>
  <c r="L180" i="6"/>
  <c r="C181" i="6"/>
  <c r="D181" i="6"/>
  <c r="E181" i="6"/>
  <c r="F181" i="6"/>
  <c r="G181" i="6"/>
  <c r="H181" i="6"/>
  <c r="I181" i="6"/>
  <c r="J181" i="6"/>
  <c r="K181" i="6"/>
  <c r="L181" i="6"/>
  <c r="B180" i="6"/>
  <c r="B181" i="6"/>
  <c r="B179" i="6"/>
  <c r="M166" i="6"/>
  <c r="C166" i="6"/>
  <c r="D166" i="6"/>
  <c r="E166" i="6"/>
  <c r="F166" i="6"/>
  <c r="G166" i="6"/>
  <c r="H166" i="6"/>
  <c r="I166" i="6"/>
  <c r="J166" i="6"/>
  <c r="K166" i="6"/>
  <c r="L166" i="6"/>
  <c r="B166" i="6"/>
  <c r="C162" i="6"/>
  <c r="D162" i="6"/>
  <c r="E162" i="6"/>
  <c r="F162" i="6"/>
  <c r="G162" i="6"/>
  <c r="H162" i="6"/>
  <c r="I162" i="6"/>
  <c r="J162" i="6"/>
  <c r="K162" i="6"/>
  <c r="L162" i="6"/>
  <c r="M162" i="6"/>
  <c r="C163" i="6"/>
  <c r="D163" i="6"/>
  <c r="E163" i="6"/>
  <c r="F163" i="6"/>
  <c r="G163" i="6"/>
  <c r="H163" i="6"/>
  <c r="I163" i="6"/>
  <c r="J163" i="6"/>
  <c r="K163" i="6"/>
  <c r="L163" i="6"/>
  <c r="M163" i="6"/>
  <c r="C164" i="6"/>
  <c r="D164" i="6"/>
  <c r="E164" i="6"/>
  <c r="F164" i="6"/>
  <c r="G164" i="6"/>
  <c r="H164" i="6"/>
  <c r="I164" i="6"/>
  <c r="J164" i="6"/>
  <c r="K164" i="6"/>
  <c r="L164" i="6"/>
  <c r="M164" i="6"/>
  <c r="B163" i="6"/>
  <c r="B164" i="6"/>
  <c r="B162" i="6"/>
  <c r="C153" i="6"/>
  <c r="D153" i="6"/>
  <c r="E153" i="6"/>
  <c r="F153" i="6"/>
  <c r="G153" i="6"/>
  <c r="H153" i="6"/>
  <c r="I153" i="6"/>
  <c r="J153" i="6"/>
  <c r="K153" i="6"/>
  <c r="L153" i="6"/>
  <c r="M153" i="6"/>
  <c r="C154" i="6"/>
  <c r="D154" i="6"/>
  <c r="E154" i="6"/>
  <c r="F154" i="6"/>
  <c r="G154" i="6"/>
  <c r="H154" i="6"/>
  <c r="I154" i="6"/>
  <c r="J154" i="6"/>
  <c r="K154" i="6"/>
  <c r="L154" i="6"/>
  <c r="M154" i="6"/>
  <c r="C155" i="6"/>
  <c r="D155" i="6"/>
  <c r="E155" i="6"/>
  <c r="F155" i="6"/>
  <c r="G155" i="6"/>
  <c r="H155" i="6"/>
  <c r="I155" i="6"/>
  <c r="J155" i="6"/>
  <c r="K155" i="6"/>
  <c r="L155" i="6"/>
  <c r="M155" i="6"/>
  <c r="B154" i="6"/>
  <c r="B155" i="6"/>
  <c r="B153" i="6"/>
  <c r="C150" i="6"/>
  <c r="D150" i="6"/>
  <c r="E150" i="6"/>
  <c r="F150" i="6"/>
  <c r="G150" i="6"/>
  <c r="L150" i="6"/>
  <c r="M150" i="6"/>
  <c r="B150" i="6"/>
  <c r="M149" i="6"/>
  <c r="M144" i="6"/>
  <c r="M145" i="6"/>
  <c r="C147" i="6"/>
  <c r="D147" i="6"/>
  <c r="E147" i="6"/>
  <c r="F147" i="6"/>
  <c r="G147" i="6"/>
  <c r="H147" i="6"/>
  <c r="I147" i="6"/>
  <c r="J147" i="6"/>
  <c r="K147" i="6"/>
  <c r="L147" i="6"/>
  <c r="M147" i="6"/>
  <c r="C148" i="6"/>
  <c r="D148" i="6"/>
  <c r="E148" i="6"/>
  <c r="F148" i="6"/>
  <c r="G148" i="6"/>
  <c r="H148" i="6"/>
  <c r="I148" i="6"/>
  <c r="J148" i="6"/>
  <c r="K148" i="6"/>
  <c r="L148" i="6"/>
  <c r="M148" i="6"/>
  <c r="B148" i="6"/>
  <c r="B147" i="6"/>
  <c r="C139" i="6"/>
  <c r="D139" i="6"/>
  <c r="E139" i="6"/>
  <c r="F139" i="6"/>
  <c r="G139" i="6"/>
  <c r="H139" i="6"/>
  <c r="I139" i="6"/>
  <c r="J139" i="6"/>
  <c r="K139" i="6"/>
  <c r="L139" i="6"/>
  <c r="M139" i="6"/>
  <c r="C140" i="6"/>
  <c r="D140" i="6"/>
  <c r="E140" i="6"/>
  <c r="F140" i="6"/>
  <c r="G140" i="6"/>
  <c r="H140" i="6"/>
  <c r="I140" i="6"/>
  <c r="J140" i="6"/>
  <c r="K140" i="6"/>
  <c r="L140" i="6"/>
  <c r="M140" i="6"/>
  <c r="C141" i="6"/>
  <c r="D141" i="6"/>
  <c r="E141" i="6"/>
  <c r="F141" i="6"/>
  <c r="G141" i="6"/>
  <c r="H141" i="6"/>
  <c r="I141" i="6"/>
  <c r="J141" i="6"/>
  <c r="K141" i="6"/>
  <c r="L141" i="6"/>
  <c r="M141" i="6"/>
  <c r="B140" i="6"/>
  <c r="B141" i="6"/>
  <c r="B139" i="6"/>
  <c r="C135" i="6"/>
  <c r="D135" i="6"/>
  <c r="E135" i="6"/>
  <c r="F135" i="6"/>
  <c r="G135" i="6"/>
  <c r="H135" i="6"/>
  <c r="I135" i="6"/>
  <c r="J135" i="6"/>
  <c r="K135" i="6"/>
  <c r="L135" i="6"/>
  <c r="M135" i="6"/>
  <c r="B135" i="6"/>
  <c r="C134" i="6"/>
  <c r="D134" i="6"/>
  <c r="E134" i="6"/>
  <c r="F134" i="6"/>
  <c r="G134" i="6"/>
  <c r="H134" i="6"/>
  <c r="I134" i="6"/>
  <c r="J134" i="6"/>
  <c r="K134" i="6"/>
  <c r="L134" i="6"/>
  <c r="M134" i="6"/>
  <c r="B134" i="6"/>
  <c r="C128" i="6"/>
  <c r="D128" i="6"/>
  <c r="E128" i="6"/>
  <c r="F128" i="6"/>
  <c r="G128" i="6"/>
  <c r="H128" i="6"/>
  <c r="I128" i="6"/>
  <c r="J128" i="6"/>
  <c r="K128" i="6"/>
  <c r="L128" i="6"/>
  <c r="M128" i="6"/>
  <c r="C129" i="6"/>
  <c r="D129" i="6"/>
  <c r="E129" i="6"/>
  <c r="F129" i="6"/>
  <c r="G129" i="6"/>
  <c r="H129" i="6"/>
  <c r="I129" i="6"/>
  <c r="J129" i="6"/>
  <c r="K129" i="6"/>
  <c r="L129" i="6"/>
  <c r="M129" i="6"/>
  <c r="C130" i="6"/>
  <c r="D130" i="6"/>
  <c r="E130" i="6"/>
  <c r="F130" i="6"/>
  <c r="G130" i="6"/>
  <c r="H130" i="6"/>
  <c r="I130" i="6"/>
  <c r="J130" i="6"/>
  <c r="K130" i="6"/>
  <c r="L130" i="6"/>
  <c r="M130" i="6"/>
  <c r="B129" i="6"/>
  <c r="B130" i="6"/>
  <c r="B128" i="6"/>
  <c r="M184" i="2"/>
  <c r="M201" i="2"/>
  <c r="M259" i="2"/>
  <c r="Q263" i="2" s="1"/>
  <c r="M219" i="2"/>
  <c r="M224" i="2"/>
  <c r="M204" i="2"/>
  <c r="M136" i="2"/>
  <c r="M121" i="2" s="1"/>
  <c r="M134" i="2"/>
  <c r="M119" i="2" s="1"/>
  <c r="M93" i="2"/>
  <c r="M91" i="2"/>
  <c r="M247" i="2" s="1"/>
  <c r="M262" i="6"/>
  <c r="M258" i="2"/>
  <c r="Q262" i="2" s="1"/>
  <c r="M90" i="2"/>
  <c r="M246" i="2" s="1"/>
  <c r="M118" i="2"/>
  <c r="M189" i="2"/>
  <c r="M132" i="6"/>
  <c r="M220" i="2"/>
  <c r="M40" i="2"/>
  <c r="M26" i="2"/>
  <c r="M227" i="2" s="1"/>
  <c r="M229" i="2"/>
  <c r="M7" i="2"/>
  <c r="M226" i="2" s="1"/>
  <c r="M56" i="2"/>
  <c r="M218" i="2" s="1"/>
  <c r="K150" i="6"/>
  <c r="J150" i="6"/>
  <c r="I150" i="6"/>
  <c r="H150" i="6"/>
  <c r="L268" i="6"/>
  <c r="K268" i="6"/>
  <c r="G268" i="6"/>
  <c r="F268" i="6"/>
  <c r="E268" i="6"/>
  <c r="D268" i="6"/>
  <c r="C268" i="6"/>
  <c r="B268" i="6"/>
  <c r="I267" i="6"/>
  <c r="H267" i="6"/>
  <c r="F267" i="6"/>
  <c r="D267" i="6"/>
  <c r="C267" i="6"/>
  <c r="M425" i="12"/>
  <c r="Q431" i="12" s="1"/>
  <c r="L425" i="12"/>
  <c r="P431" i="12" s="1"/>
  <c r="K425" i="12"/>
  <c r="J425" i="12"/>
  <c r="I425" i="12"/>
  <c r="H425" i="12"/>
  <c r="G425" i="12"/>
  <c r="F425" i="12"/>
  <c r="E425" i="12"/>
  <c r="D425" i="12"/>
  <c r="C425" i="12"/>
  <c r="B425" i="12"/>
  <c r="L424" i="12"/>
  <c r="P430" i="12" s="1"/>
  <c r="K424" i="12"/>
  <c r="J424" i="12"/>
  <c r="I424" i="12"/>
  <c r="H424" i="12"/>
  <c r="G424" i="12"/>
  <c r="F424" i="12"/>
  <c r="E424" i="12"/>
  <c r="D424" i="12"/>
  <c r="C424" i="12"/>
  <c r="B424" i="12"/>
  <c r="M423" i="12"/>
  <c r="Q429" i="12" s="1"/>
  <c r="L423" i="12"/>
  <c r="P429" i="12" s="1"/>
  <c r="K423" i="12"/>
  <c r="J423" i="12"/>
  <c r="I423" i="12"/>
  <c r="H423" i="12"/>
  <c r="G423" i="12"/>
  <c r="F423" i="12"/>
  <c r="E423" i="12"/>
  <c r="D423" i="12"/>
  <c r="C423" i="12"/>
  <c r="B423" i="12"/>
  <c r="D389" i="12"/>
  <c r="C389" i="12"/>
  <c r="B389" i="12"/>
  <c r="D388" i="12"/>
  <c r="C388" i="12"/>
  <c r="B388" i="12"/>
  <c r="M380" i="12"/>
  <c r="M374" i="12"/>
  <c r="L374" i="12"/>
  <c r="K374" i="12"/>
  <c r="J374" i="12"/>
  <c r="I374" i="12"/>
  <c r="H374" i="12"/>
  <c r="G374" i="12"/>
  <c r="F374" i="12"/>
  <c r="E374" i="12"/>
  <c r="D374" i="12"/>
  <c r="C374" i="12"/>
  <c r="B374" i="12"/>
  <c r="L373" i="12"/>
  <c r="K373" i="12"/>
  <c r="J373" i="12"/>
  <c r="I373" i="12"/>
  <c r="H373" i="12"/>
  <c r="G373" i="12"/>
  <c r="F373" i="12"/>
  <c r="E373" i="12"/>
  <c r="D373" i="12"/>
  <c r="C373" i="12"/>
  <c r="B373" i="12"/>
  <c r="G350" i="12"/>
  <c r="L380" i="12"/>
  <c r="K380" i="12"/>
  <c r="J380" i="12"/>
  <c r="I380" i="12"/>
  <c r="H380" i="12"/>
  <c r="F380" i="12"/>
  <c r="E380" i="12"/>
  <c r="D380" i="12"/>
  <c r="C380" i="12"/>
  <c r="B380" i="12"/>
  <c r="M378" i="12"/>
  <c r="L378" i="12"/>
  <c r="K378" i="12"/>
  <c r="J378" i="12"/>
  <c r="I378" i="12"/>
  <c r="H378" i="12"/>
  <c r="G378" i="12"/>
  <c r="F378" i="12"/>
  <c r="E378" i="12"/>
  <c r="D378" i="12"/>
  <c r="C378" i="12"/>
  <c r="B378" i="12"/>
  <c r="L339" i="12"/>
  <c r="K339" i="12"/>
  <c r="J339" i="12"/>
  <c r="I339" i="12"/>
  <c r="H339" i="12"/>
  <c r="G339" i="12"/>
  <c r="F339" i="12"/>
  <c r="E339" i="12"/>
  <c r="D339" i="12"/>
  <c r="C339" i="12"/>
  <c r="B339" i="12"/>
  <c r="M324" i="12"/>
  <c r="L324" i="12"/>
  <c r="K324" i="12"/>
  <c r="J324" i="12"/>
  <c r="I324" i="12"/>
  <c r="H324" i="12"/>
  <c r="G324" i="12"/>
  <c r="F324" i="12"/>
  <c r="E324" i="12"/>
  <c r="D324" i="12"/>
  <c r="C324" i="12"/>
  <c r="B324" i="12"/>
  <c r="M397" i="12"/>
  <c r="L397" i="12"/>
  <c r="K397" i="12"/>
  <c r="J397" i="12"/>
  <c r="I397" i="12"/>
  <c r="H397" i="12"/>
  <c r="G397" i="12"/>
  <c r="F397" i="12"/>
  <c r="E397" i="12"/>
  <c r="D397" i="12"/>
  <c r="C397" i="12"/>
  <c r="B397" i="12"/>
  <c r="M321" i="12"/>
  <c r="M396" i="12" s="1"/>
  <c r="L321" i="12"/>
  <c r="L396" i="12" s="1"/>
  <c r="K321" i="12"/>
  <c r="K396" i="12" s="1"/>
  <c r="J321" i="12"/>
  <c r="J396" i="12" s="1"/>
  <c r="I321" i="12"/>
  <c r="I396" i="12" s="1"/>
  <c r="H321" i="12"/>
  <c r="H396" i="12" s="1"/>
  <c r="G321" i="12"/>
  <c r="G396" i="12" s="1"/>
  <c r="F321" i="12"/>
  <c r="F396" i="12" s="1"/>
  <c r="E321" i="12"/>
  <c r="E396" i="12" s="1"/>
  <c r="D321" i="12"/>
  <c r="D396" i="12" s="1"/>
  <c r="C321" i="12"/>
  <c r="C396" i="12" s="1"/>
  <c r="B321" i="12"/>
  <c r="B396" i="12" s="1"/>
  <c r="L422" i="12"/>
  <c r="P428" i="12" s="1"/>
  <c r="K422" i="12"/>
  <c r="O428" i="12" s="1"/>
  <c r="J422" i="12"/>
  <c r="M428" i="12" s="1"/>
  <c r="I422" i="12"/>
  <c r="H422" i="12"/>
  <c r="G422" i="12"/>
  <c r="F422" i="12"/>
  <c r="E422" i="12"/>
  <c r="D422" i="12"/>
  <c r="C422" i="12"/>
  <c r="B422" i="12"/>
  <c r="B268" i="12"/>
  <c r="B265" i="12"/>
  <c r="B262" i="12"/>
  <c r="M200" i="12"/>
  <c r="M203" i="12"/>
  <c r="M248" i="12" s="1"/>
  <c r="M288" i="12" s="1"/>
  <c r="L203" i="12"/>
  <c r="K203" i="12"/>
  <c r="K248" i="12" s="1"/>
  <c r="J203" i="12"/>
  <c r="J248" i="12" s="1"/>
  <c r="I203" i="12"/>
  <c r="I248" i="12" s="1"/>
  <c r="H203" i="12"/>
  <c r="H248" i="12" s="1"/>
  <c r="G203" i="12"/>
  <c r="G248" i="12" s="1"/>
  <c r="F203" i="12"/>
  <c r="F248" i="12" s="1"/>
  <c r="E203" i="12"/>
  <c r="E248" i="12" s="1"/>
  <c r="D203" i="12"/>
  <c r="D248" i="12" s="1"/>
  <c r="C203" i="12"/>
  <c r="C248" i="12" s="1"/>
  <c r="B203" i="12"/>
  <c r="B248" i="12" s="1"/>
  <c r="M202" i="12"/>
  <c r="L202" i="12"/>
  <c r="K202" i="12"/>
  <c r="J202" i="12"/>
  <c r="I202" i="12"/>
  <c r="H202" i="12"/>
  <c r="G202" i="12"/>
  <c r="F202" i="12"/>
  <c r="E202" i="12"/>
  <c r="D202" i="12"/>
  <c r="C202" i="12"/>
  <c r="B202" i="12"/>
  <c r="L201" i="12"/>
  <c r="K201" i="12"/>
  <c r="J201" i="12"/>
  <c r="I201" i="12"/>
  <c r="H201" i="12"/>
  <c r="G201" i="12"/>
  <c r="F201" i="12"/>
  <c r="E201" i="12"/>
  <c r="D201" i="12"/>
  <c r="C201" i="12"/>
  <c r="B201" i="12"/>
  <c r="L200" i="12"/>
  <c r="K200" i="12"/>
  <c r="J200" i="12"/>
  <c r="I200" i="12"/>
  <c r="H200" i="12"/>
  <c r="G200" i="12"/>
  <c r="F200" i="12"/>
  <c r="E200" i="12"/>
  <c r="D200" i="12"/>
  <c r="C200" i="12"/>
  <c r="B200" i="12"/>
  <c r="B150" i="12"/>
  <c r="B149" i="12"/>
  <c r="B148" i="12"/>
  <c r="L142" i="12"/>
  <c r="K142" i="12"/>
  <c r="K368" i="12" s="1"/>
  <c r="I142" i="12"/>
  <c r="H142" i="12"/>
  <c r="H368" i="12" s="1"/>
  <c r="F142" i="12"/>
  <c r="C142" i="12"/>
  <c r="C368" i="12" s="1"/>
  <c r="B142" i="12"/>
  <c r="B368" i="12" s="1"/>
  <c r="M141" i="12"/>
  <c r="M367" i="12" s="1"/>
  <c r="L141" i="12"/>
  <c r="K141" i="12"/>
  <c r="K256" i="6" s="1"/>
  <c r="J141" i="12"/>
  <c r="J367" i="12" s="1"/>
  <c r="I141" i="12"/>
  <c r="I367" i="12" s="1"/>
  <c r="H141" i="12"/>
  <c r="G141" i="12"/>
  <c r="G367" i="12" s="1"/>
  <c r="G406" i="12" s="1"/>
  <c r="F141" i="12"/>
  <c r="F367" i="12" s="1"/>
  <c r="E141" i="12"/>
  <c r="E367" i="12" s="1"/>
  <c r="D141" i="12"/>
  <c r="D367" i="12" s="1"/>
  <c r="C141" i="12"/>
  <c r="C256" i="6" s="1"/>
  <c r="B141" i="12"/>
  <c r="B367" i="12" s="1"/>
  <c r="M140" i="12"/>
  <c r="M366" i="12" s="1"/>
  <c r="L86" i="12"/>
  <c r="K140" i="12"/>
  <c r="K366" i="12" s="1"/>
  <c r="K405" i="12" s="1"/>
  <c r="J140" i="12"/>
  <c r="J366" i="12" s="1"/>
  <c r="I140" i="12"/>
  <c r="I366" i="12" s="1"/>
  <c r="H140" i="12"/>
  <c r="G140" i="12"/>
  <c r="G366" i="12" s="1"/>
  <c r="F140" i="12"/>
  <c r="F366" i="12" s="1"/>
  <c r="E140" i="12"/>
  <c r="E366" i="12" s="1"/>
  <c r="C140" i="12"/>
  <c r="C366" i="12" s="1"/>
  <c r="B140" i="12"/>
  <c r="B366" i="12" s="1"/>
  <c r="M373" i="12"/>
  <c r="L71" i="12"/>
  <c r="L372" i="12" s="1"/>
  <c r="K71" i="12"/>
  <c r="K372" i="12" s="1"/>
  <c r="J71" i="12"/>
  <c r="J372" i="12" s="1"/>
  <c r="I71" i="12"/>
  <c r="I372" i="12" s="1"/>
  <c r="H71" i="12"/>
  <c r="H372" i="12" s="1"/>
  <c r="G71" i="12"/>
  <c r="G372" i="12" s="1"/>
  <c r="F71" i="12"/>
  <c r="F372" i="12" s="1"/>
  <c r="E71" i="12"/>
  <c r="E372" i="12" s="1"/>
  <c r="D71" i="12"/>
  <c r="D372" i="12" s="1"/>
  <c r="C71" i="12"/>
  <c r="C372" i="12" s="1"/>
  <c r="B71" i="12"/>
  <c r="B372" i="12" s="1"/>
  <c r="M55" i="12"/>
  <c r="L55" i="12"/>
  <c r="K55" i="12"/>
  <c r="J55" i="12"/>
  <c r="I55" i="12"/>
  <c r="H55" i="12"/>
  <c r="G55" i="12"/>
  <c r="F55" i="12"/>
  <c r="E55" i="12"/>
  <c r="D55" i="12"/>
  <c r="C55" i="12"/>
  <c r="B55" i="12"/>
  <c r="L38" i="12"/>
  <c r="L386" i="12" s="1"/>
  <c r="K38" i="12"/>
  <c r="J38" i="12"/>
  <c r="J386" i="12" s="1"/>
  <c r="I38" i="12"/>
  <c r="I386" i="12" s="1"/>
  <c r="H38" i="12"/>
  <c r="H386" i="12" s="1"/>
  <c r="G38" i="12"/>
  <c r="G386" i="12" s="1"/>
  <c r="F38" i="12"/>
  <c r="F386" i="12" s="1"/>
  <c r="E38" i="12"/>
  <c r="E386" i="12" s="1"/>
  <c r="D38" i="12"/>
  <c r="D386" i="12" s="1"/>
  <c r="C38" i="12"/>
  <c r="B38" i="12"/>
  <c r="B386" i="12" s="1"/>
  <c r="L389" i="12"/>
  <c r="K389" i="12"/>
  <c r="J389" i="12"/>
  <c r="I389" i="12"/>
  <c r="H389" i="12"/>
  <c r="G389" i="12"/>
  <c r="F389" i="12"/>
  <c r="E389" i="12"/>
  <c r="L24" i="12"/>
  <c r="L388" i="12" s="1"/>
  <c r="K24" i="12"/>
  <c r="K388" i="12" s="1"/>
  <c r="J24" i="12"/>
  <c r="J388" i="12" s="1"/>
  <c r="I24" i="12"/>
  <c r="I388" i="12" s="1"/>
  <c r="H24" i="12"/>
  <c r="H388" i="12" s="1"/>
  <c r="G24" i="12"/>
  <c r="G388" i="12" s="1"/>
  <c r="F24" i="12"/>
  <c r="F388" i="12" s="1"/>
  <c r="E24" i="12"/>
  <c r="D21" i="12"/>
  <c r="C21" i="12"/>
  <c r="B21" i="12"/>
  <c r="M7" i="12"/>
  <c r="M385" i="12" s="1"/>
  <c r="L7" i="12"/>
  <c r="L385" i="12" s="1"/>
  <c r="K7" i="12"/>
  <c r="K385" i="12" s="1"/>
  <c r="J7" i="12"/>
  <c r="J385" i="12" s="1"/>
  <c r="I7" i="12"/>
  <c r="I385" i="12" s="1"/>
  <c r="H7" i="12"/>
  <c r="H385" i="12" s="1"/>
  <c r="G7" i="12"/>
  <c r="G385" i="12" s="1"/>
  <c r="F7" i="12"/>
  <c r="F385" i="12" s="1"/>
  <c r="E7" i="12"/>
  <c r="E385" i="12" s="1"/>
  <c r="D7" i="12"/>
  <c r="D385" i="12" s="1"/>
  <c r="C7" i="12"/>
  <c r="C385" i="12" s="1"/>
  <c r="B7" i="12"/>
  <c r="B385" i="12" s="1"/>
  <c r="M201" i="12"/>
  <c r="M38" i="12"/>
  <c r="M386" i="12" s="1"/>
  <c r="M71" i="12"/>
  <c r="M372" i="12" s="1"/>
  <c r="M261" i="6"/>
  <c r="M264" i="6"/>
  <c r="M185" i="6"/>
  <c r="M186" i="6"/>
  <c r="M188" i="6"/>
  <c r="M193" i="6"/>
  <c r="M158" i="6"/>
  <c r="M159" i="6"/>
  <c r="M160" i="6"/>
  <c r="M165" i="6"/>
  <c r="M167" i="6"/>
  <c r="M207" i="6"/>
  <c r="M208" i="6"/>
  <c r="M171" i="6"/>
  <c r="M114" i="6" s="1"/>
  <c r="M238" i="6"/>
  <c r="M108" i="6"/>
  <c r="M214" i="6"/>
  <c r="M96" i="6"/>
  <c r="M197" i="6" s="1"/>
  <c r="M196" i="6" s="1"/>
  <c r="M97" i="6"/>
  <c r="M230" i="6"/>
  <c r="M229" i="6"/>
  <c r="M115" i="6"/>
  <c r="M7" i="6"/>
  <c r="M31" i="6"/>
  <c r="M168" i="6"/>
  <c r="M237" i="6" s="1"/>
  <c r="M202" i="6"/>
  <c r="M203" i="6"/>
  <c r="M213" i="6"/>
  <c r="M201" i="6"/>
  <c r="C208" i="6"/>
  <c r="C121" i="2"/>
  <c r="C119" i="2"/>
  <c r="B193" i="2"/>
  <c r="K258" i="2"/>
  <c r="J258" i="2"/>
  <c r="I258" i="2"/>
  <c r="H258" i="2"/>
  <c r="G258" i="2"/>
  <c r="F258" i="2"/>
  <c r="E258" i="2"/>
  <c r="D258" i="2"/>
  <c r="C258" i="2"/>
  <c r="B258" i="2"/>
  <c r="L93" i="2"/>
  <c r="L259" i="2"/>
  <c r="L258" i="2"/>
  <c r="P262" i="2" s="1"/>
  <c r="AA305" i="4"/>
  <c r="A315" i="6" s="1"/>
  <c r="AA304" i="4"/>
  <c r="A313" i="6" s="1"/>
  <c r="AA303" i="4"/>
  <c r="A312" i="6" s="1"/>
  <c r="AA302" i="4"/>
  <c r="A311" i="6" s="1"/>
  <c r="AA301" i="4"/>
  <c r="A310" i="6" s="1"/>
  <c r="AA300" i="4"/>
  <c r="A309" i="6" s="1"/>
  <c r="AA299" i="4"/>
  <c r="A308" i="6" s="1"/>
  <c r="AA298" i="4"/>
  <c r="A307" i="6" s="1"/>
  <c r="AA296" i="4"/>
  <c r="A305" i="6" s="1"/>
  <c r="AA295" i="4"/>
  <c r="A304" i="6" s="1"/>
  <c r="AA294" i="4"/>
  <c r="A303" i="6" s="1"/>
  <c r="AA291" i="4"/>
  <c r="A298" i="6" s="1"/>
  <c r="AA290" i="4"/>
  <c r="A297" i="6" s="1"/>
  <c r="AA289" i="4"/>
  <c r="A296" i="6" s="1"/>
  <c r="AA288" i="4"/>
  <c r="A295" i="6" s="1"/>
  <c r="AA287" i="4"/>
  <c r="A294" i="6" s="1"/>
  <c r="AA285" i="4"/>
  <c r="A292" i="6" s="1"/>
  <c r="AA284" i="4"/>
  <c r="A291" i="6" s="1"/>
  <c r="AA283" i="4"/>
  <c r="A290" i="6" s="1"/>
  <c r="AA282" i="4"/>
  <c r="A289" i="6" s="1"/>
  <c r="AA281" i="4"/>
  <c r="A288" i="6" s="1"/>
  <c r="AA280" i="4"/>
  <c r="A287" i="6" s="1"/>
  <c r="AA279" i="4"/>
  <c r="A286" i="6" s="1"/>
  <c r="AA278" i="4"/>
  <c r="A285" i="6" s="1"/>
  <c r="AA276" i="4"/>
  <c r="A283" i="6" s="1"/>
  <c r="AA275" i="4"/>
  <c r="A282" i="6" s="1"/>
  <c r="AA274" i="4"/>
  <c r="A281" i="6" s="1"/>
  <c r="AA271" i="4"/>
  <c r="A276" i="6" s="1"/>
  <c r="AA270" i="4"/>
  <c r="A275" i="6" s="1"/>
  <c r="AA269" i="4"/>
  <c r="A274" i="6" s="1"/>
  <c r="AA268" i="4"/>
  <c r="A273" i="6" s="1"/>
  <c r="AA267" i="4"/>
  <c r="AA266" i="4"/>
  <c r="A271" i="6" s="1"/>
  <c r="AA265" i="4"/>
  <c r="A270" i="6" s="1"/>
  <c r="AA264" i="4"/>
  <c r="A269" i="6" s="1"/>
  <c r="AA263" i="4"/>
  <c r="A268" i="6" s="1"/>
  <c r="AA262" i="4"/>
  <c r="A267" i="6" s="1"/>
  <c r="AA261" i="4"/>
  <c r="A266" i="6" s="1"/>
  <c r="AA260" i="4"/>
  <c r="A265" i="6" s="1"/>
  <c r="AA259" i="4"/>
  <c r="A264" i="6" s="1"/>
  <c r="AA257" i="4"/>
  <c r="A262" i="6" s="1"/>
  <c r="AA256" i="4"/>
  <c r="A261" i="6" s="1"/>
  <c r="AA255" i="4"/>
  <c r="A260" i="6" s="1"/>
  <c r="AA252" i="4"/>
  <c r="A257" i="6" s="1"/>
  <c r="AA251" i="4"/>
  <c r="A256" i="6" s="1"/>
  <c r="AA250" i="4"/>
  <c r="A255" i="6" s="1"/>
  <c r="AA249" i="4"/>
  <c r="A254" i="6" s="1"/>
  <c r="AA248" i="4"/>
  <c r="A253" i="6" s="1"/>
  <c r="AA247" i="4"/>
  <c r="L91" i="2"/>
  <c r="C90" i="2"/>
  <c r="C246" i="2" s="1"/>
  <c r="D90" i="2"/>
  <c r="D246" i="2" s="1"/>
  <c r="E90" i="2"/>
  <c r="E246" i="2" s="1"/>
  <c r="F90" i="2"/>
  <c r="F246" i="2" s="1"/>
  <c r="G90" i="2"/>
  <c r="G246" i="2" s="1"/>
  <c r="H90" i="2"/>
  <c r="H246" i="2" s="1"/>
  <c r="I90" i="2"/>
  <c r="I246" i="2" s="1"/>
  <c r="J90" i="2"/>
  <c r="J246" i="2" s="1"/>
  <c r="K90" i="2"/>
  <c r="K246" i="2" s="1"/>
  <c r="L90" i="2"/>
  <c r="C91" i="2"/>
  <c r="D91" i="2"/>
  <c r="E91" i="2"/>
  <c r="F91" i="2"/>
  <c r="G91" i="2"/>
  <c r="H91" i="2"/>
  <c r="I91" i="2"/>
  <c r="J91" i="2"/>
  <c r="K91" i="2"/>
  <c r="C93" i="2"/>
  <c r="D93" i="2"/>
  <c r="E93" i="2"/>
  <c r="F93" i="2"/>
  <c r="G93" i="2"/>
  <c r="H93" i="2"/>
  <c r="I93" i="2"/>
  <c r="J93" i="2"/>
  <c r="K93" i="2"/>
  <c r="L223" i="6"/>
  <c r="L121" i="2"/>
  <c r="L118" i="2"/>
  <c r="L119" i="2"/>
  <c r="L87" i="2"/>
  <c r="L84" i="2"/>
  <c r="L85" i="2"/>
  <c r="L262" i="6" s="1"/>
  <c r="L229" i="2"/>
  <c r="L7" i="2"/>
  <c r="L226" i="2" s="1"/>
  <c r="L230" i="2"/>
  <c r="L40" i="2"/>
  <c r="L56" i="2"/>
  <c r="L218" i="2" s="1"/>
  <c r="L184" i="2"/>
  <c r="L201" i="2"/>
  <c r="L204" i="2"/>
  <c r="L224" i="2"/>
  <c r="L219" i="2"/>
  <c r="L220" i="2"/>
  <c r="L26" i="2"/>
  <c r="L227" i="2" s="1"/>
  <c r="L20" i="2"/>
  <c r="K223" i="6"/>
  <c r="J223" i="6"/>
  <c r="I223" i="6"/>
  <c r="H223" i="6"/>
  <c r="G223" i="6"/>
  <c r="F223" i="6"/>
  <c r="E223" i="6"/>
  <c r="D223" i="6"/>
  <c r="C223" i="6"/>
  <c r="C222" i="6"/>
  <c r="D222" i="6"/>
  <c r="E222" i="6"/>
  <c r="F222" i="6"/>
  <c r="G222" i="6"/>
  <c r="H222" i="6"/>
  <c r="I222" i="6"/>
  <c r="J222" i="6"/>
  <c r="K222" i="6"/>
  <c r="L222" i="6"/>
  <c r="L168" i="6"/>
  <c r="L237" i="6" s="1"/>
  <c r="L238" i="6"/>
  <c r="L230" i="6"/>
  <c r="L229" i="6"/>
  <c r="L214" i="6"/>
  <c r="L208" i="6"/>
  <c r="L207" i="6"/>
  <c r="L203" i="6"/>
  <c r="L202" i="6"/>
  <c r="L193" i="6"/>
  <c r="L188" i="6"/>
  <c r="L186" i="6"/>
  <c r="L185" i="6"/>
  <c r="L171" i="6"/>
  <c r="L114" i="6" s="1"/>
  <c r="L167" i="6"/>
  <c r="L165" i="6"/>
  <c r="L160" i="6"/>
  <c r="L159" i="6"/>
  <c r="L158" i="6"/>
  <c r="L149" i="6"/>
  <c r="L145" i="6"/>
  <c r="L144" i="6"/>
  <c r="L132" i="6"/>
  <c r="L115" i="6"/>
  <c r="L108" i="6"/>
  <c r="L97" i="6"/>
  <c r="L67" i="6"/>
  <c r="L201" i="6" s="1"/>
  <c r="L49" i="6"/>
  <c r="L31" i="6"/>
  <c r="L227" i="6" s="1"/>
  <c r="L23" i="6"/>
  <c r="L7" i="6"/>
  <c r="L226" i="6" s="1"/>
  <c r="AA241" i="4"/>
  <c r="A246" i="6" s="1"/>
  <c r="AA240" i="4"/>
  <c r="A245" i="6" s="1"/>
  <c r="O121" i="4"/>
  <c r="O120" i="4"/>
  <c r="O119" i="4"/>
  <c r="O118" i="4"/>
  <c r="S150" i="4"/>
  <c r="S149" i="4"/>
  <c r="S148" i="4"/>
  <c r="S147" i="4"/>
  <c r="W48" i="4"/>
  <c r="W47" i="4"/>
  <c r="W46" i="4"/>
  <c r="W45" i="4"/>
  <c r="C316" i="4"/>
  <c r="A396" i="12" s="1"/>
  <c r="C315" i="4"/>
  <c r="A395" i="12" s="1"/>
  <c r="G238" i="4"/>
  <c r="A237" i="2" s="1"/>
  <c r="G237" i="4"/>
  <c r="A236" i="2" s="1"/>
  <c r="K207" i="4"/>
  <c r="K206" i="4"/>
  <c r="K238" i="6"/>
  <c r="J238" i="6"/>
  <c r="I238" i="6"/>
  <c r="H238" i="6"/>
  <c r="G238" i="6"/>
  <c r="F238" i="6"/>
  <c r="E238" i="6"/>
  <c r="D238" i="6"/>
  <c r="C238" i="6"/>
  <c r="B238" i="6"/>
  <c r="AA232" i="4"/>
  <c r="A237" i="6" s="1"/>
  <c r="AA231" i="4"/>
  <c r="A236" i="6" s="1"/>
  <c r="K202" i="6"/>
  <c r="AA219" i="4"/>
  <c r="A224" i="6" s="1"/>
  <c r="AA218" i="4"/>
  <c r="A223" i="6" s="1"/>
  <c r="AA217" i="4"/>
  <c r="A222" i="6" s="1"/>
  <c r="AA216" i="4"/>
  <c r="A221" i="6" s="1"/>
  <c r="AA215" i="4"/>
  <c r="A220" i="6" s="1"/>
  <c r="AA214" i="4"/>
  <c r="A219" i="6" s="1"/>
  <c r="AA213" i="4"/>
  <c r="A218" i="6" s="1"/>
  <c r="AA212" i="4"/>
  <c r="A217" i="6" s="1"/>
  <c r="AI25" i="4"/>
  <c r="AI29" i="4"/>
  <c r="C15" i="5" s="1"/>
  <c r="AI28" i="4"/>
  <c r="F19" i="5" s="1"/>
  <c r="AI27" i="4"/>
  <c r="B30" i="5" s="1"/>
  <c r="AI26" i="4"/>
  <c r="E14" i="5" s="1"/>
  <c r="AI20" i="4"/>
  <c r="E17" i="5" s="1"/>
  <c r="AI19" i="4"/>
  <c r="E12" i="5" s="1"/>
  <c r="AI18" i="4"/>
  <c r="AI17" i="4"/>
  <c r="B27" i="5" s="1"/>
  <c r="AI16" i="4"/>
  <c r="B22" i="5" s="1"/>
  <c r="AI14" i="4"/>
  <c r="B17" i="5" s="1"/>
  <c r="AI13" i="4"/>
  <c r="B12" i="5" s="1"/>
  <c r="AI12" i="4"/>
  <c r="B10" i="5" s="1"/>
  <c r="AA12" i="4"/>
  <c r="A12" i="6" s="1"/>
  <c r="AA244" i="4"/>
  <c r="A249" i="6" s="1"/>
  <c r="AA243" i="4"/>
  <c r="A248" i="6" s="1"/>
  <c r="AA242" i="4"/>
  <c r="A247" i="6" s="1"/>
  <c r="AA239" i="4"/>
  <c r="A244" i="6" s="1"/>
  <c r="AA238" i="4"/>
  <c r="A243" i="6" s="1"/>
  <c r="AA237" i="4"/>
  <c r="A242" i="6" s="1"/>
  <c r="AA236" i="4"/>
  <c r="AA233" i="4"/>
  <c r="A238" i="6" s="1"/>
  <c r="AA230" i="4"/>
  <c r="A235" i="6" s="1"/>
  <c r="AA229" i="4"/>
  <c r="A234" i="6" s="1"/>
  <c r="AA228" i="4"/>
  <c r="A233" i="6" s="1"/>
  <c r="AA227" i="4"/>
  <c r="A232" i="6" s="1"/>
  <c r="AA226" i="4"/>
  <c r="A231" i="6" s="1"/>
  <c r="AA225" i="4"/>
  <c r="A230" i="6" s="1"/>
  <c r="AA224" i="4"/>
  <c r="A229" i="6" s="1"/>
  <c r="AA223" i="4"/>
  <c r="A228" i="6" s="1"/>
  <c r="AA222" i="4"/>
  <c r="A227" i="6" s="1"/>
  <c r="AA221" i="4"/>
  <c r="A226" i="6" s="1"/>
  <c r="AA220" i="4"/>
  <c r="A225" i="6" s="1"/>
  <c r="AA209" i="4"/>
  <c r="A214" i="6" s="1"/>
  <c r="AA206" i="4"/>
  <c r="A208" i="6" s="1"/>
  <c r="AA205" i="4"/>
  <c r="A207" i="6" s="1"/>
  <c r="AA204" i="4"/>
  <c r="A206" i="6" s="1"/>
  <c r="AA203" i="4"/>
  <c r="A205" i="6" s="1"/>
  <c r="AA202" i="4"/>
  <c r="A204" i="6" s="1"/>
  <c r="AA201" i="4"/>
  <c r="A203" i="6" s="1"/>
  <c r="AA200" i="4"/>
  <c r="A202" i="6" s="1"/>
  <c r="AA199" i="4"/>
  <c r="A201" i="6" s="1"/>
  <c r="AA198" i="4"/>
  <c r="A200" i="6" s="1"/>
  <c r="AA196" i="4"/>
  <c r="A198" i="6" s="1"/>
  <c r="AA195" i="4"/>
  <c r="A197" i="6" s="1"/>
  <c r="AA194" i="4"/>
  <c r="A196" i="6" s="1"/>
  <c r="AA193" i="4"/>
  <c r="A195" i="6" s="1"/>
  <c r="AA192" i="4"/>
  <c r="A194" i="6" s="1"/>
  <c r="AA191" i="4"/>
  <c r="A193" i="6" s="1"/>
  <c r="AA190" i="4"/>
  <c r="A192" i="6" s="1"/>
  <c r="AA189" i="4"/>
  <c r="A191" i="6" s="1"/>
  <c r="AA188" i="4"/>
  <c r="A190" i="6" s="1"/>
  <c r="AA187" i="4"/>
  <c r="A189" i="6" s="1"/>
  <c r="AA186" i="4"/>
  <c r="A188" i="6" s="1"/>
  <c r="AA184" i="4"/>
  <c r="A186" i="6" s="1"/>
  <c r="AA183" i="4"/>
  <c r="A185" i="6" s="1"/>
  <c r="AA182" i="4"/>
  <c r="A184" i="6" s="1"/>
  <c r="AA179" i="4"/>
  <c r="A181" i="6" s="1"/>
  <c r="AA178" i="4"/>
  <c r="A180" i="6" s="1"/>
  <c r="AA177" i="4"/>
  <c r="A179" i="6" s="1"/>
  <c r="AA176" i="4"/>
  <c r="A178" i="6" s="1"/>
  <c r="AA175" i="4"/>
  <c r="A177" i="6" s="1"/>
  <c r="AA174" i="4"/>
  <c r="A176" i="6" s="1"/>
  <c r="AA173" i="4"/>
  <c r="A175" i="6" s="1"/>
  <c r="AA172" i="4"/>
  <c r="A174" i="6" s="1"/>
  <c r="AA171" i="4"/>
  <c r="A173" i="6" s="1"/>
  <c r="AA170" i="4"/>
  <c r="A172" i="6" s="1"/>
  <c r="AA169" i="4"/>
  <c r="A171" i="6" s="1"/>
  <c r="AA168" i="4"/>
  <c r="A170" i="6" s="1"/>
  <c r="AA167" i="4"/>
  <c r="A169" i="6" s="1"/>
  <c r="AA166" i="4"/>
  <c r="A168" i="6" s="1"/>
  <c r="AA165" i="4"/>
  <c r="A167" i="6" s="1"/>
  <c r="AA164" i="4"/>
  <c r="A166" i="6" s="1"/>
  <c r="AA163" i="4"/>
  <c r="A165" i="6" s="1"/>
  <c r="AA162" i="4"/>
  <c r="A164" i="6" s="1"/>
  <c r="AA161" i="4"/>
  <c r="A163" i="6" s="1"/>
  <c r="AA160" i="4"/>
  <c r="A162" i="6" s="1"/>
  <c r="AA159" i="4"/>
  <c r="A161" i="6" s="1"/>
  <c r="AA158" i="4"/>
  <c r="A160" i="6" s="1"/>
  <c r="AA156" i="4"/>
  <c r="A159" i="6" s="1"/>
  <c r="AA155" i="4"/>
  <c r="A158" i="6" s="1"/>
  <c r="A157" i="6"/>
  <c r="AA151" i="4"/>
  <c r="A155" i="6" s="1"/>
  <c r="AA150" i="4"/>
  <c r="A154" i="6" s="1"/>
  <c r="AA149" i="4"/>
  <c r="A153" i="6" s="1"/>
  <c r="AA148" i="4"/>
  <c r="A152" i="6" s="1"/>
  <c r="AA147" i="4"/>
  <c r="A151" i="6" s="1"/>
  <c r="AA146" i="4"/>
  <c r="A150" i="6" s="1"/>
  <c r="AA145" i="4"/>
  <c r="A149" i="6" s="1"/>
  <c r="AA143" i="4"/>
  <c r="A148" i="6" s="1"/>
  <c r="AA142" i="4"/>
  <c r="A147" i="6" s="1"/>
  <c r="AA141" i="4"/>
  <c r="A146" i="6" s="1"/>
  <c r="AA138" i="4"/>
  <c r="A145" i="6" s="1"/>
  <c r="AA137" i="4"/>
  <c r="A144" i="6" s="1"/>
  <c r="A143" i="6"/>
  <c r="AA133" i="4"/>
  <c r="A141" i="6" s="1"/>
  <c r="AA132" i="4"/>
  <c r="A140" i="6" s="1"/>
  <c r="AA131" i="4"/>
  <c r="A139" i="6" s="1"/>
  <c r="AA130" i="4"/>
  <c r="A138" i="6" s="1"/>
  <c r="AA129" i="4"/>
  <c r="A137" i="6" s="1"/>
  <c r="AA128" i="4"/>
  <c r="A136" i="6" s="1"/>
  <c r="AA127" i="4"/>
  <c r="A135" i="6" s="1"/>
  <c r="A134" i="6"/>
  <c r="AA123" i="4"/>
  <c r="A133" i="6" s="1"/>
  <c r="AA122" i="4"/>
  <c r="A132" i="6" s="1"/>
  <c r="AA121" i="4"/>
  <c r="A131" i="6" s="1"/>
  <c r="AA118" i="4"/>
  <c r="A130" i="6" s="1"/>
  <c r="AA117" i="4"/>
  <c r="A129" i="6" s="1"/>
  <c r="AA116" i="4"/>
  <c r="A128" i="6" s="1"/>
  <c r="AA115" i="4"/>
  <c r="A127" i="6" s="1"/>
  <c r="AA114" i="4"/>
  <c r="A126" i="6" s="1"/>
  <c r="AA113" i="4"/>
  <c r="AA110" i="4"/>
  <c r="A122" i="6" s="1"/>
  <c r="AA109" i="4"/>
  <c r="A121" i="6" s="1"/>
  <c r="AA106" i="4"/>
  <c r="A118" i="6" s="1"/>
  <c r="AA105" i="4"/>
  <c r="A117" i="6" s="1"/>
  <c r="AA104" i="4"/>
  <c r="A116" i="6" s="1"/>
  <c r="AA103" i="4"/>
  <c r="A115" i="6" s="1"/>
  <c r="AA102" i="4"/>
  <c r="A114" i="6" s="1"/>
  <c r="AA101" i="4"/>
  <c r="A113" i="6" s="1"/>
  <c r="AA100" i="4"/>
  <c r="A112" i="6" s="1"/>
  <c r="AA99" i="4"/>
  <c r="A111" i="6" s="1"/>
  <c r="AA98" i="4"/>
  <c r="A110" i="6" s="1"/>
  <c r="AA97" i="4"/>
  <c r="A109" i="6" s="1"/>
  <c r="AA96" i="4"/>
  <c r="A108" i="6" s="1"/>
  <c r="AA95" i="4"/>
  <c r="A107" i="6" s="1"/>
  <c r="AA94" i="4"/>
  <c r="A106" i="6" s="1"/>
  <c r="AA93" i="4"/>
  <c r="A105" i="6" s="1"/>
  <c r="AA92" i="4"/>
  <c r="A104" i="6" s="1"/>
  <c r="AA91" i="4"/>
  <c r="A103" i="6" s="1"/>
  <c r="AA90" i="4"/>
  <c r="A102" i="6" s="1"/>
  <c r="AA89" i="4"/>
  <c r="A101" i="6" s="1"/>
  <c r="AA88" i="4"/>
  <c r="A100" i="6" s="1"/>
  <c r="AA87" i="4"/>
  <c r="A98" i="6" s="1"/>
  <c r="AA86" i="4"/>
  <c r="A97" i="6" s="1"/>
  <c r="AA85" i="4"/>
  <c r="A96" i="6" s="1"/>
  <c r="AA84" i="4"/>
  <c r="A95" i="6" s="1"/>
  <c r="AA83" i="4"/>
  <c r="A94" i="6" s="1"/>
  <c r="AA81" i="4"/>
  <c r="A92" i="6" s="1"/>
  <c r="AA80" i="4"/>
  <c r="A91" i="6" s="1"/>
  <c r="AA79" i="4"/>
  <c r="A90" i="6" s="1"/>
  <c r="AA78" i="4"/>
  <c r="A89" i="6" s="1"/>
  <c r="AA77" i="4"/>
  <c r="A88" i="6" s="1"/>
  <c r="AA76" i="4"/>
  <c r="A87" i="6" s="1"/>
  <c r="AA75" i="4"/>
  <c r="A85" i="6" s="1"/>
  <c r="AA74" i="4"/>
  <c r="A84" i="6" s="1"/>
  <c r="AA73" i="4"/>
  <c r="AA69" i="4"/>
  <c r="A79" i="6" s="1"/>
  <c r="AA68" i="4"/>
  <c r="A78" i="6" s="1"/>
  <c r="AA67" i="4"/>
  <c r="A77" i="6" s="1"/>
  <c r="AA66" i="4"/>
  <c r="A76" i="6" s="1"/>
  <c r="AA65" i="4"/>
  <c r="A75" i="6" s="1"/>
  <c r="AA64" i="4"/>
  <c r="A74" i="6" s="1"/>
  <c r="AA63" i="4"/>
  <c r="A73" i="6" s="1"/>
  <c r="AA62" i="4"/>
  <c r="A72" i="6" s="1"/>
  <c r="AA61" i="4"/>
  <c r="A71" i="6" s="1"/>
  <c r="AA60" i="4"/>
  <c r="A70" i="6" s="1"/>
  <c r="AA59" i="4"/>
  <c r="A69" i="6" s="1"/>
  <c r="AA58" i="4"/>
  <c r="A68" i="6" s="1"/>
  <c r="AA57" i="4"/>
  <c r="A67" i="6" s="1"/>
  <c r="AA56" i="4"/>
  <c r="A65" i="6" s="1"/>
  <c r="AA55" i="4"/>
  <c r="A63" i="6" s="1"/>
  <c r="AA54" i="4"/>
  <c r="A62" i="6" s="1"/>
  <c r="AA53" i="4"/>
  <c r="A61" i="6" s="1"/>
  <c r="AA52" i="4"/>
  <c r="A60" i="6" s="1"/>
  <c r="AA50" i="4"/>
  <c r="A58" i="6" s="1"/>
  <c r="AA49" i="4"/>
  <c r="A57" i="6" s="1"/>
  <c r="AA48" i="4"/>
  <c r="A56" i="6" s="1"/>
  <c r="AA47" i="4"/>
  <c r="A55" i="6" s="1"/>
  <c r="AA46" i="4"/>
  <c r="A54" i="6" s="1"/>
  <c r="AA45" i="4"/>
  <c r="A53" i="6" s="1"/>
  <c r="AA44" i="4"/>
  <c r="A51" i="6" s="1"/>
  <c r="AA43" i="4"/>
  <c r="A49" i="6" s="1"/>
  <c r="AA42" i="4"/>
  <c r="A48" i="6" s="1"/>
  <c r="AA41" i="4"/>
  <c r="A46" i="6" s="1"/>
  <c r="AA40" i="4"/>
  <c r="A44" i="6" s="1"/>
  <c r="AA39" i="4"/>
  <c r="A43" i="6" s="1"/>
  <c r="AA38" i="4"/>
  <c r="A42" i="6" s="1"/>
  <c r="AA37" i="4"/>
  <c r="A41" i="6" s="1"/>
  <c r="AA36" i="4"/>
  <c r="A40" i="6" s="1"/>
  <c r="AA35" i="4"/>
  <c r="A39" i="6" s="1"/>
  <c r="AA34" i="4"/>
  <c r="A38" i="6" s="1"/>
  <c r="AA33" i="4"/>
  <c r="A37" i="6" s="1"/>
  <c r="AA32" i="4"/>
  <c r="A36" i="6" s="1"/>
  <c r="AA31" i="4"/>
  <c r="A34" i="6" s="1"/>
  <c r="AA30" i="4"/>
  <c r="A33" i="6" s="1"/>
  <c r="AA29" i="4"/>
  <c r="A32" i="6" s="1"/>
  <c r="AA28" i="4"/>
  <c r="A31" i="6" s="1"/>
  <c r="AA27" i="4"/>
  <c r="A30" i="6" s="1"/>
  <c r="AA25" i="4"/>
  <c r="A27" i="6" s="1"/>
  <c r="AA24" i="4"/>
  <c r="A26" i="6" s="1"/>
  <c r="AA23" i="4"/>
  <c r="A25" i="6" s="1"/>
  <c r="AA22" i="4"/>
  <c r="A24" i="6" s="1"/>
  <c r="AA21" i="4"/>
  <c r="A23" i="6" s="1"/>
  <c r="AA20" i="4"/>
  <c r="A22" i="6" s="1"/>
  <c r="AA19" i="4"/>
  <c r="A19" i="6" s="1"/>
  <c r="AA18" i="4"/>
  <c r="A18" i="6" s="1"/>
  <c r="AA17" i="4"/>
  <c r="A17" i="6" s="1"/>
  <c r="AA15" i="4"/>
  <c r="A15" i="6" s="1"/>
  <c r="AA14" i="4"/>
  <c r="A14" i="6" s="1"/>
  <c r="AA13" i="4"/>
  <c r="AA11" i="4"/>
  <c r="A11" i="6" s="1"/>
  <c r="AA9" i="4"/>
  <c r="A9" i="6" s="1"/>
  <c r="AA8" i="4"/>
  <c r="A8" i="6" s="1"/>
  <c r="AA7" i="4"/>
  <c r="A7" i="6" s="1"/>
  <c r="AA6" i="4"/>
  <c r="A6" i="6" s="1"/>
  <c r="AA1" i="4"/>
  <c r="S126" i="4"/>
  <c r="S125" i="4"/>
  <c r="W1" i="4"/>
  <c r="S1" i="4"/>
  <c r="O1" i="4"/>
  <c r="K1" i="4"/>
  <c r="G1" i="4"/>
  <c r="C1" i="4"/>
  <c r="C287" i="4"/>
  <c r="A364" i="12" s="1"/>
  <c r="C286" i="4"/>
  <c r="A363" i="12" s="1"/>
  <c r="K214" i="6"/>
  <c r="J214" i="6"/>
  <c r="I214" i="6"/>
  <c r="H214" i="6"/>
  <c r="G214" i="6"/>
  <c r="F214" i="6"/>
  <c r="E214" i="6"/>
  <c r="D214" i="6"/>
  <c r="C214" i="6"/>
  <c r="K213" i="6"/>
  <c r="J213" i="6"/>
  <c r="I213" i="6"/>
  <c r="H213" i="6"/>
  <c r="G213" i="6"/>
  <c r="F213" i="6"/>
  <c r="E213" i="6"/>
  <c r="D213" i="6"/>
  <c r="C213" i="6"/>
  <c r="B214" i="6"/>
  <c r="B213" i="6"/>
  <c r="K149" i="6"/>
  <c r="J149" i="6"/>
  <c r="I149" i="6"/>
  <c r="H149" i="6"/>
  <c r="G149" i="6"/>
  <c r="F149" i="6"/>
  <c r="E149" i="6"/>
  <c r="D149" i="6"/>
  <c r="C149" i="6"/>
  <c r="K145" i="6"/>
  <c r="J145" i="6"/>
  <c r="I145" i="6"/>
  <c r="H145" i="6"/>
  <c r="G145" i="6"/>
  <c r="F145" i="6"/>
  <c r="E145" i="6"/>
  <c r="D145" i="6"/>
  <c r="C145" i="6"/>
  <c r="K144" i="6"/>
  <c r="J144" i="6"/>
  <c r="I144" i="6"/>
  <c r="H144" i="6"/>
  <c r="G144" i="6"/>
  <c r="F144" i="6"/>
  <c r="E144" i="6"/>
  <c r="D144" i="6"/>
  <c r="C144" i="6"/>
  <c r="K133" i="6"/>
  <c r="J133" i="6"/>
  <c r="I133" i="6"/>
  <c r="H133" i="6"/>
  <c r="G133" i="6"/>
  <c r="F133" i="6"/>
  <c r="E133" i="6"/>
  <c r="D133" i="6"/>
  <c r="C133" i="6"/>
  <c r="K132" i="6"/>
  <c r="J132" i="6"/>
  <c r="I132" i="6"/>
  <c r="H132" i="6"/>
  <c r="G132" i="6"/>
  <c r="F132" i="6"/>
  <c r="E132" i="6"/>
  <c r="D132" i="6"/>
  <c r="C132" i="6"/>
  <c r="B133" i="6"/>
  <c r="B132" i="6"/>
  <c r="B149" i="6"/>
  <c r="B145" i="6"/>
  <c r="B144" i="6"/>
  <c r="K167" i="6"/>
  <c r="J167" i="6"/>
  <c r="I167" i="6"/>
  <c r="H167" i="6"/>
  <c r="G167" i="6"/>
  <c r="F167" i="6"/>
  <c r="E167" i="6"/>
  <c r="D167" i="6"/>
  <c r="C167" i="6"/>
  <c r="K165" i="6"/>
  <c r="J165" i="6"/>
  <c r="I165" i="6"/>
  <c r="H165" i="6"/>
  <c r="G165" i="6"/>
  <c r="F165" i="6"/>
  <c r="E165" i="6"/>
  <c r="D165" i="6"/>
  <c r="C165" i="6"/>
  <c r="K160" i="6"/>
  <c r="J160" i="6"/>
  <c r="I160" i="6"/>
  <c r="H160" i="6"/>
  <c r="G160" i="6"/>
  <c r="F160" i="6"/>
  <c r="E160" i="6"/>
  <c r="D160" i="6"/>
  <c r="C160" i="6"/>
  <c r="K159" i="6"/>
  <c r="J159" i="6"/>
  <c r="I159" i="6"/>
  <c r="H159" i="6"/>
  <c r="G159" i="6"/>
  <c r="F159" i="6"/>
  <c r="E159" i="6"/>
  <c r="D159" i="6"/>
  <c r="C159" i="6"/>
  <c r="K158" i="6"/>
  <c r="J158" i="6"/>
  <c r="I158" i="6"/>
  <c r="H158" i="6"/>
  <c r="G158" i="6"/>
  <c r="F158" i="6"/>
  <c r="E158" i="6"/>
  <c r="D158" i="6"/>
  <c r="C158" i="6"/>
  <c r="B167" i="6"/>
  <c r="B165" i="6"/>
  <c r="B160" i="6"/>
  <c r="B159" i="6"/>
  <c r="B158" i="6"/>
  <c r="K193" i="6"/>
  <c r="J193" i="6"/>
  <c r="I193" i="6"/>
  <c r="H193" i="6"/>
  <c r="G193" i="6"/>
  <c r="F193" i="6"/>
  <c r="E193" i="6"/>
  <c r="D193" i="6"/>
  <c r="C193" i="6"/>
  <c r="B193" i="6"/>
  <c r="K188" i="6"/>
  <c r="J188" i="6"/>
  <c r="I188" i="6"/>
  <c r="H188" i="6"/>
  <c r="G188" i="6"/>
  <c r="F188" i="6"/>
  <c r="E188" i="6"/>
  <c r="D188" i="6"/>
  <c r="C188" i="6"/>
  <c r="K186" i="6"/>
  <c r="J186" i="6"/>
  <c r="I186" i="6"/>
  <c r="H186" i="6"/>
  <c r="G186" i="6"/>
  <c r="F186" i="6"/>
  <c r="E186" i="6"/>
  <c r="D186" i="6"/>
  <c r="C186" i="6"/>
  <c r="K185" i="6"/>
  <c r="J185" i="6"/>
  <c r="I185" i="6"/>
  <c r="H185" i="6"/>
  <c r="G185" i="6"/>
  <c r="F185" i="6"/>
  <c r="E185" i="6"/>
  <c r="D185" i="6"/>
  <c r="C185" i="6"/>
  <c r="B188" i="6"/>
  <c r="B186" i="6"/>
  <c r="B185" i="6"/>
  <c r="K115" i="6"/>
  <c r="J115" i="6"/>
  <c r="I115" i="6"/>
  <c r="H115" i="6"/>
  <c r="G115" i="6"/>
  <c r="F115" i="6"/>
  <c r="E115" i="6"/>
  <c r="D115" i="6"/>
  <c r="C115" i="6"/>
  <c r="B115" i="6"/>
  <c r="K171" i="6"/>
  <c r="K114" i="6" s="1"/>
  <c r="J171" i="6"/>
  <c r="J114" i="6" s="1"/>
  <c r="I171" i="6"/>
  <c r="I114" i="6" s="1"/>
  <c r="H171" i="6"/>
  <c r="H114" i="6" s="1"/>
  <c r="G171" i="6"/>
  <c r="G114" i="6" s="1"/>
  <c r="F171" i="6"/>
  <c r="F114" i="6" s="1"/>
  <c r="E171" i="6"/>
  <c r="E114" i="6" s="1"/>
  <c r="D171" i="6"/>
  <c r="D114" i="6" s="1"/>
  <c r="C171" i="6"/>
  <c r="C114" i="6" s="1"/>
  <c r="B171" i="6"/>
  <c r="B114" i="6" s="1"/>
  <c r="K108" i="6"/>
  <c r="I108" i="6"/>
  <c r="H108" i="6"/>
  <c r="G108" i="6"/>
  <c r="F108" i="6"/>
  <c r="E108" i="6"/>
  <c r="D108" i="6"/>
  <c r="C108" i="6"/>
  <c r="B108" i="6"/>
  <c r="K97" i="6"/>
  <c r="I97" i="6"/>
  <c r="H97" i="6"/>
  <c r="G97" i="6"/>
  <c r="F97" i="6"/>
  <c r="E97" i="6"/>
  <c r="D97" i="6"/>
  <c r="C97" i="6"/>
  <c r="B97" i="6"/>
  <c r="K96" i="6"/>
  <c r="K197" i="6" s="1"/>
  <c r="K196" i="6" s="1"/>
  <c r="H96" i="6"/>
  <c r="E96" i="6"/>
  <c r="D96" i="6"/>
  <c r="D197" i="6" s="1"/>
  <c r="D196" i="6" s="1"/>
  <c r="C96" i="6"/>
  <c r="B96" i="6"/>
  <c r="I96" i="6"/>
  <c r="I197" i="6" s="1"/>
  <c r="I196" i="6" s="1"/>
  <c r="G96" i="6"/>
  <c r="G197" i="6" s="1"/>
  <c r="G196" i="6" s="1"/>
  <c r="F96" i="6"/>
  <c r="F197" i="6" s="1"/>
  <c r="F196" i="6" s="1"/>
  <c r="W49" i="4"/>
  <c r="W44" i="4"/>
  <c r="W43" i="4"/>
  <c r="W42" i="4"/>
  <c r="W41" i="4"/>
  <c r="W40" i="4"/>
  <c r="W39" i="4"/>
  <c r="W38" i="4"/>
  <c r="W37" i="4"/>
  <c r="W36" i="4"/>
  <c r="W35" i="4"/>
  <c r="W34" i="4"/>
  <c r="W33" i="4"/>
  <c r="W32" i="4"/>
  <c r="W31" i="4"/>
  <c r="W30" i="4"/>
  <c r="W29" i="4"/>
  <c r="W26" i="4"/>
  <c r="W25" i="4"/>
  <c r="W24" i="4"/>
  <c r="W23" i="4"/>
  <c r="W22" i="4"/>
  <c r="W21" i="4"/>
  <c r="W20" i="4"/>
  <c r="W19" i="4"/>
  <c r="W18" i="4"/>
  <c r="W17" i="4"/>
  <c r="W16" i="4"/>
  <c r="W14" i="4"/>
  <c r="W13" i="4"/>
  <c r="W12" i="4"/>
  <c r="W11" i="4"/>
  <c r="W10" i="4"/>
  <c r="W9" i="4"/>
  <c r="W8" i="4"/>
  <c r="W7" i="4"/>
  <c r="W6" i="4"/>
  <c r="W5" i="4"/>
  <c r="S176" i="4"/>
  <c r="S175" i="4"/>
  <c r="S174" i="4"/>
  <c r="S173" i="4"/>
  <c r="S172" i="4"/>
  <c r="S171" i="4"/>
  <c r="S170" i="4"/>
  <c r="S169" i="4"/>
  <c r="S168" i="4"/>
  <c r="S167" i="4"/>
  <c r="S166" i="4"/>
  <c r="S165" i="4"/>
  <c r="S164" i="4"/>
  <c r="S163" i="4"/>
  <c r="S162" i="4"/>
  <c r="S161" i="4"/>
  <c r="S160" i="4"/>
  <c r="S159" i="4"/>
  <c r="S158" i="4"/>
  <c r="S157" i="4"/>
  <c r="S156" i="4"/>
  <c r="S155" i="4"/>
  <c r="S154" i="4"/>
  <c r="S151" i="4"/>
  <c r="S146" i="4"/>
  <c r="S145" i="4"/>
  <c r="S144" i="4"/>
  <c r="S143" i="4"/>
  <c r="S142" i="4"/>
  <c r="S141" i="4"/>
  <c r="S140" i="4"/>
  <c r="S139" i="4"/>
  <c r="S138" i="4"/>
  <c r="S137" i="4"/>
  <c r="S136" i="4"/>
  <c r="S133" i="4"/>
  <c r="S132" i="4"/>
  <c r="S131" i="4"/>
  <c r="S130" i="4"/>
  <c r="S129" i="4"/>
  <c r="S128" i="4"/>
  <c r="S127"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4" i="4"/>
  <c r="S63" i="4"/>
  <c r="S62" i="4"/>
  <c r="S61" i="4"/>
  <c r="S60" i="4"/>
  <c r="S58" i="4"/>
  <c r="S57" i="4"/>
  <c r="S56" i="4"/>
  <c r="S55" i="4"/>
  <c r="S54" i="4"/>
  <c r="S53" i="4"/>
  <c r="S52" i="4"/>
  <c r="S51" i="4"/>
  <c r="S49" i="4"/>
  <c r="S48" i="4"/>
  <c r="S47" i="4"/>
  <c r="S46" i="4"/>
  <c r="S45" i="4"/>
  <c r="S44" i="4"/>
  <c r="S43" i="4"/>
  <c r="S42" i="4"/>
  <c r="S41" i="4"/>
  <c r="S40" i="4"/>
  <c r="S39" i="4"/>
  <c r="S38" i="4"/>
  <c r="S36" i="4"/>
  <c r="S35" i="4"/>
  <c r="S34" i="4"/>
  <c r="S33" i="4"/>
  <c r="S32" i="4"/>
  <c r="S31" i="4"/>
  <c r="S30" i="4"/>
  <c r="S29" i="4"/>
  <c r="S28" i="4"/>
  <c r="S27" i="4"/>
  <c r="S26" i="4"/>
  <c r="S25" i="4"/>
  <c r="S24" i="4"/>
  <c r="S23" i="4"/>
  <c r="S22" i="4"/>
  <c r="S21" i="4"/>
  <c r="S20" i="4"/>
  <c r="S19" i="4"/>
  <c r="S18" i="4"/>
  <c r="S17" i="4"/>
  <c r="S16" i="4"/>
  <c r="S14" i="4"/>
  <c r="S13" i="4"/>
  <c r="S12" i="4"/>
  <c r="S11" i="4"/>
  <c r="S10" i="4"/>
  <c r="S9" i="4"/>
  <c r="S8" i="4"/>
  <c r="S7" i="4"/>
  <c r="S6" i="4"/>
  <c r="J96" i="6"/>
  <c r="J197" i="6" s="1"/>
  <c r="J196" i="6" s="1"/>
  <c r="C294" i="4"/>
  <c r="A371" i="12" s="1"/>
  <c r="C291" i="4"/>
  <c r="A368" i="12" s="1"/>
  <c r="C290" i="4"/>
  <c r="A367" i="12" s="1"/>
  <c r="C289" i="4"/>
  <c r="A366" i="12" s="1"/>
  <c r="C285" i="4"/>
  <c r="A362" i="12" s="1"/>
  <c r="O133" i="4"/>
  <c r="O132" i="4"/>
  <c r="O131" i="4"/>
  <c r="O130" i="4"/>
  <c r="O129" i="4"/>
  <c r="O128" i="4"/>
  <c r="O127" i="4"/>
  <c r="O126" i="4"/>
  <c r="O125" i="4"/>
  <c r="O122" i="4"/>
  <c r="O117" i="4"/>
  <c r="O116" i="4"/>
  <c r="O115" i="4"/>
  <c r="O114" i="4"/>
  <c r="O113" i="4"/>
  <c r="O112" i="4"/>
  <c r="O111" i="4"/>
  <c r="O110" i="4"/>
  <c r="O109" i="4"/>
  <c r="O108" i="4"/>
  <c r="O107" i="4"/>
  <c r="O106" i="4"/>
  <c r="O105" i="4"/>
  <c r="O104" i="4"/>
  <c r="O103" i="4"/>
  <c r="O102" i="4"/>
  <c r="O101" i="4"/>
  <c r="O100" i="4"/>
  <c r="O99" i="4"/>
  <c r="O98" i="4"/>
  <c r="O97" i="4"/>
  <c r="O96" i="4"/>
  <c r="O95" i="4"/>
  <c r="O94" i="4"/>
  <c r="O93" i="4"/>
  <c r="O92" i="4"/>
  <c r="O91" i="4"/>
  <c r="O90" i="4"/>
  <c r="O89" i="4"/>
  <c r="O86" i="4"/>
  <c r="O85" i="4"/>
  <c r="O84" i="4"/>
  <c r="O83" i="4"/>
  <c r="O82" i="4"/>
  <c r="O81" i="4"/>
  <c r="O80" i="4"/>
  <c r="O79" i="4"/>
  <c r="O78" i="4"/>
  <c r="O77" i="4"/>
  <c r="O76" i="4"/>
  <c r="O75" i="4"/>
  <c r="O74" i="4"/>
  <c r="O73" i="4"/>
  <c r="O72" i="4"/>
  <c r="O71" i="4"/>
  <c r="O70" i="4"/>
  <c r="O69" i="4"/>
  <c r="O68" i="4"/>
  <c r="O67" i="4"/>
  <c r="O64" i="4"/>
  <c r="O63" i="4"/>
  <c r="O62" i="4"/>
  <c r="O61" i="4"/>
  <c r="O60" i="4"/>
  <c r="O59" i="4"/>
  <c r="O58" i="4"/>
  <c r="O57" i="4"/>
  <c r="O56" i="4"/>
  <c r="O55" i="4"/>
  <c r="O54" i="4"/>
  <c r="O53" i="4"/>
  <c r="O52" i="4"/>
  <c r="O51"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0" i="4"/>
  <c r="O19" i="4"/>
  <c r="O18" i="4"/>
  <c r="O17" i="4"/>
  <c r="O16" i="4"/>
  <c r="O14" i="4"/>
  <c r="O13" i="4"/>
  <c r="O12" i="4"/>
  <c r="O11" i="4"/>
  <c r="O10" i="4"/>
  <c r="O9" i="4"/>
  <c r="O8" i="4"/>
  <c r="O7" i="4"/>
  <c r="O6" i="4"/>
  <c r="K230" i="4"/>
  <c r="K229" i="4"/>
  <c r="K228" i="4"/>
  <c r="K227" i="4"/>
  <c r="K226" i="4"/>
  <c r="K225" i="4"/>
  <c r="K224" i="4"/>
  <c r="K223" i="4"/>
  <c r="K222" i="4"/>
  <c r="K221" i="4"/>
  <c r="K220" i="4"/>
  <c r="K219" i="4"/>
  <c r="K218" i="4"/>
  <c r="K217" i="4"/>
  <c r="K216" i="4"/>
  <c r="K215" i="4"/>
  <c r="K214" i="4"/>
  <c r="K213" i="4"/>
  <c r="K212" i="4"/>
  <c r="K211" i="4"/>
  <c r="K208" i="4"/>
  <c r="K205" i="4"/>
  <c r="K204" i="4"/>
  <c r="K203" i="4"/>
  <c r="K202" i="4"/>
  <c r="K201" i="4"/>
  <c r="K200" i="4"/>
  <c r="K199" i="4"/>
  <c r="K198" i="4"/>
  <c r="K197" i="4"/>
  <c r="K196" i="4"/>
  <c r="K195" i="4"/>
  <c r="K194" i="4"/>
  <c r="K193" i="4"/>
  <c r="K192" i="4"/>
  <c r="K191" i="4"/>
  <c r="K190" i="4"/>
  <c r="K189" i="4"/>
  <c r="K188" i="4"/>
  <c r="K187" i="4"/>
  <c r="K186" i="4"/>
  <c r="K185" i="4"/>
  <c r="K184" i="4"/>
  <c r="K183" i="4"/>
  <c r="K182" i="4"/>
  <c r="K181" i="4"/>
  <c r="K180" i="4"/>
  <c r="K179" i="4"/>
  <c r="K178" i="4"/>
  <c r="K177" i="4"/>
  <c r="K176" i="4"/>
  <c r="K175" i="4"/>
  <c r="K174" i="4"/>
  <c r="K173" i="4"/>
  <c r="K172" i="4"/>
  <c r="K171" i="4"/>
  <c r="K170" i="4"/>
  <c r="K169" i="4"/>
  <c r="K168" i="4"/>
  <c r="K167" i="4"/>
  <c r="K166" i="4"/>
  <c r="K165" i="4"/>
  <c r="K164" i="4"/>
  <c r="K163" i="4"/>
  <c r="K162" i="4"/>
  <c r="K161" i="4"/>
  <c r="K160" i="4"/>
  <c r="K159" i="4"/>
  <c r="K158" i="4"/>
  <c r="K157" i="4"/>
  <c r="K156" i="4"/>
  <c r="K155" i="4"/>
  <c r="K154" i="4"/>
  <c r="K153" i="4"/>
  <c r="K150" i="4"/>
  <c r="K149" i="4"/>
  <c r="K148" i="4"/>
  <c r="K147" i="4"/>
  <c r="K146" i="4"/>
  <c r="K145" i="4"/>
  <c r="K144" i="4"/>
  <c r="K143" i="4"/>
  <c r="K141" i="4"/>
  <c r="K140" i="4"/>
  <c r="K139" i="4"/>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3" i="4"/>
  <c r="K72" i="4"/>
  <c r="K71" i="4"/>
  <c r="K68" i="4"/>
  <c r="K67" i="4"/>
  <c r="K66" i="4"/>
  <c r="K65" i="4"/>
  <c r="K64" i="4"/>
  <c r="K63" i="4"/>
  <c r="K62" i="4"/>
  <c r="K61" i="4"/>
  <c r="K60" i="4"/>
  <c r="K59" i="4"/>
  <c r="K58" i="4"/>
  <c r="K57" i="4"/>
  <c r="K56" i="4"/>
  <c r="K55" i="4"/>
  <c r="K54" i="4"/>
  <c r="K53" i="4"/>
  <c r="K52" i="4"/>
  <c r="K51"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K19" i="4"/>
  <c r="K18" i="4"/>
  <c r="K17" i="4"/>
  <c r="K16" i="4"/>
  <c r="K15" i="4"/>
  <c r="K13" i="4"/>
  <c r="K12" i="4"/>
  <c r="K11" i="4"/>
  <c r="K10" i="4"/>
  <c r="K9" i="4"/>
  <c r="K8" i="4"/>
  <c r="K7" i="4"/>
  <c r="K6" i="4"/>
  <c r="B7" i="6"/>
  <c r="B226" i="6" s="1"/>
  <c r="C7" i="6"/>
  <c r="C226" i="6" s="1"/>
  <c r="D7" i="6"/>
  <c r="D226" i="6" s="1"/>
  <c r="E7" i="6"/>
  <c r="E226" i="6" s="1"/>
  <c r="F7" i="6"/>
  <c r="F226" i="6" s="1"/>
  <c r="G7" i="6"/>
  <c r="G226" i="6" s="1"/>
  <c r="H7" i="6"/>
  <c r="H226" i="6" s="1"/>
  <c r="I7" i="6"/>
  <c r="I226" i="6" s="1"/>
  <c r="J7" i="6"/>
  <c r="J226" i="6" s="1"/>
  <c r="K7" i="6"/>
  <c r="K226" i="6" s="1"/>
  <c r="B23" i="6"/>
  <c r="C23" i="6"/>
  <c r="D23" i="6"/>
  <c r="E23" i="6"/>
  <c r="F23" i="6"/>
  <c r="G23" i="6"/>
  <c r="H23" i="6"/>
  <c r="I23" i="6"/>
  <c r="J23" i="6"/>
  <c r="K23" i="6"/>
  <c r="B31" i="6"/>
  <c r="B227" i="6" s="1"/>
  <c r="C31" i="6"/>
  <c r="C227" i="6" s="1"/>
  <c r="D31" i="6"/>
  <c r="D227" i="6" s="1"/>
  <c r="E31" i="6"/>
  <c r="E227" i="6" s="1"/>
  <c r="F31" i="6"/>
  <c r="F227" i="6" s="1"/>
  <c r="G31" i="6"/>
  <c r="G227" i="6" s="1"/>
  <c r="H31" i="6"/>
  <c r="H227" i="6" s="1"/>
  <c r="I31" i="6"/>
  <c r="I227" i="6" s="1"/>
  <c r="J31" i="6"/>
  <c r="J227" i="6" s="1"/>
  <c r="K31" i="6"/>
  <c r="B49" i="6"/>
  <c r="C49" i="6"/>
  <c r="D49" i="6"/>
  <c r="E49" i="6"/>
  <c r="F49" i="6"/>
  <c r="G49" i="6"/>
  <c r="H49" i="6"/>
  <c r="I49" i="6"/>
  <c r="J49" i="6"/>
  <c r="K49" i="6"/>
  <c r="B67" i="6"/>
  <c r="B201" i="6" s="1"/>
  <c r="C67" i="6"/>
  <c r="C201" i="6" s="1"/>
  <c r="D67" i="6"/>
  <c r="D201" i="6" s="1"/>
  <c r="E67" i="6"/>
  <c r="E201" i="6" s="1"/>
  <c r="F67" i="6"/>
  <c r="F201" i="6" s="1"/>
  <c r="G67" i="6"/>
  <c r="G201" i="6" s="1"/>
  <c r="H67" i="6"/>
  <c r="H201" i="6" s="1"/>
  <c r="I67" i="6"/>
  <c r="I201" i="6" s="1"/>
  <c r="J67" i="6"/>
  <c r="J201" i="6" s="1"/>
  <c r="K67" i="6"/>
  <c r="K201" i="6" s="1"/>
  <c r="B202" i="6"/>
  <c r="C202" i="6"/>
  <c r="D202" i="6"/>
  <c r="E202" i="6"/>
  <c r="F202" i="6"/>
  <c r="G202" i="6"/>
  <c r="H202" i="6"/>
  <c r="I202" i="6"/>
  <c r="J202" i="6"/>
  <c r="B203" i="6"/>
  <c r="C203" i="6"/>
  <c r="D203" i="6"/>
  <c r="E203" i="6"/>
  <c r="F203" i="6"/>
  <c r="G203" i="6"/>
  <c r="H203" i="6"/>
  <c r="I203" i="6"/>
  <c r="J203" i="6"/>
  <c r="K203" i="6"/>
  <c r="B207" i="6"/>
  <c r="C207" i="6"/>
  <c r="D207" i="6"/>
  <c r="E207" i="6"/>
  <c r="F207" i="6"/>
  <c r="G207" i="6"/>
  <c r="H207" i="6"/>
  <c r="I207" i="6"/>
  <c r="J207" i="6"/>
  <c r="K207" i="6"/>
  <c r="B208" i="6"/>
  <c r="D208" i="6"/>
  <c r="E208" i="6"/>
  <c r="F208" i="6"/>
  <c r="G208" i="6"/>
  <c r="H208" i="6"/>
  <c r="I208" i="6"/>
  <c r="J208" i="6"/>
  <c r="K208" i="6"/>
  <c r="B229" i="6"/>
  <c r="C229" i="6"/>
  <c r="D229" i="6"/>
  <c r="E229" i="6"/>
  <c r="F229" i="6"/>
  <c r="G229" i="6"/>
  <c r="H229" i="6"/>
  <c r="I229" i="6"/>
  <c r="J229" i="6"/>
  <c r="K229" i="6"/>
  <c r="B230" i="6"/>
  <c r="C230" i="6"/>
  <c r="D230" i="6"/>
  <c r="E230" i="6"/>
  <c r="F230" i="6"/>
  <c r="G230" i="6"/>
  <c r="H230" i="6"/>
  <c r="I230" i="6"/>
  <c r="J230" i="6"/>
  <c r="K230" i="6"/>
  <c r="K168" i="6"/>
  <c r="K206" i="6" s="1"/>
  <c r="I168" i="6"/>
  <c r="I237" i="6" s="1"/>
  <c r="G168" i="6"/>
  <c r="G237" i="6" s="1"/>
  <c r="E168" i="6"/>
  <c r="E206" i="6" s="1"/>
  <c r="C168" i="6"/>
  <c r="C237" i="6" s="1"/>
  <c r="J237" i="6"/>
  <c r="H168" i="6"/>
  <c r="H237" i="6" s="1"/>
  <c r="F168" i="6"/>
  <c r="F237" i="6" s="1"/>
  <c r="D168" i="6"/>
  <c r="D237" i="6" s="1"/>
  <c r="B168" i="6"/>
  <c r="B237" i="6" s="1"/>
  <c r="G263" i="4"/>
  <c r="A263" i="2" s="1"/>
  <c r="G262" i="4"/>
  <c r="A262" i="2" s="1"/>
  <c r="G261" i="4"/>
  <c r="A261" i="2" s="1"/>
  <c r="G260" i="4"/>
  <c r="A259" i="2" s="1"/>
  <c r="G259" i="4"/>
  <c r="A258" i="2" s="1"/>
  <c r="G258" i="4"/>
  <c r="A257" i="2" s="1"/>
  <c r="G256" i="4"/>
  <c r="A255" i="2" s="1"/>
  <c r="G255" i="4"/>
  <c r="A254" i="2" s="1"/>
  <c r="G254" i="4"/>
  <c r="A253" i="2" s="1"/>
  <c r="G252" i="4"/>
  <c r="A251" i="2" s="1"/>
  <c r="G251" i="4"/>
  <c r="A250" i="2" s="1"/>
  <c r="G250" i="4"/>
  <c r="A249" i="2" s="1"/>
  <c r="G248" i="4"/>
  <c r="A247" i="2" s="1"/>
  <c r="G247" i="4"/>
  <c r="A246" i="2" s="1"/>
  <c r="G246" i="4"/>
  <c r="A245" i="2" s="1"/>
  <c r="G245" i="4"/>
  <c r="A244" i="2" s="1"/>
  <c r="G244" i="4"/>
  <c r="A243" i="2" s="1"/>
  <c r="G243" i="4"/>
  <c r="A242" i="2" s="1"/>
  <c r="G242" i="4"/>
  <c r="A241" i="2" s="1"/>
  <c r="G239" i="4"/>
  <c r="A238" i="2" s="1"/>
  <c r="G236" i="4"/>
  <c r="A235" i="2" s="1"/>
  <c r="G235" i="4"/>
  <c r="A234" i="2" s="1"/>
  <c r="G234" i="4"/>
  <c r="A233" i="2" s="1"/>
  <c r="G233" i="4"/>
  <c r="A232" i="2" s="1"/>
  <c r="G232" i="4"/>
  <c r="A231" i="2" s="1"/>
  <c r="G231" i="4"/>
  <c r="A230" i="2" s="1"/>
  <c r="G230" i="4"/>
  <c r="A229" i="2" s="1"/>
  <c r="G229" i="4"/>
  <c r="A228" i="2" s="1"/>
  <c r="G228" i="4"/>
  <c r="A227" i="2" s="1"/>
  <c r="G227" i="4"/>
  <c r="A226" i="2" s="1"/>
  <c r="G226" i="4"/>
  <c r="A225" i="2" s="1"/>
  <c r="G225" i="4"/>
  <c r="A224" i="2" s="1"/>
  <c r="G224" i="4"/>
  <c r="A223" i="2" s="1"/>
  <c r="G223" i="4"/>
  <c r="A222" i="2" s="1"/>
  <c r="G222" i="4"/>
  <c r="A221" i="2" s="1"/>
  <c r="G221" i="4"/>
  <c r="A220" i="2" s="1"/>
  <c r="G220" i="4"/>
  <c r="A219" i="2" s="1"/>
  <c r="G219" i="4"/>
  <c r="A218" i="2" s="1"/>
  <c r="G218" i="4"/>
  <c r="A217" i="2" s="1"/>
  <c r="G217" i="4"/>
  <c r="A216" i="2" s="1"/>
  <c r="G215" i="4"/>
  <c r="A214" i="2" s="1"/>
  <c r="G214" i="4"/>
  <c r="A213" i="2" s="1"/>
  <c r="G213" i="4"/>
  <c r="A212" i="2" s="1"/>
  <c r="G212" i="4"/>
  <c r="A211" i="2" s="1"/>
  <c r="G210" i="4"/>
  <c r="A209" i="2" s="1"/>
  <c r="G209" i="4"/>
  <c r="A208" i="2" s="1"/>
  <c r="G208" i="4"/>
  <c r="A207" i="2" s="1"/>
  <c r="G207" i="4"/>
  <c r="A206" i="2" s="1"/>
  <c r="G206" i="4"/>
  <c r="A205" i="2" s="1"/>
  <c r="G205" i="4"/>
  <c r="A204" i="2" s="1"/>
  <c r="G204" i="4"/>
  <c r="A203" i="2" s="1"/>
  <c r="G203" i="4"/>
  <c r="A202" i="2" s="1"/>
  <c r="G202" i="4"/>
  <c r="A201" i="2" s="1"/>
  <c r="G198" i="4"/>
  <c r="A197" i="2" s="1"/>
  <c r="G197" i="4"/>
  <c r="A196" i="2" s="1"/>
  <c r="G196" i="4"/>
  <c r="A195" i="2" s="1"/>
  <c r="G195" i="4"/>
  <c r="A194" i="2" s="1"/>
  <c r="G194" i="4"/>
  <c r="A193" i="2" s="1"/>
  <c r="G193" i="4"/>
  <c r="A192" i="2" s="1"/>
  <c r="G192" i="4"/>
  <c r="A191" i="2" s="1"/>
  <c r="G191" i="4"/>
  <c r="A190" i="2" s="1"/>
  <c r="G190" i="4"/>
  <c r="A189" i="2" s="1"/>
  <c r="G189" i="4"/>
  <c r="A188" i="2" s="1"/>
  <c r="G187" i="4"/>
  <c r="A186" i="2" s="1"/>
  <c r="G186" i="4"/>
  <c r="A185" i="2" s="1"/>
  <c r="G185" i="4"/>
  <c r="A184" i="2" s="1"/>
  <c r="G183" i="4"/>
  <c r="A182" i="2" s="1"/>
  <c r="G182" i="4"/>
  <c r="A181" i="2" s="1"/>
  <c r="G181" i="4"/>
  <c r="A180" i="2" s="1"/>
  <c r="G180" i="4"/>
  <c r="G179" i="4"/>
  <c r="G178" i="4"/>
  <c r="G177" i="4"/>
  <c r="G176" i="4"/>
  <c r="A179" i="2" s="1"/>
  <c r="G173" i="4"/>
  <c r="A176" i="2" s="1"/>
  <c r="G171" i="4"/>
  <c r="A174" i="2" s="1"/>
  <c r="G170" i="4"/>
  <c r="A173" i="2" s="1"/>
  <c r="G169" i="4"/>
  <c r="A172" i="2" s="1"/>
  <c r="G168" i="4"/>
  <c r="A171" i="2" s="1"/>
  <c r="G166" i="4"/>
  <c r="A169" i="2" s="1"/>
  <c r="G165" i="4"/>
  <c r="A168" i="2" s="1"/>
  <c r="G164" i="4"/>
  <c r="A167" i="2" s="1"/>
  <c r="G163" i="4"/>
  <c r="A166" i="2" s="1"/>
  <c r="G162" i="4"/>
  <c r="A165" i="2" s="1"/>
  <c r="G161" i="4"/>
  <c r="A164" i="2" s="1"/>
  <c r="G157" i="4"/>
  <c r="A160" i="2" s="1"/>
  <c r="G156" i="4"/>
  <c r="A159" i="2" s="1"/>
  <c r="G155" i="4"/>
  <c r="A158" i="2" s="1"/>
  <c r="G154" i="4"/>
  <c r="A157" i="2" s="1"/>
  <c r="G153" i="4"/>
  <c r="A156" i="2" s="1"/>
  <c r="G152" i="4"/>
  <c r="A155" i="2" s="1"/>
  <c r="G151" i="4"/>
  <c r="A154" i="2" s="1"/>
  <c r="G150" i="4"/>
  <c r="A153" i="2" s="1"/>
  <c r="G149" i="4"/>
  <c r="A152" i="2" s="1"/>
  <c r="G148" i="4"/>
  <c r="A151" i="2" s="1"/>
  <c r="G146" i="4"/>
  <c r="A149" i="2" s="1"/>
  <c r="G145" i="4"/>
  <c r="A148" i="2" s="1"/>
  <c r="G144" i="4"/>
  <c r="A147" i="2" s="1"/>
  <c r="G143" i="4"/>
  <c r="A146" i="2" s="1"/>
  <c r="G141" i="4"/>
  <c r="A144" i="2" s="1"/>
  <c r="G140" i="4"/>
  <c r="A143" i="2" s="1"/>
  <c r="G139" i="4"/>
  <c r="A142" i="2" s="1"/>
  <c r="G138" i="4"/>
  <c r="A136" i="2" s="1"/>
  <c r="G136" i="4"/>
  <c r="A134" i="2" s="1"/>
  <c r="G135" i="4"/>
  <c r="A133" i="2" s="1"/>
  <c r="G134" i="4"/>
  <c r="A132" i="2" s="1"/>
  <c r="G133" i="4"/>
  <c r="A131" i="2" s="1"/>
  <c r="G131" i="4"/>
  <c r="A129" i="2" s="1"/>
  <c r="G130" i="4"/>
  <c r="A128" i="2" s="1"/>
  <c r="G129" i="4"/>
  <c r="A127" i="2" s="1"/>
  <c r="G128" i="4"/>
  <c r="A126" i="2" s="1"/>
  <c r="G126" i="4"/>
  <c r="A124" i="2" s="1"/>
  <c r="G125" i="4"/>
  <c r="A123" i="2" s="1"/>
  <c r="G124" i="4"/>
  <c r="A122" i="2" s="1"/>
  <c r="G123" i="4"/>
  <c r="A121" i="2" s="1"/>
  <c r="G121" i="4"/>
  <c r="A119" i="2" s="1"/>
  <c r="G120" i="4"/>
  <c r="A118" i="2" s="1"/>
  <c r="G119" i="4"/>
  <c r="A117" i="2" s="1"/>
  <c r="G118" i="4"/>
  <c r="A115" i="2" s="1"/>
  <c r="G116" i="4"/>
  <c r="A113" i="2" s="1"/>
  <c r="G115" i="4"/>
  <c r="A112" i="2" s="1"/>
  <c r="G114" i="4"/>
  <c r="A111" i="2" s="1"/>
  <c r="G113" i="4"/>
  <c r="A110" i="2" s="1"/>
  <c r="G111" i="4"/>
  <c r="A108" i="2" s="1"/>
  <c r="G110" i="4"/>
  <c r="A107" i="2" s="1"/>
  <c r="G109" i="4"/>
  <c r="A106" i="2" s="1"/>
  <c r="G108" i="4"/>
  <c r="A105" i="2" s="1"/>
  <c r="G106" i="4"/>
  <c r="A103" i="2" s="1"/>
  <c r="G105" i="4"/>
  <c r="A102" i="2" s="1"/>
  <c r="G104" i="4"/>
  <c r="A101" i="2" s="1"/>
  <c r="G103" i="4"/>
  <c r="A99" i="2" s="1"/>
  <c r="G101" i="4"/>
  <c r="A97" i="2" s="1"/>
  <c r="G100" i="4"/>
  <c r="A96" i="2" s="1"/>
  <c r="G99" i="4"/>
  <c r="A95" i="2" s="1"/>
  <c r="G98" i="4"/>
  <c r="A94" i="2" s="1"/>
  <c r="G97" i="4"/>
  <c r="A93" i="2" s="1"/>
  <c r="G95" i="4"/>
  <c r="A91" i="2" s="1"/>
  <c r="G94" i="4"/>
  <c r="A90" i="2" s="1"/>
  <c r="G93" i="4"/>
  <c r="A89" i="2" s="1"/>
  <c r="G92" i="4"/>
  <c r="A88" i="2" s="1"/>
  <c r="G91" i="4"/>
  <c r="A87" i="2" s="1"/>
  <c r="G89" i="4"/>
  <c r="A85" i="2" s="1"/>
  <c r="G88" i="4"/>
  <c r="A84" i="2" s="1"/>
  <c r="G87" i="4"/>
  <c r="A83" i="2" s="1"/>
  <c r="G86" i="4"/>
  <c r="A81" i="2" s="1"/>
  <c r="G84" i="4"/>
  <c r="A79" i="2" s="1"/>
  <c r="G83" i="4"/>
  <c r="A78" i="2" s="1"/>
  <c r="G82" i="4"/>
  <c r="A77" i="2" s="1"/>
  <c r="G81" i="4"/>
  <c r="A76" i="2" s="1"/>
  <c r="G80" i="4"/>
  <c r="A75" i="2" s="1"/>
  <c r="G78" i="4"/>
  <c r="A73" i="2" s="1"/>
  <c r="G77" i="4"/>
  <c r="A72" i="2" s="1"/>
  <c r="G76" i="4"/>
  <c r="A71" i="2" s="1"/>
  <c r="G75" i="4"/>
  <c r="A70" i="2" s="1"/>
  <c r="G72" i="4"/>
  <c r="A67" i="2" s="1"/>
  <c r="G71" i="4"/>
  <c r="A66" i="2" s="1"/>
  <c r="G70" i="4"/>
  <c r="A65" i="2" s="1"/>
  <c r="G69" i="4"/>
  <c r="A64" i="2" s="1"/>
  <c r="G68" i="4"/>
  <c r="A63" i="2" s="1"/>
  <c r="G67" i="4"/>
  <c r="A62" i="2" s="1"/>
  <c r="G66" i="4"/>
  <c r="A61" i="2" s="1"/>
  <c r="G65" i="4"/>
  <c r="A60" i="2" s="1"/>
  <c r="G64" i="4"/>
  <c r="A59" i="2" s="1"/>
  <c r="G63" i="4"/>
  <c r="A58" i="2" s="1"/>
  <c r="G62" i="4"/>
  <c r="A57" i="2" s="1"/>
  <c r="G61" i="4"/>
  <c r="A56" i="2" s="1"/>
  <c r="G60" i="4"/>
  <c r="A55" i="2" s="1"/>
  <c r="G59" i="4"/>
  <c r="A54" i="2" s="1"/>
  <c r="G58" i="4"/>
  <c r="A53" i="2" s="1"/>
  <c r="G57" i="4"/>
  <c r="A52" i="2" s="1"/>
  <c r="G56" i="4"/>
  <c r="A50" i="2" s="1"/>
  <c r="G55" i="4"/>
  <c r="A49" i="2" s="1"/>
  <c r="G54" i="4"/>
  <c r="A48" i="2" s="1"/>
  <c r="G53" i="4"/>
  <c r="A47" i="2" s="1"/>
  <c r="G52" i="4"/>
  <c r="A46" i="2" s="1"/>
  <c r="G51" i="4"/>
  <c r="A43" i="2" s="1"/>
  <c r="G49" i="4"/>
  <c r="A42" i="2" s="1"/>
  <c r="G48" i="4"/>
  <c r="A40" i="2" s="1"/>
  <c r="G47" i="4"/>
  <c r="A39" i="2" s="1"/>
  <c r="G46" i="4"/>
  <c r="A38" i="2" s="1"/>
  <c r="G45" i="4"/>
  <c r="A37" i="2" s="1"/>
  <c r="G44" i="4"/>
  <c r="A36" i="2" s="1"/>
  <c r="G43" i="4"/>
  <c r="A35" i="2" s="1"/>
  <c r="G42" i="4"/>
  <c r="A34" i="2" s="1"/>
  <c r="G41" i="4"/>
  <c r="A33" i="2" s="1"/>
  <c r="G40" i="4"/>
  <c r="A32" i="2" s="1"/>
  <c r="G39" i="4"/>
  <c r="A31" i="2" s="1"/>
  <c r="G38" i="4"/>
  <c r="A30" i="2" s="1"/>
  <c r="G37" i="4"/>
  <c r="A29" i="2" s="1"/>
  <c r="G36" i="4"/>
  <c r="A28" i="2" s="1"/>
  <c r="G35" i="4"/>
  <c r="A27" i="2" s="1"/>
  <c r="G34" i="4"/>
  <c r="A26" i="2" s="1"/>
  <c r="G33" i="4"/>
  <c r="A25" i="2" s="1"/>
  <c r="G32" i="4"/>
  <c r="G30" i="4"/>
  <c r="G29" i="4"/>
  <c r="G28" i="4"/>
  <c r="G27" i="4"/>
  <c r="G25" i="4"/>
  <c r="G24" i="4"/>
  <c r="G23" i="4"/>
  <c r="G22" i="4"/>
  <c r="A22" i="2" s="1"/>
  <c r="G21" i="4"/>
  <c r="A21" i="2" s="1"/>
  <c r="G20" i="4"/>
  <c r="A20" i="2" s="1"/>
  <c r="G19" i="4"/>
  <c r="A19" i="2" s="1"/>
  <c r="G18" i="4"/>
  <c r="A17" i="2" s="1"/>
  <c r="G17" i="4"/>
  <c r="A16" i="2" s="1"/>
  <c r="G16" i="4"/>
  <c r="A15" i="2" s="1"/>
  <c r="G14" i="4"/>
  <c r="A14" i="2" s="1"/>
  <c r="G13" i="4"/>
  <c r="A13" i="2" s="1"/>
  <c r="G12" i="4"/>
  <c r="A12" i="2" s="1"/>
  <c r="G11" i="4"/>
  <c r="A11" i="2" s="1"/>
  <c r="G10" i="4"/>
  <c r="A10" i="2" s="1"/>
  <c r="G9" i="4"/>
  <c r="A9" i="2" s="1"/>
  <c r="G8" i="4"/>
  <c r="A8" i="2" s="1"/>
  <c r="G7" i="4"/>
  <c r="A7" i="2" s="1"/>
  <c r="G6" i="4"/>
  <c r="A6" i="2" s="1"/>
  <c r="B201" i="2"/>
  <c r="C201" i="2"/>
  <c r="D201" i="2"/>
  <c r="E201" i="2"/>
  <c r="F201" i="2"/>
  <c r="G201" i="2"/>
  <c r="H201" i="2"/>
  <c r="I201" i="2"/>
  <c r="J201" i="2"/>
  <c r="K201" i="2"/>
  <c r="B93" i="2"/>
  <c r="B91" i="2"/>
  <c r="B90" i="2"/>
  <c r="K262" i="6"/>
  <c r="I262" i="6"/>
  <c r="H262" i="6"/>
  <c r="G262" i="6"/>
  <c r="F262" i="6"/>
  <c r="E262" i="6"/>
  <c r="D262" i="6"/>
  <c r="C262" i="6"/>
  <c r="B262" i="6"/>
  <c r="K261" i="6"/>
  <c r="J261" i="6"/>
  <c r="I261" i="6"/>
  <c r="H261" i="6"/>
  <c r="G261" i="6"/>
  <c r="E261" i="6"/>
  <c r="D261" i="6"/>
  <c r="C261" i="6"/>
  <c r="B261" i="6"/>
  <c r="H264" i="6"/>
  <c r="F264" i="6"/>
  <c r="B264" i="6"/>
  <c r="K230" i="2"/>
  <c r="J230" i="2"/>
  <c r="I230" i="2"/>
  <c r="H230" i="2"/>
  <c r="G230" i="2"/>
  <c r="F230" i="2"/>
  <c r="E230" i="2"/>
  <c r="K229" i="2"/>
  <c r="J229" i="2"/>
  <c r="I229" i="2"/>
  <c r="H229" i="2"/>
  <c r="G229" i="2"/>
  <c r="F229" i="2"/>
  <c r="E229" i="2"/>
  <c r="BX8" i="4"/>
  <c r="BW8" i="4"/>
  <c r="BV8" i="4"/>
  <c r="BU8" i="4"/>
  <c r="BT8" i="4"/>
  <c r="BS8" i="4"/>
  <c r="BR8" i="4"/>
  <c r="BQ8" i="4"/>
  <c r="BP8" i="4"/>
  <c r="BO8" i="4"/>
  <c r="BN8" i="4"/>
  <c r="BM8" i="4"/>
  <c r="BL8" i="4"/>
  <c r="BK8" i="4"/>
  <c r="BJ8" i="4"/>
  <c r="BI8" i="4"/>
  <c r="BH8" i="4"/>
  <c r="BG8" i="4"/>
  <c r="BF8" i="4"/>
  <c r="BE8" i="4"/>
  <c r="BD8" i="4"/>
  <c r="BC8" i="4"/>
  <c r="BB8" i="4"/>
  <c r="BA8" i="4"/>
  <c r="AZ8" i="4"/>
  <c r="AY8" i="4"/>
  <c r="T5" i="12" s="1"/>
  <c r="T85" i="12" s="1"/>
  <c r="AX8" i="4"/>
  <c r="AW8" i="4"/>
  <c r="AV8" i="4"/>
  <c r="AU8" i="4"/>
  <c r="AT8" i="4"/>
  <c r="AS8" i="4"/>
  <c r="AR8" i="4"/>
  <c r="AQ8" i="4"/>
  <c r="AP8" i="4"/>
  <c r="AO8" i="4"/>
  <c r="AN8" i="4"/>
  <c r="AM8" i="4"/>
  <c r="AL8" i="4"/>
  <c r="AK8" i="4"/>
  <c r="AJ8" i="4"/>
  <c r="AI8" i="4"/>
  <c r="D5" i="2" s="1"/>
  <c r="D70" i="2" s="1"/>
  <c r="AH8" i="4"/>
  <c r="AG8" i="4"/>
  <c r="C351" i="4"/>
  <c r="A431" i="12" s="1"/>
  <c r="C350" i="4"/>
  <c r="A430" i="12" s="1"/>
  <c r="C349" i="4"/>
  <c r="A429" i="12" s="1"/>
  <c r="C348" i="4"/>
  <c r="A428" i="12" s="1"/>
  <c r="C345" i="4"/>
  <c r="A425" i="12" s="1"/>
  <c r="C344" i="4"/>
  <c r="A424" i="12" s="1"/>
  <c r="C343" i="4"/>
  <c r="A423" i="12" s="1"/>
  <c r="C342" i="4"/>
  <c r="A422" i="12" s="1"/>
  <c r="C339" i="4"/>
  <c r="A419" i="12" s="1"/>
  <c r="C338" i="4"/>
  <c r="A418" i="12" s="1"/>
  <c r="C337" i="4"/>
  <c r="A417" i="12" s="1"/>
  <c r="C336" i="4"/>
  <c r="A416" i="12" s="1"/>
  <c r="C333" i="4"/>
  <c r="A413" i="12" s="1"/>
  <c r="C332" i="4"/>
  <c r="A412" i="12" s="1"/>
  <c r="C331" i="4"/>
  <c r="A411" i="12" s="1"/>
  <c r="C330" i="4"/>
  <c r="A410" i="12" s="1"/>
  <c r="C327" i="4"/>
  <c r="A407" i="12" s="1"/>
  <c r="C326" i="4"/>
  <c r="A406" i="12" s="1"/>
  <c r="C325" i="4"/>
  <c r="A405" i="12" s="1"/>
  <c r="C324" i="4"/>
  <c r="A404" i="12" s="1"/>
  <c r="C323" i="4"/>
  <c r="A403" i="12" s="1"/>
  <c r="C322" i="4"/>
  <c r="A402" i="12" s="1"/>
  <c r="C321" i="4"/>
  <c r="A401" i="12" s="1"/>
  <c r="C320" i="4"/>
  <c r="A400" i="12" s="1"/>
  <c r="C317" i="4"/>
  <c r="A397" i="12" s="1"/>
  <c r="C314" i="4"/>
  <c r="A394" i="12" s="1"/>
  <c r="C313" i="4"/>
  <c r="A393" i="12" s="1"/>
  <c r="A392" i="12"/>
  <c r="C311" i="4"/>
  <c r="A391" i="12" s="1"/>
  <c r="C310" i="4"/>
  <c r="A390" i="12" s="1"/>
  <c r="C309" i="4"/>
  <c r="A389" i="12" s="1"/>
  <c r="C308" i="4"/>
  <c r="A388" i="12" s="1"/>
  <c r="C307" i="4"/>
  <c r="A387" i="12" s="1"/>
  <c r="C306" i="4"/>
  <c r="A386" i="12" s="1"/>
  <c r="C305" i="4"/>
  <c r="A385" i="12" s="1"/>
  <c r="C304" i="4"/>
  <c r="A384" i="12" s="1"/>
  <c r="C302" i="4"/>
  <c r="A380" i="12" s="1"/>
  <c r="C301" i="4"/>
  <c r="A378" i="12" s="1"/>
  <c r="C300" i="4"/>
  <c r="A377" i="12" s="1"/>
  <c r="C299" i="4"/>
  <c r="A376" i="12" s="1"/>
  <c r="C298" i="4"/>
  <c r="A375" i="12" s="1"/>
  <c r="C297" i="4"/>
  <c r="A374" i="12" s="1"/>
  <c r="C296" i="4"/>
  <c r="A373" i="12" s="1"/>
  <c r="C295" i="4"/>
  <c r="A372" i="12" s="1"/>
  <c r="C282" i="4"/>
  <c r="A358" i="12" s="1"/>
  <c r="C281" i="4"/>
  <c r="A357" i="12" s="1"/>
  <c r="C280" i="4"/>
  <c r="A356" i="12" s="1"/>
  <c r="C279" i="4"/>
  <c r="A355" i="12" s="1"/>
  <c r="C276" i="4"/>
  <c r="A351" i="12" s="1"/>
  <c r="C275" i="4"/>
  <c r="A350" i="12" s="1"/>
  <c r="C274" i="4"/>
  <c r="A349" i="12" s="1"/>
  <c r="C273" i="4"/>
  <c r="A348" i="12" s="1"/>
  <c r="C270" i="4"/>
  <c r="A345" i="12" s="1"/>
  <c r="C269" i="4"/>
  <c r="A344" i="12" s="1"/>
  <c r="C268" i="4"/>
  <c r="A343" i="12" s="1"/>
  <c r="C267" i="4"/>
  <c r="A342" i="12" s="1"/>
  <c r="C266" i="4"/>
  <c r="A341" i="12" s="1"/>
  <c r="C265" i="4"/>
  <c r="A340" i="12" s="1"/>
  <c r="C264" i="4"/>
  <c r="A339" i="12" s="1"/>
  <c r="C257" i="4"/>
  <c r="A332" i="12" s="1"/>
  <c r="C256" i="4"/>
  <c r="A331" i="12" s="1"/>
  <c r="C255" i="4"/>
  <c r="A330" i="12" s="1"/>
  <c r="C254" i="4"/>
  <c r="A329" i="12" s="1"/>
  <c r="C253" i="4"/>
  <c r="A328" i="12" s="1"/>
  <c r="C252" i="4"/>
  <c r="A327" i="12" s="1"/>
  <c r="C251" i="4"/>
  <c r="A326" i="12" s="1"/>
  <c r="C250" i="4"/>
  <c r="A325" i="12" s="1"/>
  <c r="C249" i="4"/>
  <c r="A324" i="12" s="1"/>
  <c r="C248" i="4"/>
  <c r="A323" i="12" s="1"/>
  <c r="C247" i="4"/>
  <c r="A322" i="12" s="1"/>
  <c r="C246" i="4"/>
  <c r="A321" i="12" s="1"/>
  <c r="C243" i="4"/>
  <c r="A318" i="12" s="1"/>
  <c r="C242" i="4"/>
  <c r="A317" i="12" s="1"/>
  <c r="C241" i="4"/>
  <c r="A316" i="12" s="1"/>
  <c r="C240" i="4"/>
  <c r="A315" i="12" s="1"/>
  <c r="C237" i="4"/>
  <c r="A312" i="12" s="1"/>
  <c r="C236" i="4"/>
  <c r="A311" i="12" s="1"/>
  <c r="C235" i="4"/>
  <c r="A310" i="12" s="1"/>
  <c r="C234" i="4"/>
  <c r="A309" i="12" s="1"/>
  <c r="C231" i="4"/>
  <c r="A306" i="12" s="1"/>
  <c r="C230" i="4"/>
  <c r="A305" i="12" s="1"/>
  <c r="C229" i="4"/>
  <c r="A304" i="12" s="1"/>
  <c r="C228" i="4"/>
  <c r="A303" i="12" s="1"/>
  <c r="C227" i="4"/>
  <c r="A301" i="12" s="1"/>
  <c r="C222" i="4"/>
  <c r="C221" i="4"/>
  <c r="C220" i="4"/>
  <c r="C219" i="4"/>
  <c r="C218" i="4"/>
  <c r="C215" i="4"/>
  <c r="A288" i="12" s="1"/>
  <c r="C214" i="4"/>
  <c r="A287" i="12" s="1"/>
  <c r="C213" i="4"/>
  <c r="A286" i="12" s="1"/>
  <c r="C212" i="4"/>
  <c r="A285" i="12" s="1"/>
  <c r="C211" i="4"/>
  <c r="A284" i="12" s="1"/>
  <c r="C204" i="4"/>
  <c r="A270" i="12" s="1"/>
  <c r="C203" i="4"/>
  <c r="A269" i="12" s="1"/>
  <c r="C202" i="4"/>
  <c r="A268" i="12" s="1"/>
  <c r="C201" i="4"/>
  <c r="A267" i="12" s="1"/>
  <c r="C200" i="4"/>
  <c r="A266" i="12" s="1"/>
  <c r="C199" i="4"/>
  <c r="A265" i="12" s="1"/>
  <c r="C198" i="4"/>
  <c r="A264" i="12" s="1"/>
  <c r="C197" i="4"/>
  <c r="A263" i="12" s="1"/>
  <c r="C196" i="4"/>
  <c r="A262" i="12" s="1"/>
  <c r="C195" i="4"/>
  <c r="A261" i="12" s="1"/>
  <c r="C192" i="4"/>
  <c r="A256" i="12" s="1"/>
  <c r="C191" i="4"/>
  <c r="A255" i="12" s="1"/>
  <c r="C190" i="4"/>
  <c r="A254" i="12" s="1"/>
  <c r="C189" i="4"/>
  <c r="A253" i="12" s="1"/>
  <c r="C186" i="4"/>
  <c r="A248" i="12" s="1"/>
  <c r="C185" i="4"/>
  <c r="A247" i="12" s="1"/>
  <c r="C184" i="4"/>
  <c r="A246" i="12" s="1"/>
  <c r="C183" i="4"/>
  <c r="A245" i="12" s="1"/>
  <c r="C182" i="4"/>
  <c r="A244" i="12" s="1"/>
  <c r="C179" i="4"/>
  <c r="A230" i="12" s="1"/>
  <c r="C178" i="4"/>
  <c r="A229" i="12" s="1"/>
  <c r="C177" i="4"/>
  <c r="A228" i="12" s="1"/>
  <c r="C176" i="4"/>
  <c r="A227" i="12" s="1"/>
  <c r="C175" i="4"/>
  <c r="A226" i="12" s="1"/>
  <c r="C172" i="4"/>
  <c r="A221" i="12" s="1"/>
  <c r="C171" i="4"/>
  <c r="A220" i="12" s="1"/>
  <c r="C170" i="4"/>
  <c r="A219" i="12" s="1"/>
  <c r="C169" i="4"/>
  <c r="A218" i="12" s="1"/>
  <c r="C168" i="4"/>
  <c r="A217" i="12" s="1"/>
  <c r="C165" i="4"/>
  <c r="A212" i="12" s="1"/>
  <c r="C164" i="4"/>
  <c r="A211" i="12" s="1"/>
  <c r="C163" i="4"/>
  <c r="A210" i="12" s="1"/>
  <c r="C162" i="4"/>
  <c r="A209" i="12" s="1"/>
  <c r="C161" i="4"/>
  <c r="A208" i="12" s="1"/>
  <c r="C158" i="4"/>
  <c r="A203" i="12" s="1"/>
  <c r="C157" i="4"/>
  <c r="A202" i="12" s="1"/>
  <c r="C156" i="4"/>
  <c r="A201" i="12" s="1"/>
  <c r="C155" i="4"/>
  <c r="A200" i="12" s="1"/>
  <c r="C154" i="4"/>
  <c r="A199" i="12" s="1"/>
  <c r="C151" i="4"/>
  <c r="A195" i="12" s="1"/>
  <c r="C150" i="4"/>
  <c r="A194" i="12" s="1"/>
  <c r="C149" i="4"/>
  <c r="A193" i="12" s="1"/>
  <c r="C148" i="4"/>
  <c r="A192" i="12" s="1"/>
  <c r="C145" i="4"/>
  <c r="A187" i="12" s="1"/>
  <c r="C144" i="4"/>
  <c r="A186" i="12" s="1"/>
  <c r="C143" i="4"/>
  <c r="A185" i="12" s="1"/>
  <c r="C142" i="4"/>
  <c r="A184" i="12" s="1"/>
  <c r="C139" i="4"/>
  <c r="A179" i="12" s="1"/>
  <c r="C138" i="4"/>
  <c r="A178" i="12" s="1"/>
  <c r="C137" i="4"/>
  <c r="A177" i="12" s="1"/>
  <c r="C136" i="4"/>
  <c r="A176" i="12" s="1"/>
  <c r="C133" i="4"/>
  <c r="C132" i="4"/>
  <c r="C131" i="4"/>
  <c r="C130" i="4"/>
  <c r="A170" i="12" s="1"/>
  <c r="C127" i="4"/>
  <c r="A158" i="12" s="1"/>
  <c r="C126" i="4"/>
  <c r="A157" i="12" s="1"/>
  <c r="C125" i="4"/>
  <c r="A156" i="12" s="1"/>
  <c r="C124" i="4"/>
  <c r="A155" i="12" s="1"/>
  <c r="A150" i="12"/>
  <c r="C120" i="4"/>
  <c r="A149" i="12" s="1"/>
  <c r="C119" i="4"/>
  <c r="A148" i="12" s="1"/>
  <c r="C118" i="4"/>
  <c r="A147" i="12" s="1"/>
  <c r="C115" i="4"/>
  <c r="A142" i="12" s="1"/>
  <c r="C114" i="4"/>
  <c r="A141" i="12" s="1"/>
  <c r="C113" i="4"/>
  <c r="A140" i="12" s="1"/>
  <c r="C112" i="4"/>
  <c r="A139" i="12" s="1"/>
  <c r="C109" i="4"/>
  <c r="A134" i="12" s="1"/>
  <c r="C108" i="4"/>
  <c r="A133" i="12" s="1"/>
  <c r="C107" i="4"/>
  <c r="A132" i="12" s="1"/>
  <c r="C106" i="4"/>
  <c r="A131" i="12" s="1"/>
  <c r="C103" i="4"/>
  <c r="A119" i="12" s="1"/>
  <c r="C102" i="4"/>
  <c r="A118" i="12" s="1"/>
  <c r="C101" i="4"/>
  <c r="A117" i="12" s="1"/>
  <c r="C100" i="4"/>
  <c r="A116" i="12" s="1"/>
  <c r="C97" i="4"/>
  <c r="A112" i="12" s="1"/>
  <c r="C96" i="4"/>
  <c r="A111" i="12" s="1"/>
  <c r="C95" i="4"/>
  <c r="A110" i="12" s="1"/>
  <c r="C94" i="4"/>
  <c r="A109" i="12" s="1"/>
  <c r="C91" i="4"/>
  <c r="A97" i="12" s="1"/>
  <c r="C90" i="4"/>
  <c r="A96" i="12" s="1"/>
  <c r="C89" i="4"/>
  <c r="A95" i="12" s="1"/>
  <c r="C88" i="4"/>
  <c r="A94" i="12" s="1"/>
  <c r="C85" i="4"/>
  <c r="A89" i="12" s="1"/>
  <c r="C84" i="4"/>
  <c r="A88" i="12" s="1"/>
  <c r="C83" i="4"/>
  <c r="A87" i="12" s="1"/>
  <c r="C82" i="4"/>
  <c r="A86" i="12" s="1"/>
  <c r="C81" i="4"/>
  <c r="A85" i="12" s="1"/>
  <c r="C78" i="4"/>
  <c r="A82" i="12" s="1"/>
  <c r="C77" i="4"/>
  <c r="A81" i="12" s="1"/>
  <c r="C76" i="4"/>
  <c r="A80" i="12" s="1"/>
  <c r="C75" i="4"/>
  <c r="A79" i="12" s="1"/>
  <c r="C74" i="4"/>
  <c r="A78" i="12" s="1"/>
  <c r="C73" i="4"/>
  <c r="A77" i="12" s="1"/>
  <c r="C72" i="4"/>
  <c r="A76" i="12" s="1"/>
  <c r="C71" i="4"/>
  <c r="A75" i="12" s="1"/>
  <c r="C70" i="4"/>
  <c r="A74" i="12" s="1"/>
  <c r="C69" i="4"/>
  <c r="A73" i="12" s="1"/>
  <c r="C68" i="4"/>
  <c r="A72" i="12" s="1"/>
  <c r="C67" i="4"/>
  <c r="A71" i="12" s="1"/>
  <c r="C66" i="4"/>
  <c r="A70" i="12" s="1"/>
  <c r="C65" i="4"/>
  <c r="A69" i="12" s="1"/>
  <c r="C64" i="4"/>
  <c r="A67" i="12" s="1"/>
  <c r="C63" i="4"/>
  <c r="A66" i="12" s="1"/>
  <c r="C62" i="4"/>
  <c r="A65" i="12" s="1"/>
  <c r="C61" i="4"/>
  <c r="A64" i="12" s="1"/>
  <c r="C60" i="4"/>
  <c r="A63" i="12" s="1"/>
  <c r="C59" i="4"/>
  <c r="A62" i="12" s="1"/>
  <c r="C58" i="4"/>
  <c r="A61" i="12" s="1"/>
  <c r="C57" i="4"/>
  <c r="A60" i="12" s="1"/>
  <c r="C56" i="4"/>
  <c r="A59" i="12" s="1"/>
  <c r="C55" i="4"/>
  <c r="A56" i="12" s="1"/>
  <c r="C54" i="4"/>
  <c r="A55" i="12" s="1"/>
  <c r="C53" i="4"/>
  <c r="A54" i="12" s="1"/>
  <c r="C52" i="4"/>
  <c r="A52" i="12" s="1"/>
  <c r="C50" i="4"/>
  <c r="A51" i="12" s="1"/>
  <c r="C49" i="4"/>
  <c r="A50" i="12" s="1"/>
  <c r="C48" i="4"/>
  <c r="A49" i="12" s="1"/>
  <c r="C47" i="4"/>
  <c r="A48" i="12" s="1"/>
  <c r="C46" i="4"/>
  <c r="A47" i="12" s="1"/>
  <c r="C45" i="4"/>
  <c r="A46" i="12" s="1"/>
  <c r="C44" i="4"/>
  <c r="A45" i="12" s="1"/>
  <c r="C43" i="4"/>
  <c r="A44" i="12" s="1"/>
  <c r="C42" i="4"/>
  <c r="A43" i="12" s="1"/>
  <c r="C41" i="4"/>
  <c r="A41" i="12" s="1"/>
  <c r="C40" i="4"/>
  <c r="A40" i="12" s="1"/>
  <c r="C39" i="4"/>
  <c r="A39" i="12" s="1"/>
  <c r="C38" i="4"/>
  <c r="A38" i="12" s="1"/>
  <c r="C37" i="4"/>
  <c r="A37" i="12" s="1"/>
  <c r="C34" i="4"/>
  <c r="A34" i="12" s="1"/>
  <c r="C33" i="4"/>
  <c r="A33" i="12" s="1"/>
  <c r="C32" i="4"/>
  <c r="A32" i="12" s="1"/>
  <c r="C31" i="4"/>
  <c r="A31" i="12" s="1"/>
  <c r="C28" i="4"/>
  <c r="A27" i="12" s="1"/>
  <c r="C27" i="4"/>
  <c r="A26" i="12" s="1"/>
  <c r="C26" i="4"/>
  <c r="A25" i="12" s="1"/>
  <c r="C25" i="4"/>
  <c r="A24" i="12" s="1"/>
  <c r="C24" i="4"/>
  <c r="A23" i="12" s="1"/>
  <c r="C23" i="4"/>
  <c r="A22" i="12" s="1"/>
  <c r="C22" i="4"/>
  <c r="A21" i="12" s="1"/>
  <c r="C21" i="4"/>
  <c r="A20" i="12" s="1"/>
  <c r="C20" i="4"/>
  <c r="A19" i="12" s="1"/>
  <c r="C19" i="4"/>
  <c r="A18" i="12" s="1"/>
  <c r="C18" i="4"/>
  <c r="A17" i="12" s="1"/>
  <c r="C15" i="4"/>
  <c r="A15" i="12" s="1"/>
  <c r="C14" i="4"/>
  <c r="A14" i="12" s="1"/>
  <c r="C13" i="4"/>
  <c r="A13" i="12" s="1"/>
  <c r="C12" i="4"/>
  <c r="A12" i="12" s="1"/>
  <c r="C11" i="4"/>
  <c r="A11" i="12" s="1"/>
  <c r="C9" i="4"/>
  <c r="A9" i="12" s="1"/>
  <c r="C8" i="4"/>
  <c r="A8" i="12" s="1"/>
  <c r="C7" i="4"/>
  <c r="A7" i="12" s="1"/>
  <c r="C6" i="4"/>
  <c r="A6" i="12" s="1"/>
  <c r="K220" i="2"/>
  <c r="J220" i="2"/>
  <c r="I220" i="2"/>
  <c r="H220" i="2"/>
  <c r="G220" i="2"/>
  <c r="F220" i="2"/>
  <c r="E220" i="2"/>
  <c r="D220" i="2"/>
  <c r="C220" i="2"/>
  <c r="B220" i="2"/>
  <c r="K219" i="2"/>
  <c r="J219" i="2"/>
  <c r="I219" i="2"/>
  <c r="H219" i="2"/>
  <c r="G219" i="2"/>
  <c r="F219" i="2"/>
  <c r="E219" i="2"/>
  <c r="D219" i="2"/>
  <c r="C219" i="2"/>
  <c r="B219" i="2"/>
  <c r="K224" i="2"/>
  <c r="J224" i="2"/>
  <c r="I224" i="2"/>
  <c r="H224" i="2"/>
  <c r="G224" i="2"/>
  <c r="F224" i="2"/>
  <c r="E224" i="2"/>
  <c r="D224" i="2"/>
  <c r="C224" i="2"/>
  <c r="B224" i="2"/>
  <c r="K204" i="2"/>
  <c r="J204" i="2"/>
  <c r="I204" i="2"/>
  <c r="H204" i="2"/>
  <c r="G204" i="2"/>
  <c r="F204" i="2"/>
  <c r="E204" i="2"/>
  <c r="D204" i="2"/>
  <c r="C204" i="2"/>
  <c r="B204" i="2"/>
  <c r="K189" i="2"/>
  <c r="G189" i="2"/>
  <c r="K184" i="2"/>
  <c r="J184" i="2"/>
  <c r="I184" i="2"/>
  <c r="H184" i="2"/>
  <c r="G184" i="2"/>
  <c r="F184" i="2"/>
  <c r="E184" i="2"/>
  <c r="D184" i="2"/>
  <c r="C184" i="2"/>
  <c r="B184" i="2"/>
  <c r="F257" i="2"/>
  <c r="D257" i="2"/>
  <c r="C257" i="2"/>
  <c r="K121" i="2"/>
  <c r="J121" i="2"/>
  <c r="I121" i="2"/>
  <c r="H121" i="2"/>
  <c r="G121" i="2"/>
  <c r="F121" i="2"/>
  <c r="E121" i="2"/>
  <c r="D121" i="2"/>
  <c r="B121" i="2"/>
  <c r="K119" i="2"/>
  <c r="J119" i="2"/>
  <c r="I119" i="2"/>
  <c r="H119" i="2"/>
  <c r="G119" i="2"/>
  <c r="F119" i="2"/>
  <c r="E119" i="2"/>
  <c r="D119" i="2"/>
  <c r="B119" i="2"/>
  <c r="K118" i="2"/>
  <c r="J118" i="2"/>
  <c r="I118" i="2"/>
  <c r="H118" i="2"/>
  <c r="G118" i="2"/>
  <c r="F118" i="2"/>
  <c r="E118" i="2"/>
  <c r="D118" i="2"/>
  <c r="C118" i="2"/>
  <c r="B118" i="2"/>
  <c r="K56" i="2"/>
  <c r="K218" i="2" s="1"/>
  <c r="J56" i="2"/>
  <c r="J218" i="2" s="1"/>
  <c r="I56" i="2"/>
  <c r="I218" i="2" s="1"/>
  <c r="H56" i="2"/>
  <c r="H218" i="2" s="1"/>
  <c r="G56" i="2"/>
  <c r="G218" i="2" s="1"/>
  <c r="F56" i="2"/>
  <c r="F218" i="2" s="1"/>
  <c r="E56" i="2"/>
  <c r="E218" i="2" s="1"/>
  <c r="D56" i="2"/>
  <c r="D218" i="2" s="1"/>
  <c r="C56" i="2"/>
  <c r="C218" i="2" s="1"/>
  <c r="B56" i="2"/>
  <c r="B218" i="2" s="1"/>
  <c r="K40" i="2"/>
  <c r="J40" i="2"/>
  <c r="I40" i="2"/>
  <c r="H40" i="2"/>
  <c r="G40" i="2"/>
  <c r="F40" i="2"/>
  <c r="E40" i="2"/>
  <c r="D40" i="2"/>
  <c r="C40" i="2"/>
  <c r="B40" i="2"/>
  <c r="K26" i="2"/>
  <c r="K227" i="2" s="1"/>
  <c r="J26" i="2"/>
  <c r="J227" i="2" s="1"/>
  <c r="I26" i="2"/>
  <c r="I227" i="2" s="1"/>
  <c r="H26" i="2"/>
  <c r="H227" i="2" s="1"/>
  <c r="G26" i="2"/>
  <c r="G227" i="2" s="1"/>
  <c r="F26" i="2"/>
  <c r="F227" i="2" s="1"/>
  <c r="E26" i="2"/>
  <c r="E227" i="2" s="1"/>
  <c r="D26" i="2"/>
  <c r="D227" i="2" s="1"/>
  <c r="C26" i="2"/>
  <c r="C227" i="2" s="1"/>
  <c r="B26" i="2"/>
  <c r="B227" i="2" s="1"/>
  <c r="D20" i="2"/>
  <c r="C20" i="2"/>
  <c r="B20" i="2"/>
  <c r="K7" i="2"/>
  <c r="K226" i="2" s="1"/>
  <c r="J7" i="2"/>
  <c r="J226" i="2" s="1"/>
  <c r="I7" i="2"/>
  <c r="I226" i="2" s="1"/>
  <c r="H7" i="2"/>
  <c r="H226" i="2" s="1"/>
  <c r="G7" i="2"/>
  <c r="G226" i="2" s="1"/>
  <c r="F7" i="2"/>
  <c r="F226" i="2" s="1"/>
  <c r="E7" i="2"/>
  <c r="E226" i="2" s="1"/>
  <c r="D7" i="2"/>
  <c r="D226" i="2" s="1"/>
  <c r="C7" i="2"/>
  <c r="B7" i="2"/>
  <c r="B226" i="2" s="1"/>
  <c r="C264" i="6"/>
  <c r="G264" i="6"/>
  <c r="K264" i="6"/>
  <c r="F261" i="6"/>
  <c r="J262" i="6"/>
  <c r="K20" i="2"/>
  <c r="G20" i="2"/>
  <c r="I20" i="2"/>
  <c r="J20" i="2"/>
  <c r="L96" i="6"/>
  <c r="L197" i="6" s="1"/>
  <c r="M266" i="6"/>
  <c r="N189" i="2"/>
  <c r="N237" i="2" s="1"/>
  <c r="N20" i="2"/>
  <c r="C86" i="12"/>
  <c r="F86" i="12"/>
  <c r="I86" i="12"/>
  <c r="K86" i="12"/>
  <c r="B86" i="12"/>
  <c r="D142" i="12"/>
  <c r="D368" i="12" s="1"/>
  <c r="E142" i="12"/>
  <c r="G142" i="12"/>
  <c r="J142" i="12"/>
  <c r="J368" i="12" s="1"/>
  <c r="M142" i="12"/>
  <c r="H20" i="2"/>
  <c r="F20" i="2"/>
  <c r="J189" i="2"/>
  <c r="H189" i="2"/>
  <c r="F189" i="2"/>
  <c r="D189" i="2"/>
  <c r="L189" i="2"/>
  <c r="O423" i="12"/>
  <c r="O425" i="12"/>
  <c r="O127" i="6"/>
  <c r="O7" i="12"/>
  <c r="O385" i="12" s="1"/>
  <c r="O7" i="6"/>
  <c r="O226" i="6" s="1"/>
  <c r="O23" i="6"/>
  <c r="O201" i="6"/>
  <c r="N96" i="6"/>
  <c r="O266" i="6"/>
  <c r="O204" i="2"/>
  <c r="O24" i="12"/>
  <c r="O388" i="12" s="1"/>
  <c r="O119" i="2"/>
  <c r="O38" i="12"/>
  <c r="O386" i="12" s="1"/>
  <c r="O55" i="12"/>
  <c r="O118" i="2"/>
  <c r="O339" i="12"/>
  <c r="O115" i="6"/>
  <c r="O71" i="12"/>
  <c r="O372" i="12" s="1"/>
  <c r="O389" i="12"/>
  <c r="O424" i="12"/>
  <c r="O203" i="6"/>
  <c r="O31" i="6"/>
  <c r="O227" i="6" s="1"/>
  <c r="N97" i="6"/>
  <c r="O96" i="6"/>
  <c r="O112" i="6" s="1"/>
  <c r="N246" i="2"/>
  <c r="O268" i="6"/>
  <c r="O267" i="6"/>
  <c r="O289" i="6"/>
  <c r="I289" i="12" l="1"/>
  <c r="I297" i="12"/>
  <c r="H289" i="12"/>
  <c r="H297" i="12"/>
  <c r="J289" i="12"/>
  <c r="J297" i="12"/>
  <c r="J278" i="6" s="1"/>
  <c r="G289" i="12"/>
  <c r="G297" i="12"/>
  <c r="B289" i="12"/>
  <c r="B297" i="12"/>
  <c r="F289" i="12"/>
  <c r="F297" i="12"/>
  <c r="M289" i="12"/>
  <c r="M297" i="12"/>
  <c r="M278" i="6" s="1"/>
  <c r="E289" i="12"/>
  <c r="E297" i="12"/>
  <c r="D289" i="12"/>
  <c r="D297" i="12"/>
  <c r="K289" i="12"/>
  <c r="K297" i="12"/>
  <c r="C289" i="12"/>
  <c r="C297" i="12"/>
  <c r="F431" i="12"/>
  <c r="I266" i="6"/>
  <c r="F262" i="2"/>
  <c r="H262" i="2"/>
  <c r="J268" i="6"/>
  <c r="E266" i="6"/>
  <c r="E289" i="6"/>
  <c r="B267" i="6"/>
  <c r="A172" i="12"/>
  <c r="A165" i="12"/>
  <c r="A173" i="12"/>
  <c r="A166" i="12"/>
  <c r="A171" i="12"/>
  <c r="A164" i="12"/>
  <c r="I262" i="2"/>
  <c r="I311" i="6"/>
  <c r="L262" i="2"/>
  <c r="E237" i="6"/>
  <c r="I429" i="12"/>
  <c r="C255" i="6"/>
  <c r="L117" i="2"/>
  <c r="N171" i="2"/>
  <c r="N307" i="6" s="1"/>
  <c r="G255" i="6"/>
  <c r="I430" i="12"/>
  <c r="K407" i="12"/>
  <c r="H384" i="12"/>
  <c r="H390" i="12" s="1"/>
  <c r="H387" i="12" s="1"/>
  <c r="C247" i="12"/>
  <c r="C296" i="12" s="1"/>
  <c r="I206" i="6"/>
  <c r="I6" i="2"/>
  <c r="J217" i="2"/>
  <c r="L225" i="2"/>
  <c r="L231" i="2" s="1"/>
  <c r="L228" i="2" s="1"/>
  <c r="L143" i="2"/>
  <c r="L168" i="2" s="1"/>
  <c r="U5" i="6"/>
  <c r="U83" i="6" s="1"/>
  <c r="U5" i="12"/>
  <c r="U85" i="12" s="1"/>
  <c r="M217" i="2"/>
  <c r="N223" i="2"/>
  <c r="D217" i="2"/>
  <c r="C136" i="6"/>
  <c r="G136" i="6"/>
  <c r="K136" i="6"/>
  <c r="C289" i="6"/>
  <c r="B25" i="2"/>
  <c r="F25" i="2"/>
  <c r="J25" i="2"/>
  <c r="N225" i="2"/>
  <c r="N231" i="2" s="1"/>
  <c r="N228" i="2" s="1"/>
  <c r="J262" i="2"/>
  <c r="L196" i="6"/>
  <c r="L253" i="6" s="1"/>
  <c r="H311" i="6"/>
  <c r="C266" i="6"/>
  <c r="C265" i="6" s="1"/>
  <c r="M288" i="6"/>
  <c r="G267" i="6"/>
  <c r="D289" i="6"/>
  <c r="F266" i="6"/>
  <c r="F265" i="6" s="1"/>
  <c r="B310" i="6"/>
  <c r="B311" i="6"/>
  <c r="F311" i="6"/>
  <c r="G25" i="2"/>
  <c r="N117" i="2"/>
  <c r="J6" i="2"/>
  <c r="E117" i="2"/>
  <c r="N6" i="2"/>
  <c r="B217" i="2"/>
  <c r="G262" i="2"/>
  <c r="K262" i="2"/>
  <c r="M25" i="2"/>
  <c r="O217" i="2"/>
  <c r="C246" i="12"/>
  <c r="K246" i="12"/>
  <c r="J431" i="12"/>
  <c r="M429" i="12"/>
  <c r="G245" i="12"/>
  <c r="G294" i="12" s="1"/>
  <c r="N429" i="12"/>
  <c r="F430" i="12"/>
  <c r="J430" i="12"/>
  <c r="K431" i="12"/>
  <c r="L261" i="6"/>
  <c r="T5" i="2"/>
  <c r="T5" i="6"/>
  <c r="T83" i="6" s="1"/>
  <c r="S5" i="2"/>
  <c r="S5" i="6"/>
  <c r="S83" i="6" s="1"/>
  <c r="S5" i="12"/>
  <c r="F429" i="12"/>
  <c r="G431" i="12"/>
  <c r="C377" i="12"/>
  <c r="C206" i="6"/>
  <c r="B6" i="6"/>
  <c r="I247" i="6"/>
  <c r="L206" i="6"/>
  <c r="J429" i="12"/>
  <c r="B37" i="12"/>
  <c r="E428" i="12"/>
  <c r="K429" i="12"/>
  <c r="K430" i="12"/>
  <c r="O431" i="12"/>
  <c r="D371" i="12"/>
  <c r="H371" i="12"/>
  <c r="J112" i="6"/>
  <c r="J205" i="6" s="1"/>
  <c r="O200" i="6"/>
  <c r="N112" i="6"/>
  <c r="N205" i="6" s="1"/>
  <c r="E6" i="6"/>
  <c r="O197" i="6"/>
  <c r="O196" i="6" s="1"/>
  <c r="O205" i="6"/>
  <c r="O204" i="6" s="1"/>
  <c r="L144" i="2"/>
  <c r="L169" i="2" s="1"/>
  <c r="L305" i="6" s="1"/>
  <c r="L89" i="2"/>
  <c r="L83" i="2"/>
  <c r="F136" i="6"/>
  <c r="E136" i="6"/>
  <c r="H266" i="6"/>
  <c r="I310" i="6"/>
  <c r="H268" i="6"/>
  <c r="L246" i="2"/>
  <c r="M144" i="2"/>
  <c r="M169" i="2" s="1"/>
  <c r="K6" i="2"/>
  <c r="F217" i="2"/>
  <c r="L6" i="2"/>
  <c r="N25" i="2"/>
  <c r="O171" i="2"/>
  <c r="O307" i="6" s="1"/>
  <c r="F6" i="2"/>
  <c r="L25" i="2"/>
  <c r="H217" i="2"/>
  <c r="D117" i="2"/>
  <c r="M89" i="2"/>
  <c r="M245" i="2" s="1"/>
  <c r="N431" i="12"/>
  <c r="G377" i="12"/>
  <c r="K200" i="6"/>
  <c r="K237" i="6"/>
  <c r="D112" i="6"/>
  <c r="D205" i="6" s="1"/>
  <c r="H30" i="6"/>
  <c r="D30" i="6"/>
  <c r="D6" i="6"/>
  <c r="F112" i="6"/>
  <c r="F205" i="6" s="1"/>
  <c r="C112" i="6"/>
  <c r="C119" i="6" s="1"/>
  <c r="C121" i="6" s="1"/>
  <c r="E257" i="6"/>
  <c r="E368" i="12"/>
  <c r="E407" i="12" s="1"/>
  <c r="M257" i="6"/>
  <c r="M368" i="12"/>
  <c r="M407" i="12" s="1"/>
  <c r="K25" i="2"/>
  <c r="D206" i="6"/>
  <c r="C30" i="6"/>
  <c r="K89" i="2"/>
  <c r="K245" i="2" s="1"/>
  <c r="G89" i="2"/>
  <c r="G245" i="2" s="1"/>
  <c r="C89" i="2"/>
  <c r="C245" i="2" s="1"/>
  <c r="C139" i="12"/>
  <c r="C363" i="12" s="1"/>
  <c r="C367" i="12"/>
  <c r="C406" i="12" s="1"/>
  <c r="K139" i="12"/>
  <c r="K363" i="12" s="1"/>
  <c r="K362" i="12" s="1"/>
  <c r="K367" i="12"/>
  <c r="K406" i="12" s="1"/>
  <c r="F428" i="12"/>
  <c r="G429" i="12"/>
  <c r="G430" i="12"/>
  <c r="H431" i="12"/>
  <c r="M132" i="2"/>
  <c r="N371" i="12"/>
  <c r="E217" i="2"/>
  <c r="J89" i="2"/>
  <c r="J245" i="2" s="1"/>
  <c r="F89" i="2"/>
  <c r="F245" i="2" s="1"/>
  <c r="H255" i="6"/>
  <c r="H366" i="12"/>
  <c r="H405" i="12" s="1"/>
  <c r="H139" i="12"/>
  <c r="H363" i="12" s="1"/>
  <c r="H362" i="12" s="1"/>
  <c r="H367" i="12"/>
  <c r="H406" i="12" s="1"/>
  <c r="L367" i="12"/>
  <c r="F257" i="6"/>
  <c r="F368" i="12"/>
  <c r="F407" i="12" s="1"/>
  <c r="L257" i="6"/>
  <c r="L368" i="12"/>
  <c r="L407" i="12" s="1"/>
  <c r="O71" i="2"/>
  <c r="O257" i="2" s="1"/>
  <c r="G257" i="6"/>
  <c r="G368" i="12"/>
  <c r="G407" i="12" s="1"/>
  <c r="G6" i="2"/>
  <c r="I217" i="2"/>
  <c r="B117" i="2"/>
  <c r="B89" i="2"/>
  <c r="H206" i="6"/>
  <c r="G206" i="6"/>
  <c r="I89" i="2"/>
  <c r="I245" i="2" s="1"/>
  <c r="E89" i="2"/>
  <c r="E245" i="2" s="1"/>
  <c r="E291" i="6"/>
  <c r="L217" i="2"/>
  <c r="H89" i="2"/>
  <c r="H245" i="2" s="1"/>
  <c r="D89" i="2"/>
  <c r="D245" i="2" s="1"/>
  <c r="I37" i="12"/>
  <c r="I257" i="6"/>
  <c r="I368" i="12"/>
  <c r="I407" i="12" s="1"/>
  <c r="M20" i="2"/>
  <c r="M6" i="2" s="1"/>
  <c r="N140" i="12"/>
  <c r="N255" i="6" s="1"/>
  <c r="N86" i="12"/>
  <c r="K223" i="2"/>
  <c r="K237" i="2"/>
  <c r="K146" i="2"/>
  <c r="G146" i="2"/>
  <c r="I144" i="2"/>
  <c r="E144" i="2"/>
  <c r="K143" i="2"/>
  <c r="G143" i="2"/>
  <c r="C143" i="2"/>
  <c r="M143" i="2"/>
  <c r="M173" i="2" s="1"/>
  <c r="N257" i="2"/>
  <c r="Q261" i="2" s="1"/>
  <c r="N217" i="2"/>
  <c r="J223" i="2"/>
  <c r="J237" i="2"/>
  <c r="D225" i="2"/>
  <c r="D231" i="2" s="1"/>
  <c r="D228" i="2" s="1"/>
  <c r="H225" i="2"/>
  <c r="H231" i="2" s="1"/>
  <c r="H228" i="2" s="1"/>
  <c r="D237" i="2"/>
  <c r="D223" i="2"/>
  <c r="D25" i="2"/>
  <c r="E225" i="2"/>
  <c r="E231" i="2" s="1"/>
  <c r="E228" i="2" s="1"/>
  <c r="I225" i="2"/>
  <c r="I231" i="2" s="1"/>
  <c r="I228" i="2" s="1"/>
  <c r="B143" i="2"/>
  <c r="B168" i="2" s="1"/>
  <c r="J146" i="2"/>
  <c r="F146" i="2"/>
  <c r="H144" i="2"/>
  <c r="D144" i="2"/>
  <c r="J143" i="2"/>
  <c r="F143" i="2"/>
  <c r="C144" i="2"/>
  <c r="C169" i="2" s="1"/>
  <c r="C305" i="6" s="1"/>
  <c r="D6" i="2"/>
  <c r="B225" i="2"/>
  <c r="B231" i="2" s="1"/>
  <c r="B228" i="2" s="1"/>
  <c r="F225" i="2"/>
  <c r="F231" i="2" s="1"/>
  <c r="F228" i="2" s="1"/>
  <c r="J225" i="2"/>
  <c r="J231" i="2" s="1"/>
  <c r="J228" i="2" s="1"/>
  <c r="G117" i="2"/>
  <c r="K117" i="2"/>
  <c r="B144" i="2"/>
  <c r="B174" i="2" s="1"/>
  <c r="I146" i="2"/>
  <c r="E146" i="2"/>
  <c r="K144" i="2"/>
  <c r="G144" i="2"/>
  <c r="I143" i="2"/>
  <c r="E143" i="2"/>
  <c r="C146" i="2"/>
  <c r="C176" i="2" s="1"/>
  <c r="C285" i="6" s="1"/>
  <c r="M225" i="2"/>
  <c r="M231" i="2" s="1"/>
  <c r="L237" i="2"/>
  <c r="L223" i="2"/>
  <c r="F223" i="2"/>
  <c r="F237" i="2"/>
  <c r="H237" i="2"/>
  <c r="H223" i="2"/>
  <c r="H25" i="2"/>
  <c r="H6" i="2"/>
  <c r="C6" i="2"/>
  <c r="C226" i="2"/>
  <c r="C225" i="2" s="1"/>
  <c r="C231" i="2" s="1"/>
  <c r="C228" i="2" s="1"/>
  <c r="C25" i="2"/>
  <c r="G225" i="2"/>
  <c r="G231" i="2" s="1"/>
  <c r="G228" i="2" s="1"/>
  <c r="K225" i="2"/>
  <c r="K231" i="2" s="1"/>
  <c r="K228" i="2" s="1"/>
  <c r="G223" i="2"/>
  <c r="G237" i="2"/>
  <c r="B146" i="2"/>
  <c r="B171" i="2" s="1"/>
  <c r="B307" i="6" s="1"/>
  <c r="H146" i="2"/>
  <c r="D146" i="2"/>
  <c r="J144" i="2"/>
  <c r="F144" i="2"/>
  <c r="H143" i="2"/>
  <c r="D143" i="2"/>
  <c r="M237" i="2"/>
  <c r="M223" i="2"/>
  <c r="M146" i="2"/>
  <c r="M171" i="2" s="1"/>
  <c r="M307" i="6" s="1"/>
  <c r="I131" i="6"/>
  <c r="R5" i="2"/>
  <c r="B192" i="2"/>
  <c r="B190" i="2"/>
  <c r="B189" i="2" s="1"/>
  <c r="O259" i="2"/>
  <c r="S263" i="2" s="1"/>
  <c r="O85" i="2"/>
  <c r="O5" i="2"/>
  <c r="O70" i="2" s="1"/>
  <c r="P5" i="2"/>
  <c r="P70" i="2" s="1"/>
  <c r="G348" i="12"/>
  <c r="G380" i="12" s="1"/>
  <c r="Q5" i="2"/>
  <c r="Q70" i="2" s="1"/>
  <c r="O258" i="2"/>
  <c r="O84" i="2"/>
  <c r="L136" i="6"/>
  <c r="O117" i="2"/>
  <c r="I139" i="12"/>
  <c r="I363" i="12" s="1"/>
  <c r="I362" i="12" s="1"/>
  <c r="J428" i="12"/>
  <c r="M139" i="12"/>
  <c r="M363" i="12" s="1"/>
  <c r="E139" i="12"/>
  <c r="E363" i="12" s="1"/>
  <c r="E362" i="12" s="1"/>
  <c r="B256" i="6"/>
  <c r="B139" i="12"/>
  <c r="B363" i="12" s="1"/>
  <c r="B362" i="12" s="1"/>
  <c r="F256" i="6"/>
  <c r="F139" i="12"/>
  <c r="F363" i="12" s="1"/>
  <c r="J256" i="6"/>
  <c r="J139" i="12"/>
  <c r="J363" i="12" s="1"/>
  <c r="G256" i="6"/>
  <c r="G139" i="12"/>
  <c r="G363" i="12" s="1"/>
  <c r="G362" i="12" s="1"/>
  <c r="B261" i="12"/>
  <c r="D288" i="12"/>
  <c r="H288" i="12"/>
  <c r="B147" i="12"/>
  <c r="E288" i="12"/>
  <c r="I288" i="12"/>
  <c r="O277" i="6"/>
  <c r="O288" i="12"/>
  <c r="O299" i="6" s="1"/>
  <c r="F288" i="12"/>
  <c r="J277" i="6"/>
  <c r="J288" i="12"/>
  <c r="N277" i="6"/>
  <c r="N288" i="12"/>
  <c r="N299" i="6" s="1"/>
  <c r="C288" i="12"/>
  <c r="G288" i="12"/>
  <c r="K277" i="6"/>
  <c r="K288" i="12"/>
  <c r="F406" i="12"/>
  <c r="J377" i="12"/>
  <c r="I428" i="12"/>
  <c r="J407" i="12"/>
  <c r="O430" i="12"/>
  <c r="O429" i="12"/>
  <c r="F377" i="12"/>
  <c r="D384" i="12"/>
  <c r="D390" i="12" s="1"/>
  <c r="D387" i="12" s="1"/>
  <c r="B405" i="12"/>
  <c r="J405" i="12"/>
  <c r="B377" i="12"/>
  <c r="K377" i="12"/>
  <c r="B245" i="12"/>
  <c r="B285" i="12" s="1"/>
  <c r="L431" i="12"/>
  <c r="C405" i="12"/>
  <c r="E384" i="12"/>
  <c r="E390" i="12" s="1"/>
  <c r="I384" i="12"/>
  <c r="I390" i="12" s="1"/>
  <c r="I387" i="12" s="1"/>
  <c r="D6" i="12"/>
  <c r="J246" i="12"/>
  <c r="J295" i="12" s="1"/>
  <c r="F384" i="12"/>
  <c r="F390" i="12" s="1"/>
  <c r="F387" i="12" s="1"/>
  <c r="D247" i="12"/>
  <c r="M37" i="12"/>
  <c r="B6" i="12"/>
  <c r="F245" i="12"/>
  <c r="F294" i="12" s="1"/>
  <c r="F246" i="12"/>
  <c r="F295" i="12" s="1"/>
  <c r="C199" i="12"/>
  <c r="G199" i="12"/>
  <c r="B406" i="12"/>
  <c r="H21" i="12"/>
  <c r="H6" i="12" s="1"/>
  <c r="D407" i="12"/>
  <c r="L247" i="12"/>
  <c r="D256" i="6"/>
  <c r="D246" i="12"/>
  <c r="D406" i="12"/>
  <c r="L256" i="6"/>
  <c r="L246" i="12"/>
  <c r="N428" i="12"/>
  <c r="E405" i="12"/>
  <c r="E255" i="6"/>
  <c r="E245" i="12"/>
  <c r="E294" i="12" s="1"/>
  <c r="M255" i="6"/>
  <c r="M405" i="12"/>
  <c r="I256" i="6"/>
  <c r="I406" i="12"/>
  <c r="L377" i="12"/>
  <c r="D377" i="12"/>
  <c r="J37" i="12"/>
  <c r="L21" i="12"/>
  <c r="L6" i="12" s="1"/>
  <c r="K245" i="12"/>
  <c r="K294" i="12" s="1"/>
  <c r="H428" i="12"/>
  <c r="L428" i="12"/>
  <c r="F37" i="12"/>
  <c r="J245" i="12"/>
  <c r="J294" i="12" s="1"/>
  <c r="F21" i="12"/>
  <c r="F6" i="12" s="1"/>
  <c r="F371" i="12"/>
  <c r="J371" i="12"/>
  <c r="H86" i="12"/>
  <c r="H377" i="12"/>
  <c r="C371" i="12"/>
  <c r="K371" i="12"/>
  <c r="K199" i="12"/>
  <c r="N321" i="12"/>
  <c r="N396" i="12" s="1"/>
  <c r="K21" i="12"/>
  <c r="K6" i="12" s="1"/>
  <c r="N384" i="12"/>
  <c r="N390" i="12" s="1"/>
  <c r="N387" i="12" s="1"/>
  <c r="D86" i="12"/>
  <c r="B407" i="12"/>
  <c r="F5" i="12"/>
  <c r="F5" i="2"/>
  <c r="F70" i="2" s="1"/>
  <c r="E20" i="2"/>
  <c r="E6" i="2" s="1"/>
  <c r="B288" i="12"/>
  <c r="H270" i="6"/>
  <c r="C14" i="5"/>
  <c r="I5" i="2"/>
  <c r="I70" i="2" s="1"/>
  <c r="J5" i="12"/>
  <c r="B5" i="12"/>
  <c r="C117" i="2"/>
  <c r="R5" i="6"/>
  <c r="R83" i="6" s="1"/>
  <c r="R5" i="12"/>
  <c r="M257" i="2"/>
  <c r="P261" i="2" s="1"/>
  <c r="H5" i="12"/>
  <c r="B157" i="6"/>
  <c r="B14" i="5"/>
  <c r="B24" i="5"/>
  <c r="H5" i="2"/>
  <c r="H70" i="2" s="1"/>
  <c r="L5" i="2"/>
  <c r="L70" i="2" s="1"/>
  <c r="C24" i="5"/>
  <c r="B25" i="5"/>
  <c r="B136" i="6"/>
  <c r="D5" i="12"/>
  <c r="C20" i="5"/>
  <c r="I253" i="6"/>
  <c r="M247" i="6"/>
  <c r="M253" i="6"/>
  <c r="C85" i="12"/>
  <c r="C5" i="6"/>
  <c r="C83" i="6" s="1"/>
  <c r="J85" i="12"/>
  <c r="J5" i="6"/>
  <c r="J83" i="6" s="1"/>
  <c r="M85" i="12"/>
  <c r="M5" i="6"/>
  <c r="M83" i="6" s="1"/>
  <c r="M5" i="12"/>
  <c r="D85" i="12"/>
  <c r="D5" i="6"/>
  <c r="D83" i="6" s="1"/>
  <c r="G85" i="12"/>
  <c r="G5" i="6"/>
  <c r="G83" i="6" s="1"/>
  <c r="N5" i="6"/>
  <c r="N83" i="6" s="1"/>
  <c r="N5" i="12"/>
  <c r="N5" i="2"/>
  <c r="N70" i="2" s="1"/>
  <c r="H85" i="12"/>
  <c r="H5" i="6"/>
  <c r="H83" i="6" s="1"/>
  <c r="P5" i="6"/>
  <c r="P83" i="6" s="1"/>
  <c r="P5" i="12"/>
  <c r="F85" i="12"/>
  <c r="F5" i="6"/>
  <c r="F83" i="6" s="1"/>
  <c r="I85" i="12"/>
  <c r="I5" i="6"/>
  <c r="I83" i="6" s="1"/>
  <c r="B85" i="12"/>
  <c r="B5" i="6"/>
  <c r="B83" i="6" s="1"/>
  <c r="E85" i="12"/>
  <c r="E5" i="6"/>
  <c r="E83" i="6" s="1"/>
  <c r="K85" i="12"/>
  <c r="K5" i="6"/>
  <c r="K83" i="6" s="1"/>
  <c r="K5" i="12"/>
  <c r="Q5" i="6"/>
  <c r="Q83" i="6" s="1"/>
  <c r="Q5" i="12"/>
  <c r="L85" i="12"/>
  <c r="L5" i="6"/>
  <c r="L83" i="6" s="1"/>
  <c r="L5" i="12"/>
  <c r="O5" i="6"/>
  <c r="O83" i="6" s="1"/>
  <c r="O5" i="12"/>
  <c r="F14" i="5"/>
  <c r="C29" i="5"/>
  <c r="C19" i="5"/>
  <c r="W2" i="4"/>
  <c r="C30" i="5"/>
  <c r="C25" i="5"/>
  <c r="L267" i="6"/>
  <c r="F15" i="5"/>
  <c r="J6" i="6"/>
  <c r="F6" i="6"/>
  <c r="D136" i="6"/>
  <c r="H136" i="6"/>
  <c r="C37" i="12"/>
  <c r="K37" i="12"/>
  <c r="D257" i="6"/>
  <c r="G384" i="12"/>
  <c r="G390" i="12" s="1"/>
  <c r="G387" i="12" s="1"/>
  <c r="G428" i="12"/>
  <c r="K428" i="12"/>
  <c r="N430" i="12"/>
  <c r="G21" i="12"/>
  <c r="G6" i="12" s="1"/>
  <c r="H429" i="12"/>
  <c r="H430" i="12"/>
  <c r="I431" i="12"/>
  <c r="E257" i="2"/>
  <c r="I257" i="2"/>
  <c r="I261" i="2" s="1"/>
  <c r="L146" i="2"/>
  <c r="B206" i="6"/>
  <c r="G30" i="6"/>
  <c r="H200" i="6"/>
  <c r="D200" i="6"/>
  <c r="I112" i="6"/>
  <c r="I119" i="6" s="1"/>
  <c r="I121" i="6" s="1"/>
  <c r="K131" i="6"/>
  <c r="N157" i="6"/>
  <c r="M206" i="6"/>
  <c r="J225" i="6"/>
  <c r="J231" i="6" s="1"/>
  <c r="J228" i="6" s="1"/>
  <c r="F225" i="6"/>
  <c r="F231" i="6" s="1"/>
  <c r="F228" i="6" s="1"/>
  <c r="B225" i="6"/>
  <c r="B231" i="6" s="1"/>
  <c r="B228" i="6" s="1"/>
  <c r="H6" i="6"/>
  <c r="L157" i="6"/>
  <c r="C200" i="6"/>
  <c r="G112" i="6"/>
  <c r="G119" i="6" s="1"/>
  <c r="G121" i="6" s="1"/>
  <c r="D247" i="6"/>
  <c r="G189" i="6"/>
  <c r="M117" i="2"/>
  <c r="M5" i="2"/>
  <c r="M70" i="2" s="1"/>
  <c r="J5" i="2"/>
  <c r="J70" i="2" s="1"/>
  <c r="K5" i="2"/>
  <c r="K70" i="2" s="1"/>
  <c r="C5" i="2"/>
  <c r="C70" i="2" s="1"/>
  <c r="I5" i="12"/>
  <c r="E5" i="12"/>
  <c r="B5" i="2"/>
  <c r="B70" i="2" s="1"/>
  <c r="B257" i="2"/>
  <c r="E388" i="12"/>
  <c r="E21" i="12"/>
  <c r="E6" i="12" s="1"/>
  <c r="G5" i="2"/>
  <c r="G70" i="2" s="1"/>
  <c r="G5" i="12"/>
  <c r="C5" i="12"/>
  <c r="B246" i="2"/>
  <c r="E5" i="2"/>
  <c r="E70" i="2" s="1"/>
  <c r="B15" i="5"/>
  <c r="B20" i="5"/>
  <c r="E19" i="5"/>
  <c r="E15" i="5"/>
  <c r="N262" i="2"/>
  <c r="B29" i="5"/>
  <c r="B19" i="5"/>
  <c r="C189" i="2"/>
  <c r="E197" i="6"/>
  <c r="E196" i="6" s="1"/>
  <c r="E112" i="6"/>
  <c r="F206" i="6"/>
  <c r="J200" i="6"/>
  <c r="F200" i="6"/>
  <c r="B200" i="6"/>
  <c r="G253" i="6"/>
  <c r="G247" i="6"/>
  <c r="F253" i="6"/>
  <c r="F247" i="6"/>
  <c r="B197" i="6"/>
  <c r="B196" i="6" s="1"/>
  <c r="B112" i="6"/>
  <c r="K247" i="6"/>
  <c r="K253" i="6"/>
  <c r="D253" i="6"/>
  <c r="K112" i="6"/>
  <c r="H197" i="6"/>
  <c r="H196" i="6" s="1"/>
  <c r="H112" i="6"/>
  <c r="N237" i="6"/>
  <c r="C197" i="6"/>
  <c r="C196" i="6" s="1"/>
  <c r="L112" i="6"/>
  <c r="L205" i="6" s="1"/>
  <c r="I200" i="6"/>
  <c r="E200" i="6"/>
  <c r="L200" i="6"/>
  <c r="N6" i="6"/>
  <c r="G200" i="6"/>
  <c r="N197" i="6"/>
  <c r="N196" i="6" s="1"/>
  <c r="D189" i="6"/>
  <c r="O189" i="6"/>
  <c r="M112" i="6"/>
  <c r="M205" i="6" s="1"/>
  <c r="B161" i="6"/>
  <c r="L131" i="6"/>
  <c r="L184" i="6"/>
  <c r="E189" i="6"/>
  <c r="I184" i="6"/>
  <c r="D157" i="6"/>
  <c r="J131" i="6"/>
  <c r="N131" i="6"/>
  <c r="B184" i="6"/>
  <c r="C157" i="6"/>
  <c r="K157" i="6"/>
  <c r="B131" i="6"/>
  <c r="N127" i="6"/>
  <c r="M184" i="6"/>
  <c r="M161" i="6"/>
  <c r="I161" i="6"/>
  <c r="E161" i="6"/>
  <c r="I189" i="6"/>
  <c r="N200" i="6"/>
  <c r="J30" i="6"/>
  <c r="N226" i="6"/>
  <c r="O225" i="6"/>
  <c r="O231" i="6" s="1"/>
  <c r="O228" i="6" s="1"/>
  <c r="O6" i="6"/>
  <c r="O30" i="6"/>
  <c r="E225" i="6"/>
  <c r="E231" i="6" s="1"/>
  <c r="E228" i="6" s="1"/>
  <c r="I6" i="6"/>
  <c r="I30" i="6"/>
  <c r="H225" i="6"/>
  <c r="H231" i="6" s="1"/>
  <c r="H228" i="6" s="1"/>
  <c r="D225" i="6"/>
  <c r="D231" i="6" s="1"/>
  <c r="D228" i="6" s="1"/>
  <c r="L6" i="6"/>
  <c r="L225" i="6"/>
  <c r="L231" i="6" s="1"/>
  <c r="L228" i="6" s="1"/>
  <c r="M226" i="6"/>
  <c r="M6" i="6"/>
  <c r="B30" i="6"/>
  <c r="G6" i="6"/>
  <c r="I225" i="6"/>
  <c r="I231" i="6" s="1"/>
  <c r="I228" i="6" s="1"/>
  <c r="C6" i="6"/>
  <c r="K6" i="6"/>
  <c r="K30" i="6"/>
  <c r="G225" i="6"/>
  <c r="G231" i="6" s="1"/>
  <c r="G228" i="6" s="1"/>
  <c r="C225" i="6"/>
  <c r="C231" i="6" s="1"/>
  <c r="C228" i="6" s="1"/>
  <c r="M227" i="6"/>
  <c r="M30" i="6"/>
  <c r="M200" i="6"/>
  <c r="M265" i="6"/>
  <c r="D184" i="6"/>
  <c r="H184" i="6"/>
  <c r="C184" i="6"/>
  <c r="G184" i="6"/>
  <c r="K184" i="6"/>
  <c r="F184" i="6"/>
  <c r="F157" i="6"/>
  <c r="J157" i="6"/>
  <c r="E157" i="6"/>
  <c r="I157" i="6"/>
  <c r="D131" i="6"/>
  <c r="H131" i="6"/>
  <c r="C131" i="6"/>
  <c r="G131" i="6"/>
  <c r="E184" i="6"/>
  <c r="N161" i="6"/>
  <c r="N189" i="6"/>
  <c r="H157" i="6"/>
  <c r="F131" i="6"/>
  <c r="M260" i="6"/>
  <c r="I127" i="6"/>
  <c r="D127" i="6"/>
  <c r="G152" i="6"/>
  <c r="H161" i="6"/>
  <c r="K161" i="6"/>
  <c r="C161" i="6"/>
  <c r="J161" i="6"/>
  <c r="F161" i="6"/>
  <c r="B178" i="6"/>
  <c r="C178" i="6"/>
  <c r="B189" i="6"/>
  <c r="L189" i="6"/>
  <c r="J189" i="6"/>
  <c r="F189" i="6"/>
  <c r="N260" i="6"/>
  <c r="N184" i="6"/>
  <c r="O184" i="6"/>
  <c r="L161" i="6"/>
  <c r="D161" i="6"/>
  <c r="H189" i="6"/>
  <c r="O178" i="6"/>
  <c r="G157" i="6"/>
  <c r="M131" i="6"/>
  <c r="B127" i="6"/>
  <c r="K127" i="6"/>
  <c r="G127" i="6"/>
  <c r="C127" i="6"/>
  <c r="J127" i="6"/>
  <c r="F127" i="6"/>
  <c r="M127" i="6"/>
  <c r="E127" i="6"/>
  <c r="B152" i="6"/>
  <c r="J152" i="6"/>
  <c r="F152" i="6"/>
  <c r="M152" i="6"/>
  <c r="I152" i="6"/>
  <c r="M178" i="6"/>
  <c r="I178" i="6"/>
  <c r="E178" i="6"/>
  <c r="O157" i="6"/>
  <c r="F405" i="12"/>
  <c r="O405" i="12"/>
  <c r="N247" i="12"/>
  <c r="N296" i="12" s="1"/>
  <c r="N257" i="6"/>
  <c r="N407" i="12"/>
  <c r="C257" i="6"/>
  <c r="K257" i="6"/>
  <c r="K247" i="12"/>
  <c r="M384" i="12"/>
  <c r="M390" i="12" s="1"/>
  <c r="M387" i="12" s="1"/>
  <c r="G246" i="12"/>
  <c r="G295" i="12" s="1"/>
  <c r="K255" i="6"/>
  <c r="C245" i="12"/>
  <c r="C294" i="12" s="1"/>
  <c r="I246" i="12"/>
  <c r="J86" i="12"/>
  <c r="E86" i="12"/>
  <c r="I377" i="12"/>
  <c r="L37" i="12"/>
  <c r="D37" i="12"/>
  <c r="M245" i="12"/>
  <c r="M294" i="12" s="1"/>
  <c r="E37" i="12"/>
  <c r="M21" i="12"/>
  <c r="M6" i="12" s="1"/>
  <c r="C386" i="12"/>
  <c r="C384" i="12" s="1"/>
  <c r="C390" i="12" s="1"/>
  <c r="C387" i="12" s="1"/>
  <c r="B371" i="12"/>
  <c r="E371" i="12"/>
  <c r="I371" i="12"/>
  <c r="L371" i="12"/>
  <c r="L152" i="6"/>
  <c r="H152" i="6"/>
  <c r="D152" i="6"/>
  <c r="J178" i="6"/>
  <c r="F178" i="6"/>
  <c r="L178" i="6"/>
  <c r="H178" i="6"/>
  <c r="D178" i="6"/>
  <c r="N178" i="6"/>
  <c r="O371" i="12"/>
  <c r="G405" i="12"/>
  <c r="M86" i="12"/>
  <c r="G86" i="12"/>
  <c r="M377" i="12"/>
  <c r="E377" i="12"/>
  <c r="H37" i="12"/>
  <c r="H245" i="12"/>
  <c r="H294" i="12" s="1"/>
  <c r="B246" i="12"/>
  <c r="B295" i="12" s="1"/>
  <c r="M371" i="12"/>
  <c r="M431" i="12"/>
  <c r="M430" i="12"/>
  <c r="L430" i="12"/>
  <c r="L429" i="12"/>
  <c r="I21" i="12"/>
  <c r="I6" i="12" s="1"/>
  <c r="L384" i="12"/>
  <c r="L390" i="12" s="1"/>
  <c r="L387" i="12" s="1"/>
  <c r="G371" i="12"/>
  <c r="N21" i="12"/>
  <c r="N6" i="12" s="1"/>
  <c r="N397" i="12"/>
  <c r="D199" i="12"/>
  <c r="H199" i="12"/>
  <c r="L127" i="6"/>
  <c r="H127" i="6"/>
  <c r="K152" i="6"/>
  <c r="C152" i="6"/>
  <c r="K178" i="6"/>
  <c r="N199" i="12"/>
  <c r="E199" i="12"/>
  <c r="I199" i="12"/>
  <c r="B199" i="12"/>
  <c r="F199" i="12"/>
  <c r="J199" i="12"/>
  <c r="N249" i="12"/>
  <c r="D291" i="6"/>
  <c r="O270" i="6"/>
  <c r="J267" i="6"/>
  <c r="E267" i="6"/>
  <c r="I268" i="6"/>
  <c r="K267" i="6"/>
  <c r="G161" i="6"/>
  <c r="M189" i="6"/>
  <c r="K189" i="6"/>
  <c r="C189" i="6"/>
  <c r="K257" i="2"/>
  <c r="K260" i="6"/>
  <c r="E264" i="6"/>
  <c r="E260" i="6" s="1"/>
  <c r="N245" i="2"/>
  <c r="I264" i="6"/>
  <c r="I260" i="6" s="1"/>
  <c r="E189" i="2"/>
  <c r="G257" i="2"/>
  <c r="G261" i="2" s="1"/>
  <c r="B260" i="6"/>
  <c r="B6" i="2"/>
  <c r="H117" i="2"/>
  <c r="H257" i="2"/>
  <c r="D264" i="6"/>
  <c r="D260" i="6" s="1"/>
  <c r="I189" i="2"/>
  <c r="I117" i="2"/>
  <c r="L257" i="2"/>
  <c r="N304" i="6"/>
  <c r="N142" i="2"/>
  <c r="N222" i="2" s="1"/>
  <c r="F117" i="2"/>
  <c r="J117" i="2"/>
  <c r="C217" i="2"/>
  <c r="G217" i="2"/>
  <c r="K217" i="2"/>
  <c r="J257" i="2"/>
  <c r="M262" i="2"/>
  <c r="N247" i="2"/>
  <c r="N176" i="2"/>
  <c r="N285" i="6" s="1"/>
  <c r="N173" i="2"/>
  <c r="F261" i="2"/>
  <c r="H260" i="6"/>
  <c r="E25" i="2"/>
  <c r="I25" i="2"/>
  <c r="M157" i="6"/>
  <c r="J264" i="6"/>
  <c r="J260" i="6" s="1"/>
  <c r="O189" i="2"/>
  <c r="H257" i="6"/>
  <c r="H247" i="12"/>
  <c r="H407" i="12"/>
  <c r="I245" i="12"/>
  <c r="I294" i="12" s="1"/>
  <c r="I255" i="6"/>
  <c r="I405" i="12"/>
  <c r="M246" i="12"/>
  <c r="M295" i="12" s="1"/>
  <c r="M406" i="12"/>
  <c r="M256" i="6"/>
  <c r="H256" i="6"/>
  <c r="H246" i="12"/>
  <c r="E406" i="12"/>
  <c r="E246" i="12"/>
  <c r="E256" i="6"/>
  <c r="O384" i="12"/>
  <c r="O390" i="12" s="1"/>
  <c r="O387" i="12" s="1"/>
  <c r="J21" i="12"/>
  <c r="J6" i="12" s="1"/>
  <c r="K386" i="12"/>
  <c r="K384" i="12" s="1"/>
  <c r="K390" i="12" s="1"/>
  <c r="K387" i="12" s="1"/>
  <c r="D140" i="12"/>
  <c r="D366" i="12" s="1"/>
  <c r="L140" i="12"/>
  <c r="N37" i="12"/>
  <c r="L249" i="12"/>
  <c r="J247" i="12"/>
  <c r="B384" i="12"/>
  <c r="B390" i="12" s="1"/>
  <c r="B387" i="12" s="1"/>
  <c r="L248" i="12"/>
  <c r="L288" i="12" s="1"/>
  <c r="K278" i="6"/>
  <c r="O380" i="12"/>
  <c r="O21" i="12"/>
  <c r="O6" i="12" s="1"/>
  <c r="F247" i="12"/>
  <c r="J384" i="12"/>
  <c r="J390" i="12" s="1"/>
  <c r="J387" i="12" s="1"/>
  <c r="L199" i="12"/>
  <c r="O256" i="6"/>
  <c r="O406" i="12"/>
  <c r="O287" i="12"/>
  <c r="O37" i="12"/>
  <c r="J257" i="6"/>
  <c r="M247" i="12"/>
  <c r="G247" i="12"/>
  <c r="I247" i="12"/>
  <c r="O257" i="6"/>
  <c r="O255" i="6"/>
  <c r="E247" i="12"/>
  <c r="B247" i="12"/>
  <c r="B296" i="12" s="1"/>
  <c r="B257" i="6"/>
  <c r="F255" i="6"/>
  <c r="N406" i="12"/>
  <c r="N246" i="12"/>
  <c r="N256" i="6"/>
  <c r="C6" i="12"/>
  <c r="B255" i="6"/>
  <c r="J255" i="6"/>
  <c r="M199" i="12"/>
  <c r="E152" i="6"/>
  <c r="G178" i="6"/>
  <c r="G37" i="12"/>
  <c r="O199" i="12"/>
  <c r="O161" i="6"/>
  <c r="E131" i="6"/>
  <c r="O152" i="6"/>
  <c r="C260" i="6"/>
  <c r="G260" i="6"/>
  <c r="J184" i="6"/>
  <c r="N265" i="6"/>
  <c r="N152" i="6"/>
  <c r="E30" i="6"/>
  <c r="L30" i="6"/>
  <c r="K227" i="6"/>
  <c r="K225" i="6" s="1"/>
  <c r="K231" i="6" s="1"/>
  <c r="K228" i="6" s="1"/>
  <c r="N227" i="6"/>
  <c r="O265" i="6"/>
  <c r="F260" i="6"/>
  <c r="O287" i="6"/>
  <c r="O286" i="12"/>
  <c r="N309" i="6"/>
  <c r="N308" i="6" s="1"/>
  <c r="N287" i="6"/>
  <c r="N288" i="6"/>
  <c r="F30" i="6"/>
  <c r="L264" i="6"/>
  <c r="F287" i="12" l="1"/>
  <c r="F296" i="12"/>
  <c r="N289" i="12"/>
  <c r="N297" i="12"/>
  <c r="I286" i="12"/>
  <c r="I295" i="12"/>
  <c r="L286" i="12"/>
  <c r="L418" i="12" s="1"/>
  <c r="L295" i="12"/>
  <c r="L275" i="6" s="1"/>
  <c r="C286" i="12"/>
  <c r="C295" i="12"/>
  <c r="H286" i="12"/>
  <c r="H295" i="12"/>
  <c r="D287" i="12"/>
  <c r="D296" i="12"/>
  <c r="D413" i="12" s="1"/>
  <c r="E287" i="12"/>
  <c r="E296" i="12"/>
  <c r="H287" i="12"/>
  <c r="H296" i="12"/>
  <c r="D286" i="12"/>
  <c r="D295" i="12"/>
  <c r="M287" i="12"/>
  <c r="M296" i="12"/>
  <c r="L289" i="12"/>
  <c r="L297" i="12"/>
  <c r="L278" i="6" s="1"/>
  <c r="N286" i="12"/>
  <c r="N295" i="12"/>
  <c r="I287" i="12"/>
  <c r="I296" i="12"/>
  <c r="K287" i="12"/>
  <c r="K296" i="12"/>
  <c r="K413" i="12" s="1"/>
  <c r="L287" i="12"/>
  <c r="L298" i="6" s="1"/>
  <c r="L296" i="12"/>
  <c r="E286" i="12"/>
  <c r="E295" i="12"/>
  <c r="K286" i="12"/>
  <c r="K297" i="6" s="1"/>
  <c r="K295" i="12"/>
  <c r="K412" i="12" s="1"/>
  <c r="G287" i="12"/>
  <c r="G296" i="12"/>
  <c r="J287" i="12"/>
  <c r="J419" i="12" s="1"/>
  <c r="J296" i="12"/>
  <c r="J413" i="12" s="1"/>
  <c r="B294" i="12"/>
  <c r="I265" i="6"/>
  <c r="C275" i="6"/>
  <c r="C254" i="6"/>
  <c r="L261" i="2"/>
  <c r="E265" i="6"/>
  <c r="M310" i="6"/>
  <c r="N221" i="2"/>
  <c r="N236" i="2" s="1"/>
  <c r="N235" i="2" s="1"/>
  <c r="N234" i="2" s="1"/>
  <c r="N232" i="2" s="1"/>
  <c r="K266" i="6"/>
  <c r="K265" i="6" s="1"/>
  <c r="H289" i="6"/>
  <c r="L173" i="2"/>
  <c r="L250" i="2" s="1"/>
  <c r="E311" i="6"/>
  <c r="M168" i="2"/>
  <c r="M254" i="2" s="1"/>
  <c r="I142" i="2"/>
  <c r="I222" i="2" s="1"/>
  <c r="B289" i="6"/>
  <c r="N245" i="12"/>
  <c r="C287" i="12"/>
  <c r="C298" i="6" s="1"/>
  <c r="H142" i="2"/>
  <c r="H222" i="2" s="1"/>
  <c r="H221" i="2" s="1"/>
  <c r="H236" i="2" s="1"/>
  <c r="H235" i="2" s="1"/>
  <c r="H234" i="2" s="1"/>
  <c r="H232" i="2" s="1"/>
  <c r="M289" i="6"/>
  <c r="C311" i="6"/>
  <c r="L247" i="6"/>
  <c r="D142" i="2"/>
  <c r="D222" i="2" s="1"/>
  <c r="D221" i="2" s="1"/>
  <c r="D236" i="2" s="1"/>
  <c r="D235" i="2" s="1"/>
  <c r="D234" i="2" s="1"/>
  <c r="D232" i="2" s="1"/>
  <c r="E142" i="2"/>
  <c r="E222" i="2" s="1"/>
  <c r="H310" i="6"/>
  <c r="H288" i="6"/>
  <c r="N167" i="2"/>
  <c r="N253" i="2" s="1"/>
  <c r="V402" i="12"/>
  <c r="V401" i="12"/>
  <c r="S401" i="12"/>
  <c r="C309" i="6"/>
  <c r="V244" i="6"/>
  <c r="V246" i="6"/>
  <c r="V242" i="6"/>
  <c r="V245" i="6"/>
  <c r="V243" i="6"/>
  <c r="I288" i="6"/>
  <c r="G142" i="2"/>
  <c r="G222" i="2" s="1"/>
  <c r="G221" i="2" s="1"/>
  <c r="G236" i="2" s="1"/>
  <c r="G235" i="2" s="1"/>
  <c r="G234" i="2" s="1"/>
  <c r="G232" i="2" s="1"/>
  <c r="M136" i="6"/>
  <c r="L266" i="6"/>
  <c r="L265" i="6" s="1"/>
  <c r="J266" i="6"/>
  <c r="J265" i="6" s="1"/>
  <c r="D311" i="6"/>
  <c r="K311" i="6"/>
  <c r="L309" i="6"/>
  <c r="F289" i="6"/>
  <c r="F142" i="2"/>
  <c r="F222" i="2" s="1"/>
  <c r="F221" i="2" s="1"/>
  <c r="F236" i="2" s="1"/>
  <c r="F235" i="2" s="1"/>
  <c r="F234" i="2" s="1"/>
  <c r="F232" i="2" s="1"/>
  <c r="J142" i="2"/>
  <c r="J222" i="2" s="1"/>
  <c r="J221" i="2" s="1"/>
  <c r="J236" i="2" s="1"/>
  <c r="J235" i="2" s="1"/>
  <c r="J234" i="2" s="1"/>
  <c r="J232" i="2" s="1"/>
  <c r="E387" i="12"/>
  <c r="D255" i="6"/>
  <c r="D254" i="6" s="1"/>
  <c r="L260" i="6"/>
  <c r="J119" i="6"/>
  <c r="J121" i="6" s="1"/>
  <c r="J294" i="6" s="1"/>
  <c r="L174" i="2"/>
  <c r="L283" i="6" s="1"/>
  <c r="G285" i="12"/>
  <c r="G417" i="12" s="1"/>
  <c r="O262" i="2"/>
  <c r="S262" i="2"/>
  <c r="O254" i="6"/>
  <c r="L313" i="6"/>
  <c r="O122" i="6"/>
  <c r="S244" i="6"/>
  <c r="J247" i="6"/>
  <c r="J253" i="6"/>
  <c r="D119" i="6"/>
  <c r="D121" i="6" s="1"/>
  <c r="D218" i="6" s="1"/>
  <c r="D217" i="6" s="1"/>
  <c r="D204" i="6"/>
  <c r="D272" i="6" s="1"/>
  <c r="L204" i="6"/>
  <c r="L272" i="6" s="1"/>
  <c r="G205" i="6"/>
  <c r="G204" i="6" s="1"/>
  <c r="G236" i="6" s="1"/>
  <c r="G235" i="6" s="1"/>
  <c r="G234" i="6" s="1"/>
  <c r="G232" i="6" s="1"/>
  <c r="F204" i="6"/>
  <c r="F122" i="6" s="1"/>
  <c r="F248" i="6" s="1"/>
  <c r="O119" i="6"/>
  <c r="O121" i="6" s="1"/>
  <c r="J177" i="6"/>
  <c r="H265" i="6"/>
  <c r="M254" i="6"/>
  <c r="G254" i="6"/>
  <c r="L142" i="2"/>
  <c r="L222" i="2" s="1"/>
  <c r="L221" i="2" s="1"/>
  <c r="L236" i="2" s="1"/>
  <c r="L235" i="2" s="1"/>
  <c r="L234" i="2" s="1"/>
  <c r="L232" i="2" s="1"/>
  <c r="J310" i="6"/>
  <c r="L245" i="2"/>
  <c r="M174" i="2"/>
  <c r="M283" i="6" s="1"/>
  <c r="N377" i="12"/>
  <c r="C171" i="2"/>
  <c r="C307" i="6" s="1"/>
  <c r="C142" i="2"/>
  <c r="C222" i="2" s="1"/>
  <c r="C174" i="2"/>
  <c r="C283" i="6" s="1"/>
  <c r="J136" i="6"/>
  <c r="D266" i="6"/>
  <c r="D265" i="6" s="1"/>
  <c r="F310" i="6"/>
  <c r="G310" i="6"/>
  <c r="M261" i="2"/>
  <c r="N261" i="2"/>
  <c r="M176" i="2"/>
  <c r="B169" i="2"/>
  <c r="B305" i="6" s="1"/>
  <c r="B176" i="2"/>
  <c r="B285" i="6" s="1"/>
  <c r="H261" i="2"/>
  <c r="E261" i="2"/>
  <c r="D139" i="12"/>
  <c r="D363" i="12" s="1"/>
  <c r="D362" i="12" s="1"/>
  <c r="D404" i="12" s="1"/>
  <c r="E254" i="6"/>
  <c r="C205" i="6"/>
  <c r="C204" i="6" s="1"/>
  <c r="C272" i="6" s="1"/>
  <c r="I205" i="6"/>
  <c r="I204" i="6" s="1"/>
  <c r="I236" i="6" s="1"/>
  <c r="I235" i="6" s="1"/>
  <c r="I234" i="6" s="1"/>
  <c r="I232" i="6" s="1"/>
  <c r="F254" i="6"/>
  <c r="F271" i="6" s="1"/>
  <c r="F119" i="6"/>
  <c r="F121" i="6" s="1"/>
  <c r="J362" i="12"/>
  <c r="J404" i="12" s="1"/>
  <c r="C362" i="12"/>
  <c r="C404" i="12" s="1"/>
  <c r="M282" i="6"/>
  <c r="M250" i="2"/>
  <c r="L255" i="6"/>
  <c r="L254" i="6" s="1"/>
  <c r="L366" i="12"/>
  <c r="L405" i="12" s="1"/>
  <c r="O261" i="6"/>
  <c r="O83" i="2"/>
  <c r="O245" i="2" s="1"/>
  <c r="M230" i="2"/>
  <c r="M228" i="2" s="1"/>
  <c r="L139" i="12"/>
  <c r="L363" i="12" s="1"/>
  <c r="L362" i="12" s="1"/>
  <c r="L404" i="12" s="1"/>
  <c r="M362" i="12"/>
  <c r="M404" i="12" s="1"/>
  <c r="L291" i="6"/>
  <c r="K404" i="12"/>
  <c r="I254" i="6"/>
  <c r="B254" i="2"/>
  <c r="B173" i="2"/>
  <c r="H404" i="12"/>
  <c r="E404" i="12"/>
  <c r="G404" i="12"/>
  <c r="I404" i="12"/>
  <c r="J261" i="2"/>
  <c r="O177" i="6"/>
  <c r="F362" i="12"/>
  <c r="F404" i="12" s="1"/>
  <c r="N366" i="12"/>
  <c r="N405" i="12" s="1"/>
  <c r="N139" i="12"/>
  <c r="N363" i="12" s="1"/>
  <c r="N362" i="12" s="1"/>
  <c r="N404" i="12" s="1"/>
  <c r="I237" i="2"/>
  <c r="I223" i="2"/>
  <c r="H173" i="2"/>
  <c r="H168" i="2"/>
  <c r="H176" i="2"/>
  <c r="H285" i="6" s="1"/>
  <c r="H171" i="2"/>
  <c r="H307" i="6" s="1"/>
  <c r="K174" i="2"/>
  <c r="K283" i="6" s="1"/>
  <c r="K169" i="2"/>
  <c r="K305" i="6" s="1"/>
  <c r="D169" i="2"/>
  <c r="D305" i="6" s="1"/>
  <c r="D174" i="2"/>
  <c r="D283" i="6" s="1"/>
  <c r="E174" i="2"/>
  <c r="E283" i="6" s="1"/>
  <c r="E169" i="2"/>
  <c r="E305" i="6" s="1"/>
  <c r="K176" i="2"/>
  <c r="K285" i="6" s="1"/>
  <c r="K171" i="2"/>
  <c r="K307" i="6" s="1"/>
  <c r="F169" i="2"/>
  <c r="F305" i="6" s="1"/>
  <c r="F174" i="2"/>
  <c r="F283" i="6" s="1"/>
  <c r="E173" i="2"/>
  <c r="E168" i="2"/>
  <c r="E304" i="6" s="1"/>
  <c r="E171" i="2"/>
  <c r="E307" i="6" s="1"/>
  <c r="E176" i="2"/>
  <c r="E285" i="6" s="1"/>
  <c r="H169" i="2"/>
  <c r="H305" i="6" s="1"/>
  <c r="H174" i="2"/>
  <c r="H283" i="6" s="1"/>
  <c r="C173" i="2"/>
  <c r="C250" i="2" s="1"/>
  <c r="C168" i="2"/>
  <c r="I169" i="2"/>
  <c r="I305" i="6" s="1"/>
  <c r="I174" i="2"/>
  <c r="I283" i="6" s="1"/>
  <c r="E237" i="2"/>
  <c r="E223" i="2"/>
  <c r="J169" i="2"/>
  <c r="J305" i="6" s="1"/>
  <c r="J174" i="2"/>
  <c r="J283" i="6" s="1"/>
  <c r="I173" i="2"/>
  <c r="I168" i="2"/>
  <c r="I171" i="2"/>
  <c r="I307" i="6" s="1"/>
  <c r="I176" i="2"/>
  <c r="I285" i="6" s="1"/>
  <c r="F173" i="2"/>
  <c r="F168" i="2"/>
  <c r="F176" i="2"/>
  <c r="F285" i="6" s="1"/>
  <c r="F171" i="2"/>
  <c r="F307" i="6" s="1"/>
  <c r="G173" i="2"/>
  <c r="G168" i="2"/>
  <c r="G176" i="2"/>
  <c r="G285" i="6" s="1"/>
  <c r="G171" i="2"/>
  <c r="G307" i="6" s="1"/>
  <c r="D173" i="2"/>
  <c r="D168" i="2"/>
  <c r="D254" i="2" s="1"/>
  <c r="D176" i="2"/>
  <c r="D285" i="6" s="1"/>
  <c r="D171" i="2"/>
  <c r="D307" i="6" s="1"/>
  <c r="G174" i="2"/>
  <c r="G283" i="6" s="1"/>
  <c r="G169" i="2"/>
  <c r="G305" i="6" s="1"/>
  <c r="J168" i="2"/>
  <c r="J173" i="2"/>
  <c r="J250" i="2" s="1"/>
  <c r="J176" i="2"/>
  <c r="J285" i="6" s="1"/>
  <c r="J171" i="2"/>
  <c r="J307" i="6" s="1"/>
  <c r="K168" i="2"/>
  <c r="K173" i="2"/>
  <c r="L176" i="2"/>
  <c r="L285" i="6" s="1"/>
  <c r="L171" i="2"/>
  <c r="L167" i="2" s="1"/>
  <c r="O261" i="2"/>
  <c r="R261" i="2"/>
  <c r="I270" i="6"/>
  <c r="O144" i="2"/>
  <c r="O174" i="2" s="1"/>
  <c r="O251" i="2" s="1"/>
  <c r="O247" i="2"/>
  <c r="O262" i="6"/>
  <c r="B223" i="2"/>
  <c r="B237" i="2"/>
  <c r="C237" i="2"/>
  <c r="C223" i="2"/>
  <c r="O143" i="2"/>
  <c r="O246" i="2"/>
  <c r="O223" i="2"/>
  <c r="O237" i="2"/>
  <c r="N174" i="2"/>
  <c r="N172" i="2" s="1"/>
  <c r="N249" i="2" s="1"/>
  <c r="B404" i="12"/>
  <c r="I285" i="12"/>
  <c r="I284" i="12" s="1"/>
  <c r="I244" i="12"/>
  <c r="I376" i="12" s="1"/>
  <c r="F285" i="12"/>
  <c r="F296" i="6" s="1"/>
  <c r="F244" i="12"/>
  <c r="F376" i="12" s="1"/>
  <c r="M412" i="12"/>
  <c r="M286" i="12"/>
  <c r="M297" i="6" s="1"/>
  <c r="M285" i="12"/>
  <c r="M417" i="12" s="1"/>
  <c r="M244" i="12"/>
  <c r="M376" i="12" s="1"/>
  <c r="M375" i="12" s="1"/>
  <c r="J285" i="12"/>
  <c r="J244" i="12"/>
  <c r="J376" i="12" s="1"/>
  <c r="J275" i="6"/>
  <c r="J286" i="12"/>
  <c r="J297" i="6" s="1"/>
  <c r="H285" i="12"/>
  <c r="H284" i="12" s="1"/>
  <c r="H244" i="12"/>
  <c r="H376" i="12" s="1"/>
  <c r="G275" i="6"/>
  <c r="G286" i="12"/>
  <c r="G297" i="6" s="1"/>
  <c r="N287" i="12"/>
  <c r="N298" i="6" s="1"/>
  <c r="K285" i="12"/>
  <c r="K284" i="12" s="1"/>
  <c r="K416" i="12" s="1"/>
  <c r="K244" i="12"/>
  <c r="K376" i="12" s="1"/>
  <c r="C285" i="12"/>
  <c r="C244" i="12"/>
  <c r="C376" i="12" s="1"/>
  <c r="O285" i="12"/>
  <c r="O296" i="6" s="1"/>
  <c r="B296" i="6"/>
  <c r="E285" i="12"/>
  <c r="E244" i="12"/>
  <c r="E376" i="12" s="1"/>
  <c r="F286" i="12"/>
  <c r="F418" i="12" s="1"/>
  <c r="B244" i="12"/>
  <c r="B376" i="12" s="1"/>
  <c r="G244" i="12"/>
  <c r="G376" i="12" s="1"/>
  <c r="G375" i="12" s="1"/>
  <c r="C407" i="12"/>
  <c r="K418" i="12"/>
  <c r="F276" i="6"/>
  <c r="N276" i="6"/>
  <c r="B245" i="2"/>
  <c r="N255" i="2"/>
  <c r="M142" i="2"/>
  <c r="M222" i="2" s="1"/>
  <c r="M221" i="2" s="1"/>
  <c r="M236" i="2" s="1"/>
  <c r="M235" i="2" s="1"/>
  <c r="M234" i="2" s="1"/>
  <c r="M232" i="2" s="1"/>
  <c r="B266" i="6"/>
  <c r="B265" i="6" s="1"/>
  <c r="B417" i="12"/>
  <c r="N136" i="6"/>
  <c r="O274" i="6"/>
  <c r="B283" i="6"/>
  <c r="N305" i="6"/>
  <c r="N303" i="6" s="1"/>
  <c r="B304" i="6"/>
  <c r="N253" i="6"/>
  <c r="N247" i="6"/>
  <c r="L119" i="6"/>
  <c r="L121" i="6" s="1"/>
  <c r="L249" i="6" s="1"/>
  <c r="H313" i="6"/>
  <c r="E177" i="6"/>
  <c r="B142" i="2"/>
  <c r="B222" i="2" s="1"/>
  <c r="B291" i="6"/>
  <c r="B151" i="6"/>
  <c r="E247" i="6"/>
  <c r="E253" i="6"/>
  <c r="H205" i="6"/>
  <c r="H204" i="6" s="1"/>
  <c r="H119" i="6"/>
  <c r="H121" i="6" s="1"/>
  <c r="H253" i="6"/>
  <c r="H247" i="6"/>
  <c r="G218" i="6"/>
  <c r="G217" i="6" s="1"/>
  <c r="G294" i="6"/>
  <c r="G249" i="6"/>
  <c r="B119" i="6"/>
  <c r="B205" i="6"/>
  <c r="B204" i="6" s="1"/>
  <c r="L151" i="6"/>
  <c r="B247" i="6"/>
  <c r="B253" i="6"/>
  <c r="E205" i="6"/>
  <c r="E204" i="6" s="1"/>
  <c r="E119" i="6"/>
  <c r="E121" i="6" s="1"/>
  <c r="K205" i="6"/>
  <c r="K204" i="6" s="1"/>
  <c r="K272" i="6" s="1"/>
  <c r="K119" i="6"/>
  <c r="K121" i="6" s="1"/>
  <c r="L177" i="6"/>
  <c r="I218" i="6"/>
  <c r="I217" i="6" s="1"/>
  <c r="I294" i="6"/>
  <c r="I249" i="6"/>
  <c r="M119" i="6"/>
  <c r="C247" i="6"/>
  <c r="C253" i="6"/>
  <c r="C249" i="6"/>
  <c r="C294" i="6"/>
  <c r="C218" i="6"/>
  <c r="C217" i="6" s="1"/>
  <c r="I177" i="6"/>
  <c r="N119" i="6"/>
  <c r="N121" i="6" s="1"/>
  <c r="N151" i="6"/>
  <c r="G177" i="6"/>
  <c r="M151" i="6"/>
  <c r="D177" i="6"/>
  <c r="K177" i="6"/>
  <c r="F151" i="6"/>
  <c r="D151" i="6"/>
  <c r="J151" i="6"/>
  <c r="B177" i="6"/>
  <c r="N177" i="6"/>
  <c r="I151" i="6"/>
  <c r="M225" i="6"/>
  <c r="M231" i="6" s="1"/>
  <c r="M228" i="6" s="1"/>
  <c r="N225" i="6"/>
  <c r="N231" i="6" s="1"/>
  <c r="N228" i="6" s="1"/>
  <c r="G151" i="6"/>
  <c r="H177" i="6"/>
  <c r="C177" i="6"/>
  <c r="K151" i="6"/>
  <c r="H151" i="6"/>
  <c r="K254" i="6"/>
  <c r="C151" i="6"/>
  <c r="E151" i="6"/>
  <c r="F177" i="6"/>
  <c r="N254" i="6"/>
  <c r="O151" i="6"/>
  <c r="M177" i="6"/>
  <c r="H309" i="6"/>
  <c r="D298" i="6"/>
  <c r="D419" i="12"/>
  <c r="M411" i="12"/>
  <c r="B286" i="12"/>
  <c r="L406" i="12"/>
  <c r="J406" i="12"/>
  <c r="K298" i="6"/>
  <c r="K419" i="12"/>
  <c r="N300" i="6"/>
  <c r="N278" i="6"/>
  <c r="O289" i="12"/>
  <c r="O363" i="12"/>
  <c r="O362" i="12" s="1"/>
  <c r="O396" i="12"/>
  <c r="O298" i="6"/>
  <c r="O377" i="12"/>
  <c r="O407" i="12"/>
  <c r="H254" i="6"/>
  <c r="N270" i="6"/>
  <c r="G291" i="6"/>
  <c r="F291" i="6"/>
  <c r="N313" i="6"/>
  <c r="C291" i="6"/>
  <c r="I136" i="6"/>
  <c r="H291" i="6"/>
  <c r="L289" i="6"/>
  <c r="K289" i="6"/>
  <c r="M311" i="6"/>
  <c r="G266" i="6"/>
  <c r="G265" i="6" s="1"/>
  <c r="J311" i="6"/>
  <c r="K142" i="2"/>
  <c r="K222" i="2" s="1"/>
  <c r="K221" i="2" s="1"/>
  <c r="K236" i="2" s="1"/>
  <c r="K235" i="2" s="1"/>
  <c r="K234" i="2" s="1"/>
  <c r="K232" i="2" s="1"/>
  <c r="K261" i="2"/>
  <c r="M255" i="2"/>
  <c r="M305" i="6"/>
  <c r="L254" i="2"/>
  <c r="L304" i="6"/>
  <c r="N250" i="2"/>
  <c r="N282" i="6"/>
  <c r="C297" i="6"/>
  <c r="C418" i="12"/>
  <c r="L277" i="6"/>
  <c r="L245" i="12"/>
  <c r="L294" i="12" s="1"/>
  <c r="D405" i="12"/>
  <c r="D245" i="12"/>
  <c r="D294" i="12" s="1"/>
  <c r="C413" i="12"/>
  <c r="C276" i="6"/>
  <c r="B254" i="6"/>
  <c r="B287" i="12"/>
  <c r="K274" i="6"/>
  <c r="K411" i="12"/>
  <c r="J254" i="6"/>
  <c r="E411" i="12"/>
  <c r="E274" i="6"/>
  <c r="F298" i="6"/>
  <c r="F419" i="12"/>
  <c r="P406" i="12"/>
  <c r="G411" i="12"/>
  <c r="G274" i="6"/>
  <c r="O297" i="6"/>
  <c r="N286" i="6"/>
  <c r="L297" i="6" l="1"/>
  <c r="L419" i="12"/>
  <c r="J298" i="6"/>
  <c r="N244" i="12"/>
  <c r="N294" i="12"/>
  <c r="B288" i="6"/>
  <c r="C284" i="12"/>
  <c r="C416" i="12" s="1"/>
  <c r="C412" i="12"/>
  <c r="J218" i="6"/>
  <c r="J217" i="6" s="1"/>
  <c r="C271" i="6"/>
  <c r="D122" i="6"/>
  <c r="D248" i="6" s="1"/>
  <c r="D236" i="6"/>
  <c r="D235" i="6" s="1"/>
  <c r="D234" i="6" s="1"/>
  <c r="D232" i="6" s="1"/>
  <c r="I221" i="2"/>
  <c r="I236" i="2" s="1"/>
  <c r="I235" i="2" s="1"/>
  <c r="I234" i="2" s="1"/>
  <c r="I232" i="2" s="1"/>
  <c r="J243" i="2" s="1"/>
  <c r="F309" i="6"/>
  <c r="F308" i="6" s="1"/>
  <c r="L270" i="6"/>
  <c r="L271" i="6" s="1"/>
  <c r="I289" i="6"/>
  <c r="G418" i="12"/>
  <c r="C419" i="12"/>
  <c r="L282" i="6"/>
  <c r="L281" i="6" s="1"/>
  <c r="M304" i="6"/>
  <c r="M303" i="6" s="1"/>
  <c r="N285" i="12"/>
  <c r="N296" i="6" s="1"/>
  <c r="M167" i="2"/>
  <c r="M253" i="2" s="1"/>
  <c r="D249" i="6"/>
  <c r="H308" i="6"/>
  <c r="I122" i="6"/>
  <c r="I248" i="6" s="1"/>
  <c r="N410" i="12"/>
  <c r="I272" i="6"/>
  <c r="I244" i="6"/>
  <c r="K275" i="6"/>
  <c r="L287" i="6"/>
  <c r="G288" i="6"/>
  <c r="D276" i="6"/>
  <c r="E221" i="2"/>
  <c r="E236" i="2" s="1"/>
  <c r="E235" i="2" s="1"/>
  <c r="E234" i="2" s="1"/>
  <c r="E232" i="2" s="1"/>
  <c r="G243" i="2" s="1"/>
  <c r="D294" i="6"/>
  <c r="K167" i="2"/>
  <c r="J167" i="2"/>
  <c r="J253" i="2" s="1"/>
  <c r="D271" i="6"/>
  <c r="C310" i="6"/>
  <c r="C308" i="6" s="1"/>
  <c r="C288" i="6"/>
  <c r="F288" i="6"/>
  <c r="L172" i="2"/>
  <c r="L249" i="2" s="1"/>
  <c r="L307" i="6"/>
  <c r="L303" i="6" s="1"/>
  <c r="G172" i="2"/>
  <c r="G249" i="2" s="1"/>
  <c r="F172" i="2"/>
  <c r="F249" i="2" s="1"/>
  <c r="I172" i="2"/>
  <c r="I249" i="2" s="1"/>
  <c r="H172" i="2"/>
  <c r="H249" i="2" s="1"/>
  <c r="G272" i="6"/>
  <c r="J249" i="6"/>
  <c r="L236" i="6"/>
  <c r="L235" i="6" s="1"/>
  <c r="L234" i="6" s="1"/>
  <c r="L232" i="6" s="1"/>
  <c r="M121" i="6"/>
  <c r="M249" i="6" s="1"/>
  <c r="G284" i="12"/>
  <c r="G296" i="6"/>
  <c r="M418" i="12"/>
  <c r="O294" i="6"/>
  <c r="O218" i="6"/>
  <c r="O217" i="6" s="1"/>
  <c r="O260" i="6"/>
  <c r="M274" i="6"/>
  <c r="G122" i="6"/>
  <c r="G248" i="6" s="1"/>
  <c r="L122" i="6"/>
  <c r="L248" i="6" s="1"/>
  <c r="C122" i="6"/>
  <c r="C248" i="6" s="1"/>
  <c r="F272" i="6"/>
  <c r="F236" i="6"/>
  <c r="F235" i="6" s="1"/>
  <c r="F234" i="6" s="1"/>
  <c r="F232" i="6" s="1"/>
  <c r="C236" i="6"/>
  <c r="C235" i="6" s="1"/>
  <c r="C234" i="6" s="1"/>
  <c r="C232" i="6" s="1"/>
  <c r="E271" i="6"/>
  <c r="N294" i="6"/>
  <c r="G271" i="6"/>
  <c r="I271" i="6"/>
  <c r="J288" i="6"/>
  <c r="O248" i="6"/>
  <c r="C221" i="2"/>
  <c r="C236" i="2" s="1"/>
  <c r="C235" i="2" s="1"/>
  <c r="C234" i="2" s="1"/>
  <c r="C232" i="2" s="1"/>
  <c r="M172" i="2"/>
  <c r="M249" i="2" s="1"/>
  <c r="O142" i="2"/>
  <c r="O222" i="2" s="1"/>
  <c r="O221" i="2" s="1"/>
  <c r="O236" i="2" s="1"/>
  <c r="O235" i="2" s="1"/>
  <c r="O234" i="2" s="1"/>
  <c r="O232" i="2" s="1"/>
  <c r="O283" i="6"/>
  <c r="C167" i="2"/>
  <c r="C253" i="2" s="1"/>
  <c r="B309" i="6"/>
  <c r="B308" i="6" s="1"/>
  <c r="G412" i="12"/>
  <c r="C172" i="2"/>
  <c r="C249" i="2" s="1"/>
  <c r="B167" i="2"/>
  <c r="B253" i="2" s="1"/>
  <c r="G289" i="6"/>
  <c r="J289" i="6"/>
  <c r="B287" i="6"/>
  <c r="K310" i="6"/>
  <c r="G311" i="6"/>
  <c r="K288" i="6"/>
  <c r="N283" i="6"/>
  <c r="N281" i="6" s="1"/>
  <c r="C282" i="6"/>
  <c r="C281" i="6" s="1"/>
  <c r="M285" i="6"/>
  <c r="M281" i="6" s="1"/>
  <c r="D172" i="2"/>
  <c r="D249" i="2" s="1"/>
  <c r="B172" i="2"/>
  <c r="B249" i="2" s="1"/>
  <c r="N251" i="2"/>
  <c r="C296" i="6"/>
  <c r="C295" i="6" s="1"/>
  <c r="F297" i="6"/>
  <c r="F295" i="6" s="1"/>
  <c r="G410" i="12"/>
  <c r="F249" i="6"/>
  <c r="F294" i="6"/>
  <c r="F218" i="6"/>
  <c r="F217" i="6" s="1"/>
  <c r="G244" i="6"/>
  <c r="L244" i="6"/>
  <c r="M204" i="6"/>
  <c r="C375" i="12"/>
  <c r="C395" i="12" s="1"/>
  <c r="C394" i="12" s="1"/>
  <c r="C393" i="12" s="1"/>
  <c r="C391" i="12" s="1"/>
  <c r="K375" i="12"/>
  <c r="K395" i="12" s="1"/>
  <c r="K394" i="12" s="1"/>
  <c r="K393" i="12" s="1"/>
  <c r="K391" i="12" s="1"/>
  <c r="E167" i="2"/>
  <c r="E253" i="2" s="1"/>
  <c r="E375" i="12"/>
  <c r="E395" i="12" s="1"/>
  <c r="E394" i="12" s="1"/>
  <c r="E393" i="12" s="1"/>
  <c r="E391" i="12" s="1"/>
  <c r="G395" i="12"/>
  <c r="G394" i="12" s="1"/>
  <c r="G393" i="12" s="1"/>
  <c r="G391" i="12" s="1"/>
  <c r="H375" i="12"/>
  <c r="H395" i="12" s="1"/>
  <c r="H394" i="12" s="1"/>
  <c r="H393" i="12" s="1"/>
  <c r="H391" i="12" s="1"/>
  <c r="D167" i="2"/>
  <c r="D253" i="2" s="1"/>
  <c r="E172" i="2"/>
  <c r="E249" i="2" s="1"/>
  <c r="J204" i="6"/>
  <c r="J272" i="6" s="1"/>
  <c r="I375" i="12"/>
  <c r="I395" i="12" s="1"/>
  <c r="I394" i="12" s="1"/>
  <c r="I393" i="12" s="1"/>
  <c r="I391" i="12" s="1"/>
  <c r="J375" i="12"/>
  <c r="J395" i="12" s="1"/>
  <c r="J394" i="12" s="1"/>
  <c r="J393" i="12" s="1"/>
  <c r="J391" i="12" s="1"/>
  <c r="M395" i="12"/>
  <c r="M394" i="12" s="1"/>
  <c r="M393" i="12" s="1"/>
  <c r="M391" i="12" s="1"/>
  <c r="F375" i="12"/>
  <c r="F395" i="12" s="1"/>
  <c r="F394" i="12" s="1"/>
  <c r="F393" i="12" s="1"/>
  <c r="F391" i="12" s="1"/>
  <c r="K172" i="2"/>
  <c r="K249" i="2" s="1"/>
  <c r="J282" i="6"/>
  <c r="J281" i="6" s="1"/>
  <c r="J172" i="2"/>
  <c r="J249" i="2" s="1"/>
  <c r="G167" i="2"/>
  <c r="G253" i="2" s="1"/>
  <c r="F167" i="2"/>
  <c r="F253" i="2" s="1"/>
  <c r="I167" i="2"/>
  <c r="H167" i="2"/>
  <c r="H253" i="2" s="1"/>
  <c r="Q244" i="6"/>
  <c r="E303" i="6"/>
  <c r="G250" i="2"/>
  <c r="G282" i="6"/>
  <c r="G281" i="6" s="1"/>
  <c r="F250" i="2"/>
  <c r="F282" i="6"/>
  <c r="F281" i="6" s="1"/>
  <c r="I282" i="6"/>
  <c r="I281" i="6" s="1"/>
  <c r="I250" i="2"/>
  <c r="H250" i="2"/>
  <c r="H282" i="6"/>
  <c r="H281" i="6" s="1"/>
  <c r="D304" i="6"/>
  <c r="D303" i="6" s="1"/>
  <c r="E254" i="2"/>
  <c r="D250" i="2"/>
  <c r="D282" i="6"/>
  <c r="D281" i="6" s="1"/>
  <c r="E282" i="6"/>
  <c r="E281" i="6" s="1"/>
  <c r="E250" i="2"/>
  <c r="J304" i="6"/>
  <c r="J303" i="6" s="1"/>
  <c r="J254" i="2"/>
  <c r="G304" i="6"/>
  <c r="G303" i="6" s="1"/>
  <c r="G254" i="2"/>
  <c r="F254" i="2"/>
  <c r="F304" i="6"/>
  <c r="F303" i="6" s="1"/>
  <c r="I304" i="6"/>
  <c r="I303" i="6" s="1"/>
  <c r="I254" i="2"/>
  <c r="C254" i="2"/>
  <c r="C304" i="6"/>
  <c r="C303" i="6" s="1"/>
  <c r="H304" i="6"/>
  <c r="H303" i="6" s="1"/>
  <c r="H254" i="2"/>
  <c r="B221" i="2"/>
  <c r="B236" i="2" s="1"/>
  <c r="B235" i="2" s="1"/>
  <c r="B234" i="2" s="1"/>
  <c r="B232" i="2" s="1"/>
  <c r="L311" i="6"/>
  <c r="O169" i="2"/>
  <c r="O255" i="2" s="1"/>
  <c r="I291" i="6"/>
  <c r="B375" i="12"/>
  <c r="B395" i="12" s="1"/>
  <c r="B394" i="12" s="1"/>
  <c r="B393" i="12" s="1"/>
  <c r="B391" i="12" s="1"/>
  <c r="O173" i="2"/>
  <c r="O172" i="2" s="1"/>
  <c r="O168" i="2"/>
  <c r="O313" i="6"/>
  <c r="M243" i="2"/>
  <c r="N413" i="12"/>
  <c r="J418" i="12"/>
  <c r="N419" i="12"/>
  <c r="M275" i="6"/>
  <c r="J276" i="6"/>
  <c r="F410" i="12"/>
  <c r="O411" i="12"/>
  <c r="O417" i="12"/>
  <c r="K417" i="12"/>
  <c r="J284" i="12"/>
  <c r="J416" i="12" s="1"/>
  <c r="M284" i="12"/>
  <c r="M416" i="12" s="1"/>
  <c r="K296" i="6"/>
  <c r="K295" i="6" s="1"/>
  <c r="B284" i="12"/>
  <c r="B416" i="12" s="1"/>
  <c r="F274" i="6"/>
  <c r="F411" i="12"/>
  <c r="F275" i="6"/>
  <c r="F412" i="12"/>
  <c r="O376" i="12"/>
  <c r="O375" i="12" s="1"/>
  <c r="C417" i="12"/>
  <c r="J412" i="12"/>
  <c r="M296" i="6"/>
  <c r="D285" i="12"/>
  <c r="D284" i="12" s="1"/>
  <c r="D244" i="12"/>
  <c r="D376" i="12" s="1"/>
  <c r="L285" i="12"/>
  <c r="L284" i="12" s="1"/>
  <c r="L244" i="12"/>
  <c r="L376" i="12" s="1"/>
  <c r="B274" i="6"/>
  <c r="B411" i="12"/>
  <c r="E284" i="12"/>
  <c r="E296" i="6"/>
  <c r="E417" i="12"/>
  <c r="O284" i="12"/>
  <c r="F284" i="12"/>
  <c r="F416" i="12" s="1"/>
  <c r="E410" i="12"/>
  <c r="F413" i="12"/>
  <c r="O419" i="12"/>
  <c r="J410" i="12"/>
  <c r="L413" i="12"/>
  <c r="L276" i="6"/>
  <c r="K276" i="6"/>
  <c r="N243" i="2"/>
  <c r="F417" i="12"/>
  <c r="M410" i="12"/>
  <c r="J296" i="6"/>
  <c r="J295" i="6" s="1"/>
  <c r="J417" i="12"/>
  <c r="J274" i="6"/>
  <c r="J411" i="12"/>
  <c r="D297" i="6"/>
  <c r="D418" i="12"/>
  <c r="L412" i="12"/>
  <c r="D412" i="12"/>
  <c r="D275" i="6"/>
  <c r="H410" i="12"/>
  <c r="H287" i="6"/>
  <c r="H286" i="6" s="1"/>
  <c r="R244" i="6"/>
  <c r="N249" i="6"/>
  <c r="B303" i="6"/>
  <c r="B271" i="6"/>
  <c r="O247" i="6"/>
  <c r="O249" i="6"/>
  <c r="O253" i="6"/>
  <c r="L218" i="6"/>
  <c r="L217" i="6" s="1"/>
  <c r="L294" i="6"/>
  <c r="L288" i="6"/>
  <c r="L310" i="6"/>
  <c r="K236" i="6"/>
  <c r="K235" i="6" s="1"/>
  <c r="K234" i="6" s="1"/>
  <c r="K232" i="6" s="1"/>
  <c r="K270" i="6"/>
  <c r="K271" i="6" s="1"/>
  <c r="K309" i="6"/>
  <c r="B282" i="6"/>
  <c r="B281" i="6" s="1"/>
  <c r="B250" i="2"/>
  <c r="H271" i="6"/>
  <c r="K122" i="6"/>
  <c r="K248" i="6" s="1"/>
  <c r="E249" i="6"/>
  <c r="E294" i="6"/>
  <c r="E218" i="6"/>
  <c r="E217" i="6" s="1"/>
  <c r="F244" i="6"/>
  <c r="H218" i="6"/>
  <c r="H217" i="6" s="1"/>
  <c r="H294" i="6"/>
  <c r="H249" i="6"/>
  <c r="H244" i="6"/>
  <c r="E236" i="6"/>
  <c r="E235" i="6" s="1"/>
  <c r="E234" i="6" s="1"/>
  <c r="E232" i="6" s="1"/>
  <c r="E272" i="6"/>
  <c r="E122" i="6"/>
  <c r="E248" i="6" s="1"/>
  <c r="B236" i="6"/>
  <c r="B235" i="6" s="1"/>
  <c r="B234" i="6" s="1"/>
  <c r="B232" i="6" s="1"/>
  <c r="B272" i="6"/>
  <c r="B122" i="6"/>
  <c r="B248" i="6" s="1"/>
  <c r="H272" i="6"/>
  <c r="H236" i="6"/>
  <c r="H235" i="6" s="1"/>
  <c r="H234" i="6" s="1"/>
  <c r="H232" i="6" s="1"/>
  <c r="H122" i="6"/>
  <c r="H248" i="6" s="1"/>
  <c r="K244" i="6"/>
  <c r="J244" i="6"/>
  <c r="K218" i="6"/>
  <c r="K217" i="6" s="1"/>
  <c r="K294" i="6"/>
  <c r="K249" i="6"/>
  <c r="B249" i="6"/>
  <c r="B121" i="6"/>
  <c r="B294" i="6"/>
  <c r="B218" i="6"/>
  <c r="B217" i="6" s="1"/>
  <c r="N218" i="6"/>
  <c r="N217" i="6" s="1"/>
  <c r="K287" i="6"/>
  <c r="I275" i="6"/>
  <c r="I412" i="12"/>
  <c r="C274" i="6"/>
  <c r="C273" i="6" s="1"/>
  <c r="C411" i="12"/>
  <c r="C410" i="12"/>
  <c r="B418" i="12"/>
  <c r="B297" i="6"/>
  <c r="H296" i="6"/>
  <c r="H417" i="12"/>
  <c r="B275" i="6"/>
  <c r="B412" i="12"/>
  <c r="H274" i="6"/>
  <c r="H411" i="12"/>
  <c r="K410" i="12"/>
  <c r="I418" i="12"/>
  <c r="I297" i="6"/>
  <c r="O276" i="6"/>
  <c r="O413" i="12"/>
  <c r="O300" i="6"/>
  <c r="O295" i="6" s="1"/>
  <c r="N291" i="6"/>
  <c r="O291" i="6"/>
  <c r="M309" i="6"/>
  <c r="M308" i="6" s="1"/>
  <c r="E287" i="6"/>
  <c r="D310" i="6"/>
  <c r="E310" i="6"/>
  <c r="F287" i="6"/>
  <c r="M287" i="6"/>
  <c r="M286" i="6" s="1"/>
  <c r="J309" i="6"/>
  <c r="J308" i="6" s="1"/>
  <c r="I309" i="6"/>
  <c r="I308" i="6" s="1"/>
  <c r="E288" i="6"/>
  <c r="D288" i="6"/>
  <c r="I287" i="6"/>
  <c r="K304" i="6"/>
  <c r="K303" i="6" s="1"/>
  <c r="K254" i="2"/>
  <c r="K250" i="2"/>
  <c r="K282" i="6"/>
  <c r="K281" i="6" s="1"/>
  <c r="N376" i="12"/>
  <c r="E275" i="6"/>
  <c r="E412" i="12"/>
  <c r="I296" i="6"/>
  <c r="I417" i="12"/>
  <c r="E297" i="6"/>
  <c r="E418" i="12"/>
  <c r="I411" i="12"/>
  <c r="I274" i="6"/>
  <c r="H413" i="12"/>
  <c r="H276" i="6"/>
  <c r="H297" i="6"/>
  <c r="H418" i="12"/>
  <c r="H416" i="12"/>
  <c r="H298" i="6"/>
  <c r="H419" i="12"/>
  <c r="H412" i="12"/>
  <c r="H275" i="6"/>
  <c r="B298" i="6"/>
  <c r="B419" i="12"/>
  <c r="E419" i="12"/>
  <c r="E298" i="6"/>
  <c r="G413" i="12"/>
  <c r="G276" i="6"/>
  <c r="G273" i="6" s="1"/>
  <c r="E276" i="6"/>
  <c r="E413" i="12"/>
  <c r="G298" i="6"/>
  <c r="G419" i="12"/>
  <c r="I298" i="6"/>
  <c r="I419" i="12"/>
  <c r="I276" i="6"/>
  <c r="I413" i="12"/>
  <c r="I410" i="12"/>
  <c r="N412" i="12"/>
  <c r="N275" i="6"/>
  <c r="M413" i="12"/>
  <c r="M276" i="6"/>
  <c r="B276" i="6"/>
  <c r="B413" i="12"/>
  <c r="B410" i="12"/>
  <c r="N297" i="6"/>
  <c r="N418" i="12"/>
  <c r="M298" i="6"/>
  <c r="M419" i="12"/>
  <c r="O418" i="12"/>
  <c r="O412" i="12"/>
  <c r="O275" i="6"/>
  <c r="O288" i="6"/>
  <c r="O286" i="6" s="1"/>
  <c r="L253" i="2"/>
  <c r="B286" i="6" l="1"/>
  <c r="E309" i="6"/>
  <c r="E308" i="6" s="1"/>
  <c r="J287" i="6"/>
  <c r="J286" i="6" s="1"/>
  <c r="J246" i="6"/>
  <c r="L286" i="6"/>
  <c r="O244" i="6"/>
  <c r="M242" i="2"/>
  <c r="I286" i="6"/>
  <c r="N274" i="6"/>
  <c r="N273" i="6" s="1"/>
  <c r="N417" i="12"/>
  <c r="N242" i="2"/>
  <c r="N411" i="12"/>
  <c r="N284" i="12"/>
  <c r="O401" i="12" s="1"/>
  <c r="K273" i="6"/>
  <c r="I243" i="2"/>
  <c r="C287" i="6"/>
  <c r="C286" i="6" s="1"/>
  <c r="C293" i="6" s="1"/>
  <c r="N244" i="2"/>
  <c r="G242" i="2"/>
  <c r="K253" i="2"/>
  <c r="M244" i="2"/>
  <c r="H244" i="2"/>
  <c r="G295" i="6"/>
  <c r="N244" i="6"/>
  <c r="M294" i="6"/>
  <c r="M244" i="6"/>
  <c r="F286" i="6"/>
  <c r="M218" i="6"/>
  <c r="M217" i="6" s="1"/>
  <c r="N246" i="6" s="1"/>
  <c r="I242" i="2"/>
  <c r="G244" i="2"/>
  <c r="J242" i="2"/>
  <c r="I253" i="2"/>
  <c r="F243" i="2"/>
  <c r="L242" i="2"/>
  <c r="H243" i="2"/>
  <c r="I243" i="6"/>
  <c r="M272" i="6"/>
  <c r="M122" i="6"/>
  <c r="M248" i="6" s="1"/>
  <c r="G243" i="6"/>
  <c r="N295" i="6"/>
  <c r="N315" i="6" s="1"/>
  <c r="N204" i="6"/>
  <c r="N122" i="6" s="1"/>
  <c r="N248" i="6" s="1"/>
  <c r="O272" i="6"/>
  <c r="M236" i="6"/>
  <c r="M235" i="6" s="1"/>
  <c r="M234" i="6" s="1"/>
  <c r="M232" i="6" s="1"/>
  <c r="F242" i="2"/>
  <c r="I313" i="6"/>
  <c r="Q243" i="2"/>
  <c r="O243" i="2"/>
  <c r="O167" i="2"/>
  <c r="F244" i="2"/>
  <c r="P243" i="2"/>
  <c r="J402" i="12"/>
  <c r="D287" i="6"/>
  <c r="D286" i="6" s="1"/>
  <c r="D309" i="6"/>
  <c r="D308" i="6" s="1"/>
  <c r="K286" i="6"/>
  <c r="K308" i="6"/>
  <c r="K244" i="2"/>
  <c r="I244" i="2"/>
  <c r="H242" i="2"/>
  <c r="L244" i="2"/>
  <c r="J244" i="2"/>
  <c r="K402" i="12"/>
  <c r="H402" i="12"/>
  <c r="C315" i="6"/>
  <c r="F243" i="6"/>
  <c r="L308" i="6"/>
  <c r="J236" i="6"/>
  <c r="J235" i="6" s="1"/>
  <c r="J234" i="6" s="1"/>
  <c r="J232" i="6" s="1"/>
  <c r="K243" i="6" s="1"/>
  <c r="J122" i="6"/>
  <c r="J248" i="6" s="1"/>
  <c r="F242" i="6"/>
  <c r="I402" i="12"/>
  <c r="O305" i="6"/>
  <c r="J273" i="6"/>
  <c r="L375" i="12"/>
  <c r="L395" i="12" s="1"/>
  <c r="L394" i="12" s="1"/>
  <c r="L393" i="12" s="1"/>
  <c r="L391" i="12" s="1"/>
  <c r="D375" i="12"/>
  <c r="D395" i="12" s="1"/>
  <c r="D394" i="12" s="1"/>
  <c r="D393" i="12" s="1"/>
  <c r="D391" i="12" s="1"/>
  <c r="L243" i="2"/>
  <c r="K243" i="2"/>
  <c r="O304" i="6"/>
  <c r="O254" i="2"/>
  <c r="N375" i="12"/>
  <c r="N395" i="12" s="1"/>
  <c r="N394" i="12" s="1"/>
  <c r="N393" i="12" s="1"/>
  <c r="N391" i="12" s="1"/>
  <c r="O250" i="2"/>
  <c r="O249" i="2"/>
  <c r="O282" i="6"/>
  <c r="O281" i="6" s="1"/>
  <c r="R401" i="12"/>
  <c r="R403" i="12"/>
  <c r="O236" i="6"/>
  <c r="O235" i="6" s="1"/>
  <c r="O234" i="6" s="1"/>
  <c r="O232" i="6" s="1"/>
  <c r="K242" i="2"/>
  <c r="M295" i="6"/>
  <c r="M273" i="6"/>
  <c r="F273" i="6"/>
  <c r="E295" i="6"/>
  <c r="F315" i="6"/>
  <c r="H243" i="6"/>
  <c r="K313" i="6"/>
  <c r="K291" i="6"/>
  <c r="B273" i="6"/>
  <c r="H245" i="6"/>
  <c r="H242" i="6"/>
  <c r="H246" i="6"/>
  <c r="J242" i="6"/>
  <c r="I246" i="6"/>
  <c r="I245" i="6"/>
  <c r="J245" i="6"/>
  <c r="F245" i="6"/>
  <c r="F246" i="6"/>
  <c r="G245" i="6"/>
  <c r="G246" i="6"/>
  <c r="K242" i="6"/>
  <c r="L242" i="6"/>
  <c r="K246" i="6"/>
  <c r="L246" i="6"/>
  <c r="K245" i="6"/>
  <c r="L245" i="6"/>
  <c r="I242" i="6"/>
  <c r="G242" i="6"/>
  <c r="Q217" i="6"/>
  <c r="R242" i="6" s="1"/>
  <c r="B295" i="6"/>
  <c r="B315" i="6" s="1"/>
  <c r="O416" i="12"/>
  <c r="I273" i="6"/>
  <c r="O278" i="6"/>
  <c r="O273" i="6" s="1"/>
  <c r="O410" i="12"/>
  <c r="E273" i="6"/>
  <c r="H295" i="6"/>
  <c r="H315" i="6" s="1"/>
  <c r="O404" i="12"/>
  <c r="M270" i="6"/>
  <c r="M271" i="6" s="1"/>
  <c r="J270" i="6"/>
  <c r="J271" i="6" s="1"/>
  <c r="G309" i="6"/>
  <c r="G308" i="6" s="1"/>
  <c r="G287" i="6"/>
  <c r="G286" i="6" s="1"/>
  <c r="G293" i="6" s="1"/>
  <c r="E286" i="6"/>
  <c r="I295" i="6"/>
  <c r="H273" i="6"/>
  <c r="L274" i="6"/>
  <c r="L273" i="6" s="1"/>
  <c r="L411" i="12"/>
  <c r="L410" i="12"/>
  <c r="L403" i="12"/>
  <c r="L296" i="6"/>
  <c r="L295" i="6" s="1"/>
  <c r="L417" i="12"/>
  <c r="D296" i="6"/>
  <c r="D295" i="6" s="1"/>
  <c r="D417" i="12"/>
  <c r="D416" i="12"/>
  <c r="D274" i="6"/>
  <c r="D273" i="6" s="1"/>
  <c r="D411" i="12"/>
  <c r="D410" i="12"/>
  <c r="I416" i="12"/>
  <c r="I401" i="12"/>
  <c r="I403" i="12"/>
  <c r="K401" i="12"/>
  <c r="K403" i="12"/>
  <c r="J403" i="12"/>
  <c r="J401" i="12"/>
  <c r="G416" i="12"/>
  <c r="H403" i="12"/>
  <c r="H401" i="12"/>
  <c r="P418" i="12"/>
  <c r="P417" i="12"/>
  <c r="P412" i="12"/>
  <c r="P411" i="12"/>
  <c r="E416" i="12"/>
  <c r="B293" i="6" l="1"/>
  <c r="I293" i="6"/>
  <c r="L293" i="6"/>
  <c r="Q403" i="12"/>
  <c r="Q401" i="12"/>
  <c r="N416" i="12"/>
  <c r="K293" i="6"/>
  <c r="M245" i="6"/>
  <c r="M246" i="6"/>
  <c r="N245" i="6"/>
  <c r="N242" i="6"/>
  <c r="M242" i="6"/>
  <c r="G315" i="6"/>
  <c r="F293" i="6"/>
  <c r="S246" i="6"/>
  <c r="S245" i="6"/>
  <c r="S242" i="6"/>
  <c r="O293" i="6"/>
  <c r="N272" i="6"/>
  <c r="N293" i="6" s="1"/>
  <c r="N236" i="6"/>
  <c r="N235" i="6" s="1"/>
  <c r="N234" i="6" s="1"/>
  <c r="N232" i="6" s="1"/>
  <c r="N243" i="6" s="1"/>
  <c r="M243" i="6"/>
  <c r="K315" i="6"/>
  <c r="D315" i="6"/>
  <c r="J243" i="6"/>
  <c r="L243" i="6"/>
  <c r="I315" i="6"/>
  <c r="O303" i="6"/>
  <c r="O315" i="6" s="1"/>
  <c r="M402" i="12"/>
  <c r="L402" i="12"/>
  <c r="G402" i="12"/>
  <c r="F402" i="12"/>
  <c r="N402" i="12"/>
  <c r="L315" i="6"/>
  <c r="O244" i="2"/>
  <c r="O253" i="2"/>
  <c r="P242" i="2"/>
  <c r="O242" i="2"/>
  <c r="Q242" i="2"/>
  <c r="Q244" i="2"/>
  <c r="P244" i="2"/>
  <c r="E315" i="6"/>
  <c r="F403" i="12"/>
  <c r="O242" i="6"/>
  <c r="O245" i="6"/>
  <c r="O246" i="6"/>
  <c r="R245" i="6"/>
  <c r="Q246" i="6"/>
  <c r="R246" i="6"/>
  <c r="Q245" i="6"/>
  <c r="Q242" i="6"/>
  <c r="N401" i="12"/>
  <c r="N403" i="12"/>
  <c r="H293" i="6"/>
  <c r="D293" i="6"/>
  <c r="G401" i="12"/>
  <c r="O395" i="12"/>
  <c r="O403" i="12"/>
  <c r="G403" i="12"/>
  <c r="F401" i="12"/>
  <c r="E293" i="6"/>
  <c r="J313" i="6"/>
  <c r="J315" i="6" s="1"/>
  <c r="J291" i="6"/>
  <c r="J293" i="6" s="1"/>
  <c r="M291" i="6"/>
  <c r="M293" i="6" s="1"/>
  <c r="M313" i="6"/>
  <c r="M315" i="6" s="1"/>
  <c r="M403" i="12"/>
  <c r="L416" i="12"/>
  <c r="M401" i="12"/>
  <c r="L401" i="12"/>
  <c r="O243" i="6" l="1"/>
  <c r="O394" i="12"/>
  <c r="P396" i="12"/>
  <c r="P397" i="12"/>
  <c r="O393" i="12" l="1"/>
  <c r="P377" i="12"/>
  <c r="O391" i="12" l="1"/>
  <c r="O402" i="12" l="1"/>
  <c r="P230" i="6" l="1"/>
  <c r="P177" i="6"/>
  <c r="P229" i="6"/>
  <c r="P7" i="6" l="1"/>
  <c r="P226" i="6" s="1"/>
  <c r="M5" i="4"/>
  <c r="N5" i="4" l="1"/>
  <c r="O5" i="4" s="1"/>
  <c r="O2" i="4" s="1"/>
  <c r="P49" i="6" l="1"/>
  <c r="P67" i="6" l="1"/>
  <c r="P201" i="6" l="1"/>
  <c r="P200" i="6" s="1"/>
  <c r="P23" i="6"/>
  <c r="P6" i="6" s="1"/>
  <c r="P31" i="6"/>
  <c r="W244" i="6" l="1"/>
  <c r="W246" i="6"/>
  <c r="W242" i="6"/>
  <c r="W245" i="6"/>
  <c r="W243" i="6"/>
  <c r="T244" i="6"/>
  <c r="T246" i="6"/>
  <c r="P242" i="6"/>
  <c r="T245" i="6"/>
  <c r="T242" i="6"/>
  <c r="P245" i="6"/>
  <c r="P246" i="6"/>
  <c r="P244" i="6"/>
  <c r="P227" i="6"/>
  <c r="P225" i="6" s="1"/>
  <c r="P231" i="6" s="1"/>
  <c r="P228" i="6" s="1"/>
  <c r="P30" i="6"/>
  <c r="A83" i="6" l="1"/>
  <c r="P407" i="12" l="1"/>
  <c r="P376" i="12" l="1"/>
  <c r="P404" i="12"/>
  <c r="P375" i="12" l="1"/>
  <c r="P395" i="12" s="1"/>
  <c r="P394" i="12" s="1"/>
  <c r="P393" i="12" s="1"/>
  <c r="P391" i="12" s="1"/>
  <c r="S402" i="12" s="1"/>
  <c r="P419" i="12"/>
  <c r="P413" i="12"/>
  <c r="P410" i="12"/>
  <c r="R402" i="12" l="1"/>
  <c r="Q402" i="12"/>
  <c r="P402" i="12"/>
  <c r="P416" i="12"/>
  <c r="P403" i="12"/>
  <c r="P401" i="12"/>
  <c r="P236" i="6" l="1"/>
  <c r="P235" i="6" s="1"/>
  <c r="P234" i="6" s="1"/>
  <c r="P232" i="6" s="1"/>
  <c r="P243" i="6" s="1"/>
  <c r="Q232" i="6" l="1"/>
  <c r="R243" i="6" s="1"/>
  <c r="S243" i="6" l="1"/>
  <c r="T243" i="6"/>
  <c r="Q243" i="6"/>
  <c r="X136" i="6" l="1"/>
  <c r="U136" i="6"/>
  <c r="Y205" i="12"/>
  <c r="Y250" i="12" s="1"/>
  <c r="Y290" i="12" s="1"/>
  <c r="Y298" i="12" s="1"/>
  <c r="Y226" i="12"/>
  <c r="Y199" i="12" s="1"/>
  <c r="Y284" i="12" l="1"/>
  <c r="Y301" i="6"/>
  <c r="Y295" i="6" s="1"/>
  <c r="Y315" i="6" s="1"/>
  <c r="Y244" i="12"/>
  <c r="Y376" i="12" s="1"/>
  <c r="Y375" i="12" s="1"/>
  <c r="AC401" i="12" l="1"/>
  <c r="AB401" i="12"/>
  <c r="AB403" i="12"/>
  <c r="Z401" i="12"/>
  <c r="Y401" i="12"/>
  <c r="Y403" i="12"/>
  <c r="Y395" i="12"/>
  <c r="Y394" i="12" s="1"/>
  <c r="Y393" i="12" s="1"/>
  <c r="Y391" i="12" s="1"/>
  <c r="AB402" i="12" s="1"/>
  <c r="Y279" i="6"/>
  <c r="Z402" i="12" l="1"/>
  <c r="Y273" i="6"/>
  <c r="Y402" i="12"/>
  <c r="Y410" i="12"/>
  <c r="Y416" i="12"/>
  <c r="AC291" i="6" l="1"/>
  <c r="AC313" i="6"/>
  <c r="AC270" i="6" l="1"/>
  <c r="AC315" i="6"/>
  <c r="AG131" i="2" l="1"/>
  <c r="AJ121" i="2"/>
  <c r="AG121" i="2" s="1"/>
  <c r="AH131" i="2" l="1"/>
  <c r="AI131" i="2" s="1"/>
  <c r="AH121" i="2" l="1"/>
  <c r="AI121" i="2" l="1"/>
  <c r="AL320" i="12" l="1"/>
  <c r="AI320" i="12" s="1"/>
  <c r="AL319" i="12"/>
  <c r="AI319" i="12" s="1"/>
  <c r="AL318" i="12"/>
  <c r="AI318" i="12" s="1"/>
  <c r="AL316" i="12"/>
  <c r="AL317" i="12"/>
  <c r="AI317" i="12" s="1"/>
  <c r="AL315" i="12" l="1"/>
  <c r="AI316" i="12"/>
  <c r="AI315" i="12" s="1"/>
  <c r="AI10" i="12" l="1"/>
  <c r="AI8" i="12" l="1"/>
  <c r="AI34" i="12"/>
  <c r="AI33" i="12"/>
  <c r="AI35" i="12"/>
  <c r="AI36" i="12"/>
  <c r="AI29" i="12"/>
  <c r="AI120" i="12"/>
  <c r="AI276" i="12"/>
  <c r="AI353" i="12"/>
  <c r="AI197" i="12"/>
  <c r="AI181" i="12"/>
  <c r="AI121" i="12"/>
  <c r="AI99" i="12"/>
  <c r="AI160" i="12"/>
  <c r="AI352" i="12"/>
  <c r="AI98" i="12"/>
  <c r="AI273" i="12"/>
  <c r="AI196" i="12"/>
  <c r="AI212" i="12"/>
  <c r="AI194" i="12"/>
  <c r="AI193" i="12"/>
  <c r="AI195" i="12"/>
  <c r="AI157" i="12"/>
  <c r="AI132" i="12"/>
  <c r="AI118" i="12"/>
  <c r="AI117" i="12"/>
  <c r="AI111" i="12"/>
  <c r="AI112" i="12"/>
  <c r="AI95" i="12"/>
  <c r="AI97" i="12"/>
  <c r="AI135" i="12" l="1"/>
  <c r="AI209" i="12"/>
  <c r="AI136" i="12"/>
  <c r="AI44" i="12"/>
  <c r="AI27" i="12"/>
  <c r="AI344" i="12"/>
  <c r="AI266" i="12"/>
  <c r="AI270" i="12"/>
  <c r="AI119" i="12"/>
  <c r="AI172" i="12"/>
  <c r="AI269" i="12"/>
  <c r="AI26" i="12"/>
  <c r="AI219" i="12"/>
  <c r="AI180" i="12"/>
  <c r="AI218" i="12"/>
  <c r="AI351" i="12"/>
  <c r="AI229" i="12"/>
  <c r="AI263" i="12"/>
  <c r="AI156" i="12"/>
  <c r="AI178" i="12"/>
  <c r="AI133" i="12"/>
  <c r="AI96" i="12"/>
  <c r="AI185" i="12"/>
  <c r="AI173" i="12"/>
  <c r="AI228" i="12"/>
  <c r="AL425" i="12"/>
  <c r="AI171" i="12"/>
  <c r="AI210" i="12"/>
  <c r="AI221" i="12"/>
  <c r="AI264" i="12"/>
  <c r="AI214" i="12"/>
  <c r="AI189" i="12"/>
  <c r="AI213" i="12"/>
  <c r="AI177" i="12"/>
  <c r="AI187" i="12"/>
  <c r="AL192" i="12"/>
  <c r="AI192" i="12" s="1"/>
  <c r="AI350" i="12"/>
  <c r="AI222" i="12"/>
  <c r="AI158" i="12"/>
  <c r="AI223" i="12"/>
  <c r="AI175" i="12"/>
  <c r="AI159" i="12"/>
  <c r="AL423" i="12"/>
  <c r="AI220" i="12"/>
  <c r="AL426" i="12"/>
  <c r="AI267" i="12"/>
  <c r="AI114" i="12"/>
  <c r="AI186" i="12"/>
  <c r="AL427" i="12"/>
  <c r="AI25" i="12"/>
  <c r="AI174" i="12"/>
  <c r="AI188" i="12"/>
  <c r="AI179" i="12"/>
  <c r="AI12" i="12"/>
  <c r="AI58" i="12"/>
  <c r="AI65" i="12"/>
  <c r="AI73" i="12"/>
  <c r="AI66" i="12"/>
  <c r="AI14" i="12"/>
  <c r="AI69" i="12"/>
  <c r="AI64" i="12"/>
  <c r="AI63" i="12"/>
  <c r="AI41" i="12"/>
  <c r="AI62" i="12"/>
  <c r="AI70" i="12"/>
  <c r="AI60" i="12"/>
  <c r="AI59" i="12"/>
  <c r="AI48" i="12"/>
  <c r="AI45" i="12"/>
  <c r="AI54" i="12"/>
  <c r="AI13" i="12"/>
  <c r="AI11" i="12"/>
  <c r="AI47" i="12"/>
  <c r="AI46" i="12"/>
  <c r="AI20" i="12"/>
  <c r="AI19" i="12"/>
  <c r="AI113" i="12" l="1"/>
  <c r="AL433" i="12"/>
  <c r="AS433" i="12"/>
  <c r="AL431" i="12"/>
  <c r="AS431" i="12"/>
  <c r="AL432" i="12"/>
  <c r="AS432" i="12"/>
  <c r="AL429" i="12"/>
  <c r="AS429" i="12"/>
  <c r="AL26" i="2"/>
  <c r="AL25" i="2" s="1"/>
  <c r="AI25" i="2" s="1"/>
  <c r="AL165" i="12"/>
  <c r="AI165" i="12" s="1"/>
  <c r="AL116" i="12"/>
  <c r="AI116" i="12" s="1"/>
  <c r="AL274" i="12"/>
  <c r="AI275" i="12"/>
  <c r="AL87" i="12"/>
  <c r="AI87" i="12" s="1"/>
  <c r="AI110" i="12"/>
  <c r="AL271" i="12"/>
  <c r="AI272" i="12"/>
  <c r="AI231" i="12"/>
  <c r="AI24" i="12"/>
  <c r="AL89" i="12"/>
  <c r="AI89" i="12" s="1"/>
  <c r="AI82" i="12"/>
  <c r="AI257" i="12"/>
  <c r="AI232" i="12"/>
  <c r="AI258" i="12"/>
  <c r="AL268" i="12"/>
  <c r="AI35" i="6"/>
  <c r="AL90" i="12"/>
  <c r="AI43" i="12"/>
  <c r="AI359" i="12"/>
  <c r="AI74" i="12"/>
  <c r="AI54" i="6"/>
  <c r="AI255" i="12"/>
  <c r="AI256" i="12"/>
  <c r="AL155" i="12"/>
  <c r="AI155" i="12" s="1"/>
  <c r="AL91" i="12"/>
  <c r="AI75" i="12"/>
  <c r="AL373" i="12"/>
  <c r="AI230" i="12"/>
  <c r="AL424" i="12"/>
  <c r="AL88" i="12"/>
  <c r="AI422" i="12"/>
  <c r="AL94" i="12"/>
  <c r="AI94" i="12" s="1"/>
  <c r="AL422" i="12"/>
  <c r="AI39" i="12"/>
  <c r="AI56" i="12"/>
  <c r="AI55" i="12"/>
  <c r="AI9" i="12"/>
  <c r="AI134" i="12"/>
  <c r="AI425" i="12"/>
  <c r="AI81" i="12"/>
  <c r="AI254" i="12"/>
  <c r="AI426" i="12"/>
  <c r="AL265" i="12"/>
  <c r="AL217" i="12"/>
  <c r="AI217" i="12" s="1"/>
  <c r="AI72" i="12"/>
  <c r="AL167" i="12"/>
  <c r="AI346" i="12"/>
  <c r="AL168" i="12"/>
  <c r="AI347" i="12"/>
  <c r="AL164" i="12"/>
  <c r="AI343" i="12"/>
  <c r="AL342" i="12"/>
  <c r="AL378" i="12" s="1"/>
  <c r="AI349" i="12"/>
  <c r="AI348" i="12" s="1"/>
  <c r="AI380" i="12" s="1"/>
  <c r="AL348" i="12"/>
  <c r="AL380" i="12" s="1"/>
  <c r="AI427" i="12"/>
  <c r="AL166" i="12"/>
  <c r="AI345" i="12"/>
  <c r="AL176" i="12"/>
  <c r="AI176" i="12" s="1"/>
  <c r="AL170" i="12"/>
  <c r="AI170" i="12" s="1"/>
  <c r="AL389" i="12"/>
  <c r="AI389" i="12" s="1"/>
  <c r="AI31" i="12"/>
  <c r="AL201" i="12"/>
  <c r="AI201" i="12" s="1"/>
  <c r="AL184" i="12"/>
  <c r="AI184" i="12" s="1"/>
  <c r="AL262" i="12"/>
  <c r="AI40" i="12"/>
  <c r="AI80" i="12"/>
  <c r="AI423" i="12"/>
  <c r="AL109" i="12"/>
  <c r="AL365" i="12"/>
  <c r="AL397" i="12"/>
  <c r="AI56" i="6"/>
  <c r="AI9" i="6"/>
  <c r="AI57" i="6"/>
  <c r="AI78" i="12"/>
  <c r="AI79" i="12"/>
  <c r="AI49" i="12"/>
  <c r="AL339" i="12"/>
  <c r="AI11" i="6"/>
  <c r="AI41" i="6"/>
  <c r="AL430" i="12" l="1"/>
  <c r="AS430" i="12"/>
  <c r="AI432" i="12"/>
  <c r="AP432" i="12"/>
  <c r="AI433" i="12"/>
  <c r="AP433" i="12"/>
  <c r="AI431" i="12"/>
  <c r="AP431" i="12"/>
  <c r="AL428" i="12"/>
  <c r="AS428" i="12"/>
  <c r="AI429" i="12"/>
  <c r="AP429" i="12"/>
  <c r="AI428" i="12"/>
  <c r="AP428" i="12"/>
  <c r="AL149" i="12"/>
  <c r="AI149" i="12" s="1"/>
  <c r="AL140" i="12"/>
  <c r="AI140" i="12" s="1"/>
  <c r="AL148" i="12"/>
  <c r="AI148" i="12" s="1"/>
  <c r="AI164" i="12"/>
  <c r="AL152" i="12"/>
  <c r="AI152" i="12" s="1"/>
  <c r="AI168" i="12"/>
  <c r="AI271" i="12"/>
  <c r="AL208" i="12"/>
  <c r="AI208" i="12" s="1"/>
  <c r="AI211" i="12"/>
  <c r="AI262" i="12"/>
  <c r="AL150" i="12"/>
  <c r="AI150" i="12" s="1"/>
  <c r="AI166" i="12"/>
  <c r="AI265" i="12"/>
  <c r="AL364" i="12"/>
  <c r="AI109" i="12"/>
  <c r="AI364" i="12" s="1"/>
  <c r="AI26" i="2"/>
  <c r="AL143" i="12"/>
  <c r="AI90" i="12"/>
  <c r="AL204" i="12"/>
  <c r="AI204" i="12" s="1"/>
  <c r="AL227" i="2"/>
  <c r="AI227" i="2" s="1"/>
  <c r="AL200" i="12"/>
  <c r="AI200" i="12" s="1"/>
  <c r="AI227" i="12"/>
  <c r="AI268" i="12"/>
  <c r="AL141" i="12"/>
  <c r="AI141" i="12" s="1"/>
  <c r="AI88" i="12"/>
  <c r="AL144" i="12"/>
  <c r="AI144" i="12" s="1"/>
  <c r="AI370" i="12" s="1"/>
  <c r="AI91" i="12"/>
  <c r="AI274" i="12"/>
  <c r="AL151" i="12"/>
  <c r="AI151" i="12" s="1"/>
  <c r="AI167" i="12"/>
  <c r="AL261" i="12"/>
  <c r="AI261" i="12" s="1"/>
  <c r="AL205" i="12"/>
  <c r="AL388" i="12"/>
  <c r="AI388" i="12" s="1"/>
  <c r="AI358" i="12"/>
  <c r="AL86" i="12"/>
  <c r="AI86" i="12" s="1"/>
  <c r="AI37" i="6"/>
  <c r="AL203" i="12"/>
  <c r="AI373" i="12"/>
  <c r="AI12" i="6"/>
  <c r="AL253" i="12"/>
  <c r="AI253" i="12" s="1"/>
  <c r="AL131" i="12"/>
  <c r="AI131" i="12" s="1"/>
  <c r="AI10" i="6"/>
  <c r="AI424" i="12"/>
  <c r="AL202" i="12"/>
  <c r="AI202" i="12" s="1"/>
  <c r="AI342" i="12"/>
  <c r="AI378" i="12" s="1"/>
  <c r="AI357" i="12"/>
  <c r="AI65" i="6"/>
  <c r="AI59" i="6"/>
  <c r="AL142" i="12"/>
  <c r="AI58" i="6"/>
  <c r="AI61" i="6"/>
  <c r="AI365" i="12"/>
  <c r="AL163" i="12"/>
  <c r="AI163" i="12" s="1"/>
  <c r="AL374" i="12"/>
  <c r="AI374" i="12" s="1"/>
  <c r="AL226" i="12"/>
  <c r="AI23" i="12"/>
  <c r="AL366" i="12" l="1"/>
  <c r="AL255" i="6" s="1"/>
  <c r="AI430" i="12"/>
  <c r="AP430" i="12"/>
  <c r="AL225" i="2"/>
  <c r="AL231" i="2" s="1"/>
  <c r="AL245" i="12"/>
  <c r="AI245" i="12" s="1"/>
  <c r="AL370" i="12"/>
  <c r="AL409" i="12" s="1"/>
  <c r="AL246" i="12"/>
  <c r="AL286" i="12" s="1"/>
  <c r="AL295" i="12" s="1"/>
  <c r="AI295" i="12" s="1"/>
  <c r="AL367" i="12"/>
  <c r="AL406" i="12" s="1"/>
  <c r="AL199" i="12"/>
  <c r="AI199" i="12" s="1"/>
  <c r="AI226" i="12"/>
  <c r="AL368" i="12"/>
  <c r="AL407" i="12" s="1"/>
  <c r="AI142" i="12"/>
  <c r="AI368" i="12" s="1"/>
  <c r="AI407" i="12" s="1"/>
  <c r="AL249" i="12"/>
  <c r="AL250" i="12"/>
  <c r="AI205" i="12"/>
  <c r="AL369" i="12"/>
  <c r="AI143" i="12"/>
  <c r="AI369" i="12" s="1"/>
  <c r="AL147" i="12"/>
  <c r="AI147" i="12" s="1"/>
  <c r="AL248" i="12"/>
  <c r="AI203" i="12"/>
  <c r="AL139" i="12"/>
  <c r="AI360" i="12"/>
  <c r="AI356" i="12"/>
  <c r="AL355" i="12"/>
  <c r="AI355" i="12" s="1"/>
  <c r="AL247" i="12"/>
  <c r="AI367" i="12"/>
  <c r="AI406" i="12" s="1"/>
  <c r="AL377" i="12"/>
  <c r="AL396" i="12"/>
  <c r="AI22" i="12"/>
  <c r="AI21" i="12" s="1"/>
  <c r="AI50" i="12"/>
  <c r="AI366" i="12"/>
  <c r="AI405" i="12" s="1"/>
  <c r="AL405" i="12" l="1"/>
  <c r="AL285" i="12"/>
  <c r="AI225" i="2"/>
  <c r="AL259" i="6"/>
  <c r="AL297" i="6"/>
  <c r="AL418" i="12"/>
  <c r="AL256" i="6"/>
  <c r="AI246" i="12"/>
  <c r="AL257" i="6"/>
  <c r="AL289" i="12"/>
  <c r="AL297" i="12" s="1"/>
  <c r="AI297" i="12" s="1"/>
  <c r="AI249" i="12"/>
  <c r="AL288" i="12"/>
  <c r="AI248" i="12"/>
  <c r="AL363" i="12"/>
  <c r="AL362" i="12" s="1"/>
  <c r="AL404" i="12" s="1"/>
  <c r="AI139" i="12"/>
  <c r="AI363" i="12" s="1"/>
  <c r="AI362" i="12" s="1"/>
  <c r="AI404" i="12" s="1"/>
  <c r="AL408" i="12"/>
  <c r="AL258" i="6"/>
  <c r="AL290" i="12"/>
  <c r="AL298" i="12" s="1"/>
  <c r="AI298" i="12" s="1"/>
  <c r="AI250" i="12"/>
  <c r="AL287" i="12"/>
  <c r="AL296" i="12" s="1"/>
  <c r="AI296" i="12" s="1"/>
  <c r="AI247" i="12"/>
  <c r="AI286" i="12"/>
  <c r="AI418" i="12" s="1"/>
  <c r="AI408" i="12"/>
  <c r="AI409" i="12"/>
  <c r="AL244" i="12"/>
  <c r="AL296" i="6"/>
  <c r="AI231" i="2"/>
  <c r="AL228" i="2"/>
  <c r="AI228" i="2" s="1"/>
  <c r="AL372" i="12"/>
  <c r="AI71" i="12"/>
  <c r="AI38" i="12"/>
  <c r="AI37" i="12"/>
  <c r="AL386" i="12"/>
  <c r="AI285" i="12" l="1"/>
  <c r="AL294" i="12"/>
  <c r="AI294" i="12" s="1"/>
  <c r="AL417" i="12"/>
  <c r="AL254" i="6"/>
  <c r="AL284" i="12"/>
  <c r="AI284" i="12" s="1"/>
  <c r="AL419" i="12"/>
  <c r="AI290" i="12"/>
  <c r="AL421" i="12"/>
  <c r="AL301" i="6"/>
  <c r="AL412" i="12"/>
  <c r="AL275" i="6"/>
  <c r="AL376" i="12"/>
  <c r="AL375" i="12" s="1"/>
  <c r="AL395" i="12" s="1"/>
  <c r="AL394" i="12" s="1"/>
  <c r="AL393" i="12" s="1"/>
  <c r="AL391" i="12" s="1"/>
  <c r="AM402" i="12" s="1"/>
  <c r="AI244" i="12"/>
  <c r="AI376" i="12" s="1"/>
  <c r="AI287" i="12"/>
  <c r="AI419" i="12" s="1"/>
  <c r="AI288" i="12"/>
  <c r="AL299" i="6"/>
  <c r="AL298" i="6"/>
  <c r="AL420" i="12"/>
  <c r="AI289" i="12"/>
  <c r="AI421" i="12" s="1"/>
  <c r="AL300" i="6"/>
  <c r="AI386" i="12"/>
  <c r="AI372" i="12"/>
  <c r="AL371" i="12"/>
  <c r="AI371" i="12" s="1"/>
  <c r="AI417" i="12"/>
  <c r="AL253" i="6"/>
  <c r="AL411" i="12" l="1"/>
  <c r="AL274" i="6"/>
  <c r="AL416" i="12"/>
  <c r="AM403" i="12"/>
  <c r="AL410" i="12"/>
  <c r="AL276" i="6"/>
  <c r="AL295" i="6"/>
  <c r="AL413" i="12"/>
  <c r="AL279" i="6"/>
  <c r="AL415" i="12"/>
  <c r="AL277" i="6"/>
  <c r="AL278" i="6"/>
  <c r="AL414" i="12"/>
  <c r="AI416" i="12"/>
  <c r="AL247" i="6"/>
  <c r="AI17" i="12"/>
  <c r="AL273" i="6" l="1"/>
  <c r="AI7" i="12"/>
  <c r="AI6" i="12"/>
  <c r="AL385" i="12"/>
  <c r="AI385" i="12" l="1"/>
  <c r="AL384" i="12"/>
  <c r="AI384" i="12" l="1"/>
  <c r="AI390" i="12" s="1"/>
  <c r="AL390" i="12"/>
  <c r="AL387" i="12" s="1"/>
  <c r="AI387" i="12" s="1"/>
  <c r="AI75" i="6" l="1"/>
  <c r="AI38" i="6" l="1"/>
  <c r="AI19" i="6"/>
  <c r="AI25" i="6" l="1"/>
  <c r="AI39" i="6"/>
  <c r="AI22" i="6"/>
  <c r="AI70" i="6"/>
  <c r="AI40" i="6"/>
  <c r="AI14" i="6"/>
  <c r="AI48" i="6"/>
  <c r="AI13" i="6"/>
  <c r="AI71" i="6" l="1"/>
  <c r="AI26" i="6"/>
  <c r="AI42" i="6"/>
  <c r="AI78" i="6"/>
  <c r="AI27" i="6"/>
  <c r="AL7" i="6"/>
  <c r="AI66" i="6"/>
  <c r="AI33" i="6"/>
  <c r="AL49" i="6" l="1"/>
  <c r="AI49" i="6" s="1"/>
  <c r="AL67" i="6"/>
  <c r="AI51" i="6"/>
  <c r="AI8" i="6"/>
  <c r="AI68" i="6"/>
  <c r="AI7" i="6" l="1"/>
  <c r="AI67" i="6"/>
  <c r="AI32" i="6"/>
  <c r="AI43" i="6"/>
  <c r="AL31" i="6" l="1"/>
  <c r="AL30" i="6" s="1"/>
  <c r="AI31" i="6" l="1"/>
  <c r="AI30" i="6"/>
  <c r="AL23" i="6"/>
  <c r="AL6" i="6" s="1"/>
  <c r="AL272" i="6"/>
  <c r="AL248" i="6"/>
  <c r="AI24" i="6" l="1"/>
  <c r="AL249" i="6"/>
  <c r="AL294" i="6"/>
  <c r="AL315" i="6" s="1"/>
  <c r="AI23" i="6" l="1"/>
  <c r="AI6" i="6"/>
  <c r="AG114" i="12" l="1"/>
  <c r="AH114" i="12"/>
  <c r="AG111" i="12"/>
  <c r="AH111" i="12"/>
  <c r="AG118" i="12"/>
  <c r="AH118" i="12"/>
  <c r="AG96" i="12"/>
  <c r="AH96" i="12"/>
  <c r="AJ424" i="12"/>
  <c r="AJ88" i="12"/>
  <c r="AJ430" i="12" l="1"/>
  <c r="AQ430" i="12"/>
  <c r="AG88" i="12"/>
  <c r="AH88" i="12"/>
  <c r="AG424" i="12"/>
  <c r="AG430" i="12" l="1"/>
  <c r="AN430" i="12"/>
  <c r="AH424" i="12"/>
  <c r="AH430" i="12" l="1"/>
  <c r="AO430" i="12"/>
  <c r="AG36" i="12"/>
  <c r="AG29" i="12"/>
  <c r="AG12" i="2"/>
  <c r="AG17" i="2"/>
  <c r="AG14" i="2"/>
  <c r="AG194" i="12" l="1"/>
  <c r="AH194" i="12"/>
  <c r="AG135" i="12"/>
  <c r="AH135" i="12"/>
  <c r="AG99" i="12"/>
  <c r="AH99" i="12"/>
  <c r="AG97" i="12"/>
  <c r="AH97" i="12"/>
  <c r="AG196" i="12"/>
  <c r="AH196" i="12"/>
  <c r="AG121" i="12"/>
  <c r="AH121" i="12"/>
  <c r="AG95" i="12"/>
  <c r="AH95" i="12"/>
  <c r="AG272" i="12"/>
  <c r="AH272" i="12"/>
  <c r="AG174" i="12"/>
  <c r="AH174" i="12"/>
  <c r="AG117" i="12"/>
  <c r="AH117" i="12"/>
  <c r="AG98" i="12"/>
  <c r="AH98" i="12"/>
  <c r="AG181" i="12"/>
  <c r="AH181" i="12"/>
  <c r="AG157" i="12"/>
  <c r="AH157" i="12"/>
  <c r="AG197" i="12"/>
  <c r="AH197" i="12"/>
  <c r="AG120" i="12"/>
  <c r="AH120" i="12"/>
  <c r="AG275" i="12"/>
  <c r="AH275" i="12"/>
  <c r="AG178" i="12"/>
  <c r="AH178" i="12"/>
  <c r="AG39" i="2"/>
  <c r="AG34" i="2"/>
  <c r="AG32" i="2"/>
  <c r="AG35" i="12"/>
  <c r="AG31" i="2"/>
  <c r="AG19" i="2"/>
  <c r="AG162" i="2"/>
  <c r="AG12" i="12"/>
  <c r="AG26" i="12"/>
  <c r="AG13" i="2"/>
  <c r="AJ95" i="2"/>
  <c r="AG98" i="2"/>
  <c r="AJ101" i="2"/>
  <c r="AG104" i="2"/>
  <c r="AG10" i="2"/>
  <c r="AG74" i="2"/>
  <c r="AJ111" i="2"/>
  <c r="AG114" i="2"/>
  <c r="AG13" i="12"/>
  <c r="AG14" i="12"/>
  <c r="AG19" i="12"/>
  <c r="AG20" i="12"/>
  <c r="AJ425" i="12"/>
  <c r="AG8" i="2"/>
  <c r="AG332" i="12"/>
  <c r="AH332" i="12" s="1"/>
  <c r="AI332" i="12" s="1"/>
  <c r="AG33" i="12"/>
  <c r="AG27" i="12"/>
  <c r="AG45" i="12"/>
  <c r="AG48" i="12"/>
  <c r="AG62" i="12"/>
  <c r="AG69" i="12"/>
  <c r="AG64" i="12"/>
  <c r="AG70" i="12"/>
  <c r="AJ423" i="12"/>
  <c r="AJ94" i="12"/>
  <c r="AJ422" i="12"/>
  <c r="AG33" i="2"/>
  <c r="AG329" i="12"/>
  <c r="AH329" i="12" s="1"/>
  <c r="AI329" i="12" s="1"/>
  <c r="AG34" i="12"/>
  <c r="AJ168" i="12"/>
  <c r="AG347" i="12"/>
  <c r="AG353" i="12"/>
  <c r="AH353" i="12" s="1"/>
  <c r="AJ271" i="12"/>
  <c r="AJ40" i="2"/>
  <c r="AG352" i="12"/>
  <c r="AH352" i="12" s="1"/>
  <c r="AJ427" i="12"/>
  <c r="AJ91" i="12"/>
  <c r="AG335" i="12"/>
  <c r="AH335" i="12" s="1"/>
  <c r="AI335" i="12" s="1"/>
  <c r="AJ426" i="12"/>
  <c r="AJ166" i="12"/>
  <c r="AJ342" i="12"/>
  <c r="AJ378" i="12" s="1"/>
  <c r="AG345" i="12"/>
  <c r="AG338" i="12"/>
  <c r="AH338" i="12" s="1"/>
  <c r="AI338" i="12" s="1"/>
  <c r="AJ167" i="12"/>
  <c r="AG346" i="12"/>
  <c r="AG43" i="12"/>
  <c r="AG59" i="12"/>
  <c r="AG44" i="12"/>
  <c r="AG11" i="12"/>
  <c r="AG73" i="12"/>
  <c r="AG341" i="12"/>
  <c r="AH341" i="12" s="1"/>
  <c r="AI341" i="12" s="1"/>
  <c r="AG206" i="2"/>
  <c r="AH206" i="2" s="1"/>
  <c r="AI206" i="2" s="1"/>
  <c r="AG41" i="12"/>
  <c r="AG46" i="12"/>
  <c r="AG66" i="12"/>
  <c r="AG47" i="12"/>
  <c r="AJ433" i="12" l="1"/>
  <c r="AQ433" i="12"/>
  <c r="AJ431" i="12"/>
  <c r="AQ431" i="12"/>
  <c r="AJ432" i="12"/>
  <c r="AQ432" i="12"/>
  <c r="AJ429" i="12"/>
  <c r="AQ429" i="12"/>
  <c r="AJ428" i="12"/>
  <c r="AQ428" i="12"/>
  <c r="AJ31" i="12"/>
  <c r="AG8" i="12"/>
  <c r="AG25" i="12"/>
  <c r="AJ24" i="12"/>
  <c r="AJ87" i="12"/>
  <c r="AJ140" i="12" s="1"/>
  <c r="AG110" i="12"/>
  <c r="AH110" i="12"/>
  <c r="AG167" i="12"/>
  <c r="AH167" i="12"/>
  <c r="AG175" i="12"/>
  <c r="AJ152" i="12"/>
  <c r="AH175" i="12"/>
  <c r="AG172" i="12"/>
  <c r="AH172" i="12"/>
  <c r="AG112" i="12"/>
  <c r="AH112" i="12"/>
  <c r="AG171" i="12"/>
  <c r="AJ148" i="12"/>
  <c r="AH171" i="12"/>
  <c r="AG166" i="12"/>
  <c r="AH166" i="12"/>
  <c r="AG269" i="12"/>
  <c r="AH269" i="12"/>
  <c r="AG94" i="12"/>
  <c r="AH94" i="12"/>
  <c r="AG91" i="12"/>
  <c r="AH91" i="12"/>
  <c r="AG189" i="12"/>
  <c r="AH189" i="12"/>
  <c r="AG271" i="12"/>
  <c r="AH271" i="12"/>
  <c r="AG185" i="12"/>
  <c r="AH185" i="12"/>
  <c r="AG132" i="12"/>
  <c r="AH132" i="12"/>
  <c r="AG173" i="12"/>
  <c r="AJ150" i="12"/>
  <c r="AH173" i="12"/>
  <c r="AG180" i="12"/>
  <c r="AH180" i="12"/>
  <c r="AG119" i="12"/>
  <c r="AH119" i="12"/>
  <c r="AG187" i="12"/>
  <c r="AH187" i="12"/>
  <c r="AG168" i="12"/>
  <c r="AH168" i="12"/>
  <c r="AG193" i="12"/>
  <c r="AH193" i="12"/>
  <c r="AG188" i="12"/>
  <c r="AH188" i="12"/>
  <c r="AG266" i="12"/>
  <c r="AH266" i="12"/>
  <c r="AG195" i="12"/>
  <c r="AH195" i="12"/>
  <c r="AJ149" i="12"/>
  <c r="AG186" i="12"/>
  <c r="AH186" i="12"/>
  <c r="AG113" i="12"/>
  <c r="AH113" i="12"/>
  <c r="AG179" i="12"/>
  <c r="AH179" i="12"/>
  <c r="AJ151" i="12"/>
  <c r="AG136" i="12"/>
  <c r="AH136" i="12"/>
  <c r="AJ144" i="12"/>
  <c r="AG78" i="12"/>
  <c r="AG64" i="2"/>
  <c r="AJ109" i="12"/>
  <c r="AJ274" i="12"/>
  <c r="AJ116" i="12"/>
  <c r="AJ89" i="12"/>
  <c r="AG74" i="12"/>
  <c r="AJ153" i="2"/>
  <c r="AG80" i="12"/>
  <c r="AG54" i="12"/>
  <c r="AG75" i="12"/>
  <c r="AJ365" i="12"/>
  <c r="AJ170" i="12"/>
  <c r="AG81" i="12"/>
  <c r="AJ163" i="12"/>
  <c r="AG82" i="12"/>
  <c r="AJ90" i="12"/>
  <c r="AG49" i="12"/>
  <c r="AJ204" i="12"/>
  <c r="AG56" i="12"/>
  <c r="AH346" i="12"/>
  <c r="AG426" i="12"/>
  <c r="AJ348" i="12"/>
  <c r="AJ380" i="12" s="1"/>
  <c r="AG349" i="12"/>
  <c r="AG427" i="12"/>
  <c r="AG55" i="2"/>
  <c r="AG40" i="2"/>
  <c r="AJ324" i="12"/>
  <c r="AJ322" i="12"/>
  <c r="AG325" i="12"/>
  <c r="AH347" i="12"/>
  <c r="AJ333" i="12"/>
  <c r="AG334" i="12"/>
  <c r="AH266" i="6"/>
  <c r="AJ266" i="6"/>
  <c r="AI266" i="6"/>
  <c r="AJ330" i="12"/>
  <c r="AG331" i="12"/>
  <c r="AJ202" i="12"/>
  <c r="AG111" i="2"/>
  <c r="AH114" i="2"/>
  <c r="AH111" i="2" s="1"/>
  <c r="AG423" i="12"/>
  <c r="AG422" i="12"/>
  <c r="AG95" i="2"/>
  <c r="AH98" i="2"/>
  <c r="AI98" i="2" s="1"/>
  <c r="AG15" i="6"/>
  <c r="AJ217" i="12"/>
  <c r="AJ208" i="12"/>
  <c r="AJ200" i="12"/>
  <c r="AJ323" i="12"/>
  <c r="AG326" i="12"/>
  <c r="AG101" i="2"/>
  <c r="AH104" i="2"/>
  <c r="AH101" i="2" s="1"/>
  <c r="AG72" i="12"/>
  <c r="AJ327" i="12"/>
  <c r="AG328" i="12"/>
  <c r="AJ201" i="12"/>
  <c r="AJ184" i="12"/>
  <c r="AG32" i="12"/>
  <c r="AJ71" i="2"/>
  <c r="AJ87" i="2"/>
  <c r="AG75" i="2"/>
  <c r="AG38" i="6"/>
  <c r="AJ176" i="12"/>
  <c r="AJ155" i="12"/>
  <c r="AG425" i="12"/>
  <c r="AH267" i="6"/>
  <c r="AI267" i="6"/>
  <c r="AJ267" i="6"/>
  <c r="AG267" i="6"/>
  <c r="AJ262" i="12"/>
  <c r="AG39" i="12"/>
  <c r="AJ192" i="12"/>
  <c r="AG58" i="6"/>
  <c r="AG63" i="12"/>
  <c r="AG60" i="12"/>
  <c r="AG65" i="6"/>
  <c r="AG342" i="12"/>
  <c r="AG378" i="12" s="1"/>
  <c r="AH345" i="12"/>
  <c r="AJ336" i="12"/>
  <c r="AG337" i="12"/>
  <c r="AJ268" i="12"/>
  <c r="AJ265" i="12"/>
  <c r="AH74" i="2"/>
  <c r="AI74" i="2" s="1"/>
  <c r="AH162" i="2"/>
  <c r="AG153" i="2"/>
  <c r="AJ205" i="12"/>
  <c r="AJ203" i="12"/>
  <c r="AG431" i="12" l="1"/>
  <c r="AN431" i="12"/>
  <c r="AG428" i="12"/>
  <c r="AN428" i="12"/>
  <c r="AG433" i="12"/>
  <c r="AN433" i="12"/>
  <c r="AG429" i="12"/>
  <c r="AN429" i="12"/>
  <c r="AG432" i="12"/>
  <c r="AN432" i="12"/>
  <c r="AJ55" i="12"/>
  <c r="AG55" i="12" s="1"/>
  <c r="AG365" i="12"/>
  <c r="AG176" i="12"/>
  <c r="AH176" i="12"/>
  <c r="AG184" i="12"/>
  <c r="AH184" i="12"/>
  <c r="AJ248" i="12"/>
  <c r="AG203" i="12"/>
  <c r="AH203" i="12"/>
  <c r="AG265" i="12"/>
  <c r="AH265" i="12"/>
  <c r="AG208" i="12"/>
  <c r="AH208" i="12"/>
  <c r="AG170" i="12"/>
  <c r="AH170" i="12"/>
  <c r="AG144" i="12"/>
  <c r="AG370" i="12" s="1"/>
  <c r="AG259" i="6" s="1"/>
  <c r="AH144" i="12"/>
  <c r="AG152" i="12"/>
  <c r="AH152" i="12"/>
  <c r="AG205" i="12"/>
  <c r="AH205" i="12"/>
  <c r="AG140" i="12"/>
  <c r="AH140" i="12"/>
  <c r="AG201" i="12"/>
  <c r="AH201" i="12"/>
  <c r="AG217" i="12"/>
  <c r="AH217" i="12"/>
  <c r="AG202" i="12"/>
  <c r="AH202" i="12"/>
  <c r="AG148" i="12"/>
  <c r="AH148" i="12"/>
  <c r="AG192" i="12"/>
  <c r="AH192" i="12"/>
  <c r="AG200" i="12"/>
  <c r="AH200" i="12"/>
  <c r="AG262" i="12"/>
  <c r="AH262" i="12"/>
  <c r="AJ143" i="12"/>
  <c r="AJ249" i="12" s="1"/>
  <c r="AG90" i="12"/>
  <c r="AH90" i="12"/>
  <c r="AG89" i="12"/>
  <c r="AH89" i="12"/>
  <c r="AG268" i="12"/>
  <c r="AH268" i="12"/>
  <c r="AG155" i="12"/>
  <c r="AH155" i="12"/>
  <c r="AJ370" i="12"/>
  <c r="AH259" i="6" s="1"/>
  <c r="AG116" i="12"/>
  <c r="AH116" i="12"/>
  <c r="AG151" i="12"/>
  <c r="AH151" i="12"/>
  <c r="AG149" i="12"/>
  <c r="AH149" i="12"/>
  <c r="AG133" i="12"/>
  <c r="AH133" i="12"/>
  <c r="AG134" i="12"/>
  <c r="AH134" i="12"/>
  <c r="AG163" i="12"/>
  <c r="AH163" i="12"/>
  <c r="AG274" i="12"/>
  <c r="AH274" i="12"/>
  <c r="AG204" i="12"/>
  <c r="AH204" i="12"/>
  <c r="AJ364" i="12"/>
  <c r="AG109" i="12"/>
  <c r="AG364" i="12" s="1"/>
  <c r="AH109" i="12"/>
  <c r="AG150" i="12"/>
  <c r="AH150" i="12"/>
  <c r="AG87" i="12"/>
  <c r="AH87" i="12"/>
  <c r="AJ397" i="12"/>
  <c r="AG357" i="12"/>
  <c r="AJ373" i="12"/>
  <c r="AG373" i="12" s="1"/>
  <c r="AG358" i="12"/>
  <c r="AJ86" i="12"/>
  <c r="AJ142" i="12"/>
  <c r="AH365" i="12"/>
  <c r="AI104" i="2"/>
  <c r="AI101" i="2" s="1"/>
  <c r="AJ250" i="12"/>
  <c r="AJ265" i="6"/>
  <c r="AG56" i="6"/>
  <c r="AI265" i="6"/>
  <c r="AJ226" i="12"/>
  <c r="AI114" i="2"/>
  <c r="AI111" i="2" s="1"/>
  <c r="AH265" i="6"/>
  <c r="AJ77" i="2"/>
  <c r="AG80" i="2"/>
  <c r="AJ86" i="2"/>
  <c r="AH342" i="12"/>
  <c r="AH378" i="12" s="1"/>
  <c r="AJ261" i="12"/>
  <c r="AH427" i="12"/>
  <c r="AG61" i="6"/>
  <c r="AH326" i="12"/>
  <c r="AG323" i="12"/>
  <c r="AG397" i="12" s="1"/>
  <c r="AH349" i="12"/>
  <c r="AH348" i="12" s="1"/>
  <c r="AH380" i="12" s="1"/>
  <c r="AG348" i="12"/>
  <c r="AG380" i="12" s="1"/>
  <c r="AG57" i="6"/>
  <c r="AG327" i="12"/>
  <c r="AH328" i="12"/>
  <c r="AH422" i="12"/>
  <c r="AH423" i="12"/>
  <c r="AJ253" i="12"/>
  <c r="AG40" i="12"/>
  <c r="AG34" i="6"/>
  <c r="AJ56" i="2"/>
  <c r="AG11" i="6"/>
  <c r="AG336" i="12"/>
  <c r="AH337" i="12"/>
  <c r="AJ366" i="12"/>
  <c r="AJ405" i="12" s="1"/>
  <c r="AH75" i="2"/>
  <c r="AI75" i="2" s="1"/>
  <c r="AG71" i="2"/>
  <c r="AJ245" i="12"/>
  <c r="AH95" i="2"/>
  <c r="AG55" i="6"/>
  <c r="AJ374" i="12"/>
  <c r="AG374" i="12" s="1"/>
  <c r="AG54" i="6"/>
  <c r="AH325" i="12"/>
  <c r="AG322" i="12"/>
  <c r="AG324" i="12"/>
  <c r="AG9" i="12"/>
  <c r="AG12" i="6"/>
  <c r="AG360" i="12"/>
  <c r="AG359" i="12"/>
  <c r="AJ141" i="12"/>
  <c r="AJ131" i="12"/>
  <c r="AH264" i="6"/>
  <c r="AJ264" i="6"/>
  <c r="AG87" i="2"/>
  <c r="AJ146" i="2"/>
  <c r="AG130" i="2"/>
  <c r="AJ127" i="2"/>
  <c r="AG53" i="6"/>
  <c r="AH426" i="12"/>
  <c r="AG79" i="12"/>
  <c r="AH331" i="12"/>
  <c r="AH330" i="12" s="1"/>
  <c r="AG330" i="12"/>
  <c r="AG333" i="12"/>
  <c r="AH334" i="12"/>
  <c r="AH333" i="12" s="1"/>
  <c r="AH153" i="2"/>
  <c r="AG24" i="12"/>
  <c r="AJ388" i="12"/>
  <c r="AG388" i="12" s="1"/>
  <c r="AG41" i="6"/>
  <c r="AJ147" i="12"/>
  <c r="AJ389" i="12"/>
  <c r="AG389" i="12" s="1"/>
  <c r="AG31" i="12"/>
  <c r="AJ321" i="12"/>
  <c r="AG36" i="2"/>
  <c r="AH425" i="12"/>
  <c r="AI95" i="2"/>
  <c r="AG59" i="6"/>
  <c r="AG27" i="2"/>
  <c r="AI162" i="2"/>
  <c r="AG266" i="6"/>
  <c r="AG265" i="6" s="1"/>
  <c r="AJ21" i="12"/>
  <c r="AH431" i="12" l="1"/>
  <c r="AO431" i="12"/>
  <c r="AH433" i="12"/>
  <c r="AO433" i="12"/>
  <c r="AH429" i="12"/>
  <c r="AO429" i="12"/>
  <c r="AH428" i="12"/>
  <c r="AO428" i="12"/>
  <c r="AH432" i="12"/>
  <c r="AO432" i="12"/>
  <c r="AJ409" i="12"/>
  <c r="AJ26" i="2"/>
  <c r="AJ25" i="2" s="1"/>
  <c r="AJ71" i="12"/>
  <c r="AG71" i="12" s="1"/>
  <c r="AJ259" i="6"/>
  <c r="AG270" i="6"/>
  <c r="AG147" i="12"/>
  <c r="AH147" i="12"/>
  <c r="AJ290" i="12"/>
  <c r="AG250" i="12"/>
  <c r="AH250" i="12"/>
  <c r="AG86" i="12"/>
  <c r="AH86" i="12"/>
  <c r="AG245" i="12"/>
  <c r="AH245" i="12"/>
  <c r="AG253" i="12"/>
  <c r="AH253" i="12"/>
  <c r="AG143" i="12"/>
  <c r="AG369" i="12" s="1"/>
  <c r="AG258" i="6" s="1"/>
  <c r="AH143" i="12"/>
  <c r="AH369" i="12" s="1"/>
  <c r="AJ369" i="12"/>
  <c r="AG141" i="12"/>
  <c r="AH141" i="12"/>
  <c r="AG226" i="12"/>
  <c r="AH226" i="12"/>
  <c r="AJ368" i="12"/>
  <c r="AJ407" i="12" s="1"/>
  <c r="AG142" i="12"/>
  <c r="AG368" i="12" s="1"/>
  <c r="AG409" i="12" s="1"/>
  <c r="AH142" i="12"/>
  <c r="AH368" i="12" s="1"/>
  <c r="AH409" i="12" s="1"/>
  <c r="AJ289" i="12"/>
  <c r="AG249" i="12"/>
  <c r="AH249" i="12"/>
  <c r="AJ288" i="12"/>
  <c r="AG248" i="12"/>
  <c r="AH248" i="12"/>
  <c r="AG131" i="12"/>
  <c r="AH131" i="12"/>
  <c r="AG261" i="12"/>
  <c r="AH261" i="12"/>
  <c r="AJ199" i="12"/>
  <c r="AJ139" i="12"/>
  <c r="AJ363" i="12" s="1"/>
  <c r="AJ362" i="12" s="1"/>
  <c r="AJ404" i="12" s="1"/>
  <c r="AJ247" i="12"/>
  <c r="AG356" i="12"/>
  <c r="AH364" i="12"/>
  <c r="AG73" i="6"/>
  <c r="AJ355" i="12"/>
  <c r="AG355" i="12" s="1"/>
  <c r="AG205" i="2"/>
  <c r="AJ204" i="2"/>
  <c r="AJ106" i="2"/>
  <c r="AG109" i="2"/>
  <c r="AJ92" i="2"/>
  <c r="AJ248" i="2" s="1"/>
  <c r="AG37" i="6"/>
  <c r="AJ377" i="12"/>
  <c r="AJ396" i="12"/>
  <c r="AJ147" i="2"/>
  <c r="AG150" i="2"/>
  <c r="AI325" i="12"/>
  <c r="AH322" i="12"/>
  <c r="AH324" i="12"/>
  <c r="AG57" i="2"/>
  <c r="AI331" i="12"/>
  <c r="AI330" i="12" s="1"/>
  <c r="AI413" i="12" s="1"/>
  <c r="AG366" i="12"/>
  <c r="AG255" i="6" s="1"/>
  <c r="AH370" i="12"/>
  <c r="AG35" i="6"/>
  <c r="AG22" i="12"/>
  <c r="AG21" i="12" s="1"/>
  <c r="AI153" i="2"/>
  <c r="AG215" i="2"/>
  <c r="AJ212" i="2"/>
  <c r="AG212" i="2" s="1"/>
  <c r="AJ199" i="2"/>
  <c r="AJ285" i="12"/>
  <c r="AJ294" i="12" s="1"/>
  <c r="AJ263" i="6"/>
  <c r="AJ260" i="6" s="1"/>
  <c r="AH263" i="6"/>
  <c r="AH260" i="6" s="1"/>
  <c r="AG86" i="2"/>
  <c r="AG9" i="6"/>
  <c r="AJ171" i="2"/>
  <c r="AJ176" i="2"/>
  <c r="AI87" i="2"/>
  <c r="AI71" i="2"/>
  <c r="AH80" i="2"/>
  <c r="AI80" i="2" s="1"/>
  <c r="AG77" i="2"/>
  <c r="AG9" i="2"/>
  <c r="AH130" i="2"/>
  <c r="AH127" i="2" s="1"/>
  <c r="AG127" i="2"/>
  <c r="AJ367" i="12"/>
  <c r="AJ406" i="12" s="1"/>
  <c r="AJ246" i="12"/>
  <c r="AJ154" i="2"/>
  <c r="AG154" i="2" s="1"/>
  <c r="AG163" i="2"/>
  <c r="AJ161" i="2"/>
  <c r="AH255" i="6"/>
  <c r="AJ255" i="6"/>
  <c r="AG36" i="6"/>
  <c r="AG264" i="6"/>
  <c r="AG146" i="2"/>
  <c r="AI337" i="12"/>
  <c r="AI336" i="12" s="1"/>
  <c r="AH336" i="12"/>
  <c r="AI334" i="12"/>
  <c r="AI333" i="12" s="1"/>
  <c r="AI415" i="12" s="1"/>
  <c r="AJ83" i="2"/>
  <c r="AJ339" i="12"/>
  <c r="AG340" i="12"/>
  <c r="AG321" i="12"/>
  <c r="AH87" i="2"/>
  <c r="AH71" i="2"/>
  <c r="AI328" i="12"/>
  <c r="AI327" i="12" s="1"/>
  <c r="AI412" i="12" s="1"/>
  <c r="AH327" i="12"/>
  <c r="AI326" i="12"/>
  <c r="AI323" i="12" s="1"/>
  <c r="AI397" i="12" s="1"/>
  <c r="AH323" i="12"/>
  <c r="AH397" i="12" s="1"/>
  <c r="AJ420" i="12" l="1"/>
  <c r="AJ297" i="12"/>
  <c r="AG294" i="12"/>
  <c r="AH294" i="12"/>
  <c r="AH301" i="6"/>
  <c r="AJ298" i="12"/>
  <c r="AG83" i="2"/>
  <c r="AG17" i="12"/>
  <c r="AJ7" i="12"/>
  <c r="AJ6" i="12" s="1"/>
  <c r="AG6" i="12" s="1"/>
  <c r="AG408" i="12"/>
  <c r="AJ300" i="6"/>
  <c r="AG257" i="6"/>
  <c r="AG407" i="12"/>
  <c r="AH300" i="6"/>
  <c r="AJ421" i="12"/>
  <c r="AH257" i="6"/>
  <c r="AJ301" i="6"/>
  <c r="AG289" i="12"/>
  <c r="AG421" i="12" s="1"/>
  <c r="AH289" i="12"/>
  <c r="AH421" i="12" s="1"/>
  <c r="AJ258" i="6"/>
  <c r="AJ408" i="12"/>
  <c r="AH258" i="6"/>
  <c r="AJ287" i="12"/>
  <c r="AG247" i="12"/>
  <c r="AH247" i="12"/>
  <c r="AG290" i="12"/>
  <c r="AG301" i="6" s="1"/>
  <c r="AH290" i="12"/>
  <c r="AJ286" i="12"/>
  <c r="AG246" i="12"/>
  <c r="AH246" i="12"/>
  <c r="AG139" i="12"/>
  <c r="AG363" i="12" s="1"/>
  <c r="AG362" i="12" s="1"/>
  <c r="AG404" i="12" s="1"/>
  <c r="AH139" i="12"/>
  <c r="AH363" i="12" s="1"/>
  <c r="AH362" i="12" s="1"/>
  <c r="AH404" i="12" s="1"/>
  <c r="AJ257" i="6"/>
  <c r="AG285" i="12"/>
  <c r="AH285" i="12"/>
  <c r="AG199" i="12"/>
  <c r="AH199" i="12"/>
  <c r="AG288" i="12"/>
  <c r="AH288" i="12"/>
  <c r="AH420" i="12" s="1"/>
  <c r="AH299" i="6"/>
  <c r="AJ299" i="6"/>
  <c r="AH408" i="12"/>
  <c r="AG25" i="2"/>
  <c r="AJ227" i="2"/>
  <c r="AG227" i="2" s="1"/>
  <c r="AJ372" i="12"/>
  <c r="AG372" i="12" s="1"/>
  <c r="AG26" i="2"/>
  <c r="AG204" i="2"/>
  <c r="AH205" i="2"/>
  <c r="AH407" i="12"/>
  <c r="AI77" i="2"/>
  <c r="AI86" i="2"/>
  <c r="AJ38" i="12"/>
  <c r="AJ37" i="12" s="1"/>
  <c r="AH150" i="2"/>
  <c r="AH147" i="2" s="1"/>
  <c r="AG147" i="2"/>
  <c r="AJ152" i="2"/>
  <c r="AG161" i="2"/>
  <c r="AG152" i="2" s="1"/>
  <c r="AH285" i="6"/>
  <c r="AJ285" i="6"/>
  <c r="AJ244" i="12"/>
  <c r="AG56" i="2"/>
  <c r="AJ218" i="2"/>
  <c r="AH321" i="12"/>
  <c r="AG396" i="12"/>
  <c r="AG377" i="12"/>
  <c r="AG367" i="12"/>
  <c r="AG256" i="6" s="1"/>
  <c r="AH340" i="12"/>
  <c r="AG339" i="12"/>
  <c r="AG171" i="2"/>
  <c r="AG176" i="2"/>
  <c r="AG285" i="6" s="1"/>
  <c r="AH256" i="6"/>
  <c r="AJ256" i="6"/>
  <c r="AH366" i="12"/>
  <c r="AH405" i="12" s="1"/>
  <c r="AJ198" i="2"/>
  <c r="AJ190" i="2"/>
  <c r="AJ189" i="2" s="1"/>
  <c r="AG199" i="2"/>
  <c r="AH163" i="2"/>
  <c r="AI163" i="2" s="1"/>
  <c r="AI130" i="2"/>
  <c r="AI127" i="2" s="1"/>
  <c r="AH307" i="6"/>
  <c r="AJ307" i="6"/>
  <c r="AH296" i="6"/>
  <c r="AJ417" i="12"/>
  <c r="AJ296" i="6"/>
  <c r="AI324" i="12"/>
  <c r="AI322" i="12"/>
  <c r="AI321" i="12" s="1"/>
  <c r="AJ120" i="2"/>
  <c r="AJ122" i="2"/>
  <c r="AG125" i="2"/>
  <c r="AI264" i="6"/>
  <c r="AI146" i="2"/>
  <c r="AG405" i="12"/>
  <c r="AH77" i="2"/>
  <c r="AH86" i="2"/>
  <c r="AG263" i="6"/>
  <c r="AG260" i="6" s="1"/>
  <c r="AG106" i="2"/>
  <c r="AH109" i="2"/>
  <c r="AI109" i="2" s="1"/>
  <c r="AJ20" i="2"/>
  <c r="AH270" i="6"/>
  <c r="AJ270" i="6"/>
  <c r="AJ7" i="2"/>
  <c r="AH146" i="2"/>
  <c r="AJ89" i="2"/>
  <c r="AJ245" i="2" s="1"/>
  <c r="AG92" i="2"/>
  <c r="AG89" i="2" s="1"/>
  <c r="AJ419" i="12" l="1"/>
  <c r="AJ296" i="12"/>
  <c r="AG298" i="12"/>
  <c r="AG279" i="6" s="1"/>
  <c r="AH298" i="12"/>
  <c r="AJ418" i="12"/>
  <c r="AJ295" i="12"/>
  <c r="AG297" i="12"/>
  <c r="AH297" i="12"/>
  <c r="AH415" i="12" s="1"/>
  <c r="AG248" i="2"/>
  <c r="AG245" i="2"/>
  <c r="AH83" i="2"/>
  <c r="AI83" i="2"/>
  <c r="AJ6" i="2"/>
  <c r="AG254" i="6"/>
  <c r="AJ284" i="12"/>
  <c r="AJ416" i="12" s="1"/>
  <c r="AH254" i="6"/>
  <c r="AG300" i="6"/>
  <c r="AH297" i="6"/>
  <c r="AJ297" i="6"/>
  <c r="AJ376" i="12"/>
  <c r="AJ375" i="12" s="1"/>
  <c r="AJ395" i="12" s="1"/>
  <c r="AJ394" i="12" s="1"/>
  <c r="AJ393" i="12" s="1"/>
  <c r="AJ391" i="12" s="1"/>
  <c r="AL402" i="12" s="1"/>
  <c r="AG244" i="12"/>
  <c r="AG376" i="12" s="1"/>
  <c r="AG375" i="12" s="1"/>
  <c r="AG395" i="12" s="1"/>
  <c r="AG394" i="12" s="1"/>
  <c r="AG393" i="12" s="1"/>
  <c r="AG391" i="12" s="1"/>
  <c r="AH244" i="12"/>
  <c r="AJ385" i="12"/>
  <c r="AG385" i="12" s="1"/>
  <c r="AG286" i="12"/>
  <c r="AG297" i="6" s="1"/>
  <c r="AH286" i="12"/>
  <c r="AH298" i="6"/>
  <c r="AG287" i="12"/>
  <c r="AH287" i="12"/>
  <c r="AH419" i="12" s="1"/>
  <c r="AG7" i="12"/>
  <c r="AJ279" i="6"/>
  <c r="AH279" i="6"/>
  <c r="AJ415" i="12"/>
  <c r="AJ254" i="6"/>
  <c r="AH414" i="12"/>
  <c r="AH277" i="6"/>
  <c r="AJ277" i="6"/>
  <c r="AH278" i="6"/>
  <c r="AJ278" i="6"/>
  <c r="AJ414" i="12"/>
  <c r="AJ298" i="6"/>
  <c r="AG299" i="6"/>
  <c r="AG420" i="12"/>
  <c r="AG406" i="12"/>
  <c r="AJ371" i="12"/>
  <c r="AG371" i="12" s="1"/>
  <c r="AH204" i="2"/>
  <c r="AI205" i="2"/>
  <c r="AI204" i="2" s="1"/>
  <c r="AI106" i="2"/>
  <c r="AI92" i="2"/>
  <c r="AI89" i="2" s="1"/>
  <c r="AH274" i="6"/>
  <c r="AJ411" i="12"/>
  <c r="AJ274" i="6"/>
  <c r="AG296" i="6"/>
  <c r="AG417" i="12"/>
  <c r="AG21" i="2"/>
  <c r="AG20" i="2"/>
  <c r="AI154" i="2"/>
  <c r="AI161" i="2"/>
  <c r="AI152" i="2" s="1"/>
  <c r="AH154" i="2"/>
  <c r="AH161" i="2"/>
  <c r="AH152" i="2" s="1"/>
  <c r="AI340" i="12"/>
  <c r="AI339" i="12" s="1"/>
  <c r="AH339" i="12"/>
  <c r="AG120" i="2"/>
  <c r="AG145" i="2" s="1"/>
  <c r="AJ117" i="2"/>
  <c r="AJ145" i="2"/>
  <c r="AJ175" i="2" s="1"/>
  <c r="AJ252" i="2" s="1"/>
  <c r="AG50" i="12"/>
  <c r="AI171" i="2"/>
  <c r="AI176" i="2"/>
  <c r="AI285" i="6" s="1"/>
  <c r="AH176" i="2"/>
  <c r="AH171" i="2"/>
  <c r="AI150" i="2"/>
  <c r="AI147" i="2" s="1"/>
  <c r="AH367" i="12"/>
  <c r="AH406" i="12" s="1"/>
  <c r="AI396" i="12"/>
  <c r="AI377" i="12"/>
  <c r="AI375" i="12" s="1"/>
  <c r="AI395" i="12" s="1"/>
  <c r="AI411" i="12"/>
  <c r="AI410" i="12"/>
  <c r="AJ237" i="2"/>
  <c r="AJ223" i="2"/>
  <c r="AG307" i="6"/>
  <c r="AH396" i="12"/>
  <c r="AH377" i="12"/>
  <c r="AI263" i="6"/>
  <c r="AI260" i="6" s="1"/>
  <c r="AH199" i="2"/>
  <c r="AG198" i="2"/>
  <c r="AG190" i="2"/>
  <c r="AG189" i="2" s="1"/>
  <c r="AH106" i="2"/>
  <c r="AH92" i="2"/>
  <c r="AH89" i="2" s="1"/>
  <c r="AH125" i="2"/>
  <c r="AI125" i="2" s="1"/>
  <c r="AI122" i="2" s="1"/>
  <c r="AG122" i="2"/>
  <c r="AG218" i="2"/>
  <c r="AJ217" i="2"/>
  <c r="AG217" i="2" s="1"/>
  <c r="AG295" i="12" l="1"/>
  <c r="AG275" i="6" s="1"/>
  <c r="AH295" i="12"/>
  <c r="AH412" i="12" s="1"/>
  <c r="AG296" i="12"/>
  <c r="AH296" i="12"/>
  <c r="AH413" i="12" s="1"/>
  <c r="AI248" i="2"/>
  <c r="AI245" i="2"/>
  <c r="AH248" i="2"/>
  <c r="AH245" i="2"/>
  <c r="AL403" i="12"/>
  <c r="AH284" i="12"/>
  <c r="AG284" i="12"/>
  <c r="AJ403" i="12" s="1"/>
  <c r="AH295" i="6"/>
  <c r="AJ295" i="6"/>
  <c r="AG418" i="12"/>
  <c r="AG402" i="12"/>
  <c r="AJ275" i="6"/>
  <c r="AJ276" i="6"/>
  <c r="AH276" i="6"/>
  <c r="AJ413" i="12"/>
  <c r="AG298" i="6"/>
  <c r="AG295" i="6" s="1"/>
  <c r="AG419" i="12"/>
  <c r="AG277" i="6"/>
  <c r="AG414" i="12"/>
  <c r="AG278" i="6"/>
  <c r="AG415" i="12"/>
  <c r="AJ401" i="12"/>
  <c r="AJ412" i="12"/>
  <c r="AH275" i="6"/>
  <c r="AJ402" i="12"/>
  <c r="AK402" i="12"/>
  <c r="AG175" i="2"/>
  <c r="AG252" i="2" s="1"/>
  <c r="AI394" i="12"/>
  <c r="AI393" i="12" s="1"/>
  <c r="AI391" i="12" s="1"/>
  <c r="AI402" i="12" s="1"/>
  <c r="AG223" i="2"/>
  <c r="AG237" i="2"/>
  <c r="AH198" i="2"/>
  <c r="AH190" i="2"/>
  <c r="AH189" i="2" s="1"/>
  <c r="AG6" i="2"/>
  <c r="AJ226" i="2"/>
  <c r="AG7" i="2"/>
  <c r="AH313" i="6"/>
  <c r="AJ313" i="6"/>
  <c r="AH291" i="6"/>
  <c r="AJ291" i="6"/>
  <c r="AH417" i="12"/>
  <c r="AH418" i="12"/>
  <c r="AG170" i="2"/>
  <c r="AG256" i="2" s="1"/>
  <c r="AG142" i="2"/>
  <c r="AG222" i="2" s="1"/>
  <c r="AG38" i="12"/>
  <c r="AG37" i="12"/>
  <c r="AJ386" i="12"/>
  <c r="AI253" i="6"/>
  <c r="AG411" i="12"/>
  <c r="AG274" i="6"/>
  <c r="AH284" i="6"/>
  <c r="AH281" i="6" s="1"/>
  <c r="AJ284" i="6"/>
  <c r="AJ281" i="6" s="1"/>
  <c r="AJ172" i="2"/>
  <c r="AJ249" i="2" s="1"/>
  <c r="AJ253" i="6"/>
  <c r="AJ170" i="2"/>
  <c r="AJ256" i="2" s="1"/>
  <c r="AJ142" i="2"/>
  <c r="AJ222" i="2" s="1"/>
  <c r="AJ221" i="2" s="1"/>
  <c r="AJ236" i="2" s="1"/>
  <c r="AJ235" i="2" s="1"/>
  <c r="AJ234" i="2" s="1"/>
  <c r="AJ232" i="2" s="1"/>
  <c r="AJ243" i="2" s="1"/>
  <c r="AI199" i="2"/>
  <c r="AH376" i="12"/>
  <c r="AH375" i="12" s="1"/>
  <c r="AH395" i="12" s="1"/>
  <c r="AH394" i="12" s="1"/>
  <c r="AH393" i="12" s="1"/>
  <c r="AH391" i="12" s="1"/>
  <c r="AH402" i="12" s="1"/>
  <c r="AG117" i="2"/>
  <c r="AH122" i="2"/>
  <c r="AH120" i="2"/>
  <c r="AH117" i="2" s="1"/>
  <c r="AG253" i="6"/>
  <c r="AI307" i="6"/>
  <c r="AH253" i="6"/>
  <c r="AG78" i="6"/>
  <c r="AG416" i="12" l="1"/>
  <c r="AI403" i="12"/>
  <c r="AI401" i="12"/>
  <c r="AG403" i="12"/>
  <c r="AG401" i="12"/>
  <c r="AK403" i="12"/>
  <c r="AJ410" i="12"/>
  <c r="AL401" i="12"/>
  <c r="AG410" i="12"/>
  <c r="AJ273" i="6"/>
  <c r="AH273" i="6"/>
  <c r="AG412" i="12"/>
  <c r="AG276" i="6"/>
  <c r="AG273" i="6" s="1"/>
  <c r="AG413" i="12"/>
  <c r="AG172" i="2"/>
  <c r="AG249" i="2" s="1"/>
  <c r="AJ247" i="6"/>
  <c r="AI120" i="2"/>
  <c r="AI117" i="2" s="1"/>
  <c r="AG284" i="6"/>
  <c r="AG281" i="6" s="1"/>
  <c r="AH145" i="2"/>
  <c r="AH142" i="2" s="1"/>
  <c r="AH222" i="2" s="1"/>
  <c r="AI247" i="6"/>
  <c r="AH416" i="12"/>
  <c r="AH401" i="12"/>
  <c r="AH403" i="12"/>
  <c r="AG247" i="6"/>
  <c r="AH247" i="6"/>
  <c r="AG313" i="6"/>
  <c r="AG221" i="2"/>
  <c r="AJ306" i="6"/>
  <c r="AJ303" i="6" s="1"/>
  <c r="AH306" i="6"/>
  <c r="AH303" i="6" s="1"/>
  <c r="AJ167" i="2"/>
  <c r="AJ253" i="2" s="1"/>
  <c r="AG386" i="12"/>
  <c r="AJ384" i="12"/>
  <c r="AG306" i="6"/>
  <c r="AG303" i="6" s="1"/>
  <c r="AG167" i="2"/>
  <c r="AG253" i="2" s="1"/>
  <c r="AH411" i="12"/>
  <c r="AH410" i="12"/>
  <c r="AG226" i="2"/>
  <c r="AJ225" i="2"/>
  <c r="AH237" i="2"/>
  <c r="AH223" i="2"/>
  <c r="AI223" i="2" s="1"/>
  <c r="AM401" i="12"/>
  <c r="AI190" i="2"/>
  <c r="AI189" i="2" s="1"/>
  <c r="AI237" i="2" s="1"/>
  <c r="AI198" i="2"/>
  <c r="AH170" i="2" l="1"/>
  <c r="AH256" i="2" s="1"/>
  <c r="AI145" i="2"/>
  <c r="AI142" i="2" s="1"/>
  <c r="AH221" i="2"/>
  <c r="AH236" i="2" s="1"/>
  <c r="AH235" i="2" s="1"/>
  <c r="AH234" i="2" s="1"/>
  <c r="AH232" i="2" s="1"/>
  <c r="AI222" i="2"/>
  <c r="AH175" i="2"/>
  <c r="AH252" i="2" s="1"/>
  <c r="AH272" i="6"/>
  <c r="AH248" i="6"/>
  <c r="AG244" i="2"/>
  <c r="AG242" i="2"/>
  <c r="AJ244" i="2"/>
  <c r="AJ242" i="2"/>
  <c r="AG384" i="12"/>
  <c r="AG390" i="12" s="1"/>
  <c r="AJ390" i="12"/>
  <c r="AJ387" i="12" s="1"/>
  <c r="AG387" i="12" s="1"/>
  <c r="AJ231" i="2"/>
  <c r="AG225" i="2"/>
  <c r="AG236" i="2"/>
  <c r="AG235" i="2" s="1"/>
  <c r="AG234" i="2" s="1"/>
  <c r="AG232" i="2" s="1"/>
  <c r="AG243" i="2" s="1"/>
  <c r="AG75" i="6"/>
  <c r="AH167" i="2" l="1"/>
  <c r="AH253" i="2" s="1"/>
  <c r="AI170" i="2"/>
  <c r="AI256" i="2" s="1"/>
  <c r="AI175" i="2"/>
  <c r="AI252" i="2" s="1"/>
  <c r="AH172" i="2"/>
  <c r="AH249" i="2" s="1"/>
  <c r="AH243" i="2"/>
  <c r="AI221" i="2"/>
  <c r="AI236" i="2" s="1"/>
  <c r="AI235" i="2" s="1"/>
  <c r="AI234" i="2" s="1"/>
  <c r="AI232" i="2" s="1"/>
  <c r="AI243" i="2" s="1"/>
  <c r="AJ228" i="2"/>
  <c r="AG228" i="2" s="1"/>
  <c r="AG231" i="2"/>
  <c r="AG48" i="6"/>
  <c r="AH242" i="2"/>
  <c r="AH244" i="2"/>
  <c r="AG13" i="6"/>
  <c r="AI306" i="6"/>
  <c r="AI303" i="6" s="1"/>
  <c r="AG66" i="6"/>
  <c r="AG14" i="6"/>
  <c r="AG19" i="6"/>
  <c r="AG22" i="6"/>
  <c r="AI167" i="2" l="1"/>
  <c r="AI253" i="2" s="1"/>
  <c r="AI172" i="2"/>
  <c r="AI249" i="2" s="1"/>
  <c r="AI284" i="6"/>
  <c r="AI281" i="6" s="1"/>
  <c r="AG68" i="6"/>
  <c r="AG33" i="6"/>
  <c r="AG42" i="6"/>
  <c r="AJ49" i="6"/>
  <c r="AG40" i="6"/>
  <c r="AI242" i="2" l="1"/>
  <c r="AI244" i="2"/>
  <c r="AG39" i="6"/>
  <c r="AG71" i="6"/>
  <c r="AG26" i="6"/>
  <c r="AG27" i="6"/>
  <c r="AG51" i="6"/>
  <c r="AG49" i="6"/>
  <c r="AJ67" i="6"/>
  <c r="AG8" i="6" l="1"/>
  <c r="AG70" i="6"/>
  <c r="AG32" i="6"/>
  <c r="AG24" i="6" l="1"/>
  <c r="AJ31" i="6"/>
  <c r="AJ30" i="6" s="1"/>
  <c r="AG67" i="6"/>
  <c r="AJ7" i="6" l="1"/>
  <c r="AG43" i="6"/>
  <c r="AJ23" i="6"/>
  <c r="AH244" i="6" l="1"/>
  <c r="AH249" i="6"/>
  <c r="AH294" i="6"/>
  <c r="AH315" i="6" s="1"/>
  <c r="AJ6" i="6"/>
  <c r="AJ272" i="6"/>
  <c r="AJ249" i="6"/>
  <c r="AJ294" i="6"/>
  <c r="AJ315" i="6" s="1"/>
  <c r="AG25" i="6"/>
  <c r="AG23" i="6"/>
  <c r="AG7" i="6"/>
  <c r="AG31" i="6"/>
  <c r="AG30" i="6"/>
  <c r="AI249" i="6" l="1"/>
  <c r="AJ248" i="6"/>
  <c r="AJ243" i="6"/>
  <c r="AG6" i="6"/>
  <c r="AG244" i="6" s="1"/>
  <c r="AI272" i="6"/>
  <c r="AI293" i="6" s="1"/>
  <c r="AI248" i="6"/>
  <c r="AG294" i="6"/>
  <c r="AG315" i="6" s="1"/>
  <c r="AH245" i="6"/>
  <c r="AG249" i="6"/>
  <c r="AL244" i="6"/>
  <c r="AJ242" i="6"/>
  <c r="AJ245" i="6"/>
  <c r="AH242" i="6" l="1"/>
  <c r="AH246" i="6"/>
  <c r="AI245" i="6"/>
  <c r="AI294" i="6"/>
  <c r="AI315" i="6" s="1"/>
  <c r="AI244" i="6"/>
  <c r="AJ244" i="6"/>
  <c r="AJ246" i="6"/>
  <c r="AG248" i="6"/>
  <c r="AG272" i="6"/>
  <c r="AH243" i="6"/>
  <c r="AG246" i="6"/>
  <c r="AG245" i="6"/>
  <c r="AG242" i="6"/>
  <c r="AL242" i="6"/>
  <c r="AL245" i="6"/>
  <c r="AL246" i="6"/>
  <c r="AI243" i="6" l="1"/>
  <c r="AI242" i="6"/>
  <c r="AI246" i="6"/>
  <c r="AG243" i="6"/>
  <c r="AL243" i="6"/>
  <c r="AC403" i="12" l="1"/>
  <c r="V403" i="12"/>
  <c r="S403" i="12" l="1"/>
  <c r="Z403" i="12"/>
  <c r="AB244" i="2" l="1"/>
  <c r="AC244" i="2"/>
  <c r="Y244" i="2"/>
  <c r="R5" i="4" l="1"/>
  <c r="S5" i="4" s="1"/>
  <c r="S2" i="4" s="1"/>
  <c r="Q5" i="4" l="1"/>
  <c r="I5" i="4" l="1"/>
  <c r="J5" i="4" l="1"/>
  <c r="K5" i="4" s="1"/>
  <c r="K2" i="4" s="1"/>
  <c r="BA7" i="6" l="1"/>
  <c r="BA226" i="6" l="1"/>
  <c r="BA225" i="6" s="1"/>
  <c r="BA231" i="6" s="1"/>
  <c r="BA228" i="6" s="1"/>
  <c r="BA6" i="6"/>
  <c r="AT28" i="16" l="1"/>
  <c r="AT27" i="16" s="1"/>
  <c r="AT30" i="16"/>
  <c r="BA367" i="12" l="1"/>
  <c r="BA362" i="12"/>
  <c r="AT46" i="16"/>
  <c r="AT37" i="16"/>
  <c r="BA404" i="12" l="1"/>
  <c r="BA416" i="12"/>
  <c r="BA410" i="12"/>
  <c r="BA418" i="12"/>
  <c r="BA412" i="12"/>
  <c r="BA406" i="12"/>
  <c r="AT13" i="16"/>
  <c r="AT17" i="16" s="1"/>
  <c r="AT36" i="16" l="1"/>
  <c r="AT35" i="16" s="1"/>
  <c r="AT24" i="16"/>
  <c r="AT45" i="16" l="1"/>
  <c r="AT44" i="16" s="1"/>
  <c r="AT43" i="16" s="1"/>
  <c r="AT41" i="16" s="1"/>
  <c r="AT292" i="6"/>
  <c r="BB320" i="12" l="1"/>
  <c r="BB319" i="12"/>
  <c r="BB318" i="12"/>
  <c r="BB317" i="12" l="1"/>
  <c r="BB315" i="12" s="1"/>
  <c r="BE315" i="12"/>
  <c r="BE30" i="16"/>
  <c r="BC365" i="12" l="1"/>
  <c r="AU28" i="16" l="1"/>
  <c r="AU27" i="16" s="1"/>
  <c r="AU46" i="16" l="1"/>
  <c r="AU37" i="16"/>
  <c r="AU13" i="16" l="1"/>
  <c r="AU17" i="16" s="1"/>
  <c r="AU36" i="16" l="1"/>
  <c r="AU35" i="16" s="1"/>
  <c r="AU24" i="16"/>
  <c r="AU292" i="6" l="1"/>
  <c r="AU45" i="16"/>
  <c r="AU44" i="16" s="1"/>
  <c r="AU43" i="16" s="1"/>
  <c r="AU41" i="16" s="1"/>
  <c r="AW317" i="12" l="1"/>
  <c r="AW315" i="12" s="1"/>
  <c r="AY315" i="12"/>
  <c r="AV317" i="12"/>
  <c r="AV315" i="12" s="1"/>
  <c r="AY38" i="16" l="1"/>
  <c r="AY28" i="16"/>
  <c r="AY27" i="16" s="1"/>
  <c r="AY30" i="16" l="1"/>
  <c r="AY37" i="16"/>
  <c r="AY46" i="16"/>
  <c r="AY13" i="16" l="1"/>
  <c r="AY17" i="16" s="1"/>
  <c r="AY36" i="16" l="1"/>
  <c r="AY35" i="16" s="1"/>
  <c r="AY24" i="16"/>
  <c r="AY45" i="16" l="1"/>
  <c r="AY44" i="16" s="1"/>
  <c r="AY43" i="16" s="1"/>
  <c r="AY41" i="16" s="1"/>
  <c r="AY292" i="6"/>
  <c r="BG199" i="12" l="1"/>
  <c r="BG244" i="12" s="1"/>
  <c r="BG376" i="12" l="1"/>
  <c r="BG375" i="12" l="1"/>
  <c r="BG395" i="12" s="1"/>
  <c r="BG394" i="12" s="1"/>
  <c r="BG393" i="12" s="1"/>
  <c r="BG391" i="12" s="1"/>
  <c r="BG315" i="12" l="1"/>
  <c r="BD365" i="12" l="1"/>
  <c r="BD367" i="12" l="1"/>
  <c r="BD362" i="12"/>
  <c r="BG367" i="12"/>
  <c r="BG362" i="12"/>
  <c r="BD404" i="12" l="1"/>
  <c r="BD410" i="12"/>
  <c r="BD416" i="12"/>
  <c r="BD406" i="12"/>
  <c r="BD418" i="12"/>
  <c r="BD412" i="12"/>
  <c r="BG404" i="12"/>
  <c r="BG416" i="12"/>
  <c r="BG410" i="12"/>
  <c r="BG418" i="12"/>
  <c r="BG412" i="12"/>
  <c r="BG406" i="12"/>
  <c r="BB32" i="16" l="1"/>
  <c r="BA38" i="16" l="1"/>
  <c r="BH315" i="12"/>
  <c r="BA30" i="16"/>
  <c r="BB31" i="16"/>
  <c r="BB30" i="16" s="1"/>
  <c r="BA13" i="16" l="1"/>
  <c r="BA17" i="16" s="1"/>
  <c r="BA28" i="16"/>
  <c r="BA27" i="16" s="1"/>
  <c r="BA37" i="16" l="1"/>
  <c r="BA46" i="16"/>
  <c r="BA36" i="16"/>
  <c r="BA35" i="16" s="1"/>
  <c r="BA45" i="16" l="1"/>
  <c r="BA44" i="16" s="1"/>
  <c r="BA43" i="16" s="1"/>
  <c r="BA41" i="16" s="1"/>
  <c r="BA292" i="6"/>
  <c r="BA24" i="16" l="1"/>
  <c r="BL86" i="12"/>
  <c r="BL139" i="12" l="1"/>
  <c r="BL363" i="12" s="1"/>
  <c r="BL244" i="12" l="1"/>
  <c r="BL376" i="12" s="1"/>
  <c r="BB66" i="12"/>
  <c r="BB33" i="2"/>
  <c r="BB33" i="12"/>
  <c r="BB34" i="12"/>
  <c r="BB29" i="12"/>
  <c r="BB9" i="2"/>
  <c r="BB35" i="12"/>
  <c r="BB28" i="12"/>
  <c r="BB26" i="12"/>
  <c r="BB38" i="2"/>
  <c r="BB270" i="12"/>
  <c r="BB10" i="2"/>
  <c r="BB40" i="12"/>
  <c r="BB19" i="2"/>
  <c r="BB78" i="12"/>
  <c r="BB80" i="12"/>
  <c r="BB60" i="12"/>
  <c r="BB55" i="2"/>
  <c r="BB12" i="2"/>
  <c r="BB13" i="12"/>
  <c r="BB68" i="12"/>
  <c r="BB32" i="2"/>
  <c r="BB57" i="12"/>
  <c r="BB62" i="12"/>
  <c r="BB11" i="12"/>
  <c r="BB12" i="12"/>
  <c r="BB41" i="12"/>
  <c r="BB63" i="12"/>
  <c r="BB65" i="12"/>
  <c r="BB53" i="12"/>
  <c r="BB48" i="12"/>
  <c r="BB14" i="12"/>
  <c r="BB64" i="2"/>
  <c r="BB54" i="6"/>
  <c r="BB54" i="12"/>
  <c r="BB45" i="12"/>
  <c r="BB10" i="12"/>
  <c r="BB44" i="12"/>
  <c r="BB47" i="12"/>
  <c r="BB58" i="12"/>
  <c r="BB46" i="12"/>
  <c r="BB34" i="16"/>
  <c r="BB66" i="2"/>
  <c r="BB9" i="12"/>
  <c r="BB79" i="12"/>
  <c r="BB48" i="6"/>
  <c r="BB23" i="12"/>
  <c r="BB19" i="12"/>
  <c r="BB34" i="2"/>
  <c r="BB13" i="2"/>
  <c r="BB22" i="2"/>
  <c r="BB33" i="6"/>
  <c r="BB18" i="6"/>
  <c r="BB41" i="6"/>
  <c r="BB352" i="12" l="1"/>
  <c r="BC352" i="12"/>
  <c r="BB353" i="12"/>
  <c r="BC353" i="12"/>
  <c r="BB350" i="12"/>
  <c r="BC350" i="12"/>
  <c r="BL375" i="12"/>
  <c r="BL395" i="12" s="1"/>
  <c r="BL394" i="12" s="1"/>
  <c r="BL393" i="12" s="1"/>
  <c r="BL391" i="12" s="1"/>
  <c r="BB11" i="6"/>
  <c r="BB20" i="12"/>
  <c r="BE77" i="2"/>
  <c r="BE323" i="12"/>
  <c r="BE397" i="12" s="1"/>
  <c r="BC256" i="12"/>
  <c r="BB181" i="6"/>
  <c r="BB358" i="12" s="1"/>
  <c r="BB12" i="6"/>
  <c r="BB19" i="6"/>
  <c r="BC111" i="12"/>
  <c r="BB39" i="6"/>
  <c r="BB47" i="6"/>
  <c r="BB57" i="6"/>
  <c r="BB34" i="6"/>
  <c r="BB81" i="12"/>
  <c r="BB37" i="6"/>
  <c r="BB56" i="6"/>
  <c r="BB43" i="12"/>
  <c r="BB14" i="6"/>
  <c r="BB183" i="6"/>
  <c r="BB360" i="12" s="1"/>
  <c r="BE360" i="12"/>
  <c r="BB49" i="12"/>
  <c r="BB59" i="12"/>
  <c r="BC85" i="6"/>
  <c r="BB85" i="6"/>
  <c r="BE348" i="12"/>
  <c r="BE380" i="12" s="1"/>
  <c r="BB64" i="6"/>
  <c r="BE71" i="2"/>
  <c r="BB61" i="6"/>
  <c r="BB24" i="12"/>
  <c r="BB388" i="12" s="1"/>
  <c r="BE388" i="12"/>
  <c r="BB72" i="12"/>
  <c r="BB31" i="12"/>
  <c r="BB389" i="12" s="1"/>
  <c r="BE389" i="12"/>
  <c r="BB70" i="12"/>
  <c r="BB13" i="6"/>
  <c r="BC150" i="2"/>
  <c r="BB150" i="2"/>
  <c r="BE147" i="2"/>
  <c r="BB27" i="2"/>
  <c r="BB76" i="6"/>
  <c r="BB216" i="2"/>
  <c r="BB8" i="2"/>
  <c r="BB7" i="2" s="1"/>
  <c r="BE7" i="2"/>
  <c r="BB8" i="12"/>
  <c r="BC257" i="12"/>
  <c r="BB257" i="12"/>
  <c r="BB75" i="12"/>
  <c r="BB373" i="12" s="1"/>
  <c r="BE373" i="12"/>
  <c r="BC173" i="12"/>
  <c r="BB173" i="12"/>
  <c r="BB39" i="12"/>
  <c r="BB81" i="2"/>
  <c r="BC82" i="2"/>
  <c r="BC88" i="2" s="1"/>
  <c r="BB82" i="2"/>
  <c r="BB88" i="2" s="1"/>
  <c r="BE88" i="2"/>
  <c r="BC80" i="2"/>
  <c r="BB80" i="2"/>
  <c r="BC112" i="12"/>
  <c r="BB112" i="12"/>
  <c r="BE164" i="2"/>
  <c r="BC98" i="12"/>
  <c r="BB98" i="12"/>
  <c r="BE426" i="12"/>
  <c r="BB41" i="2"/>
  <c r="BB40" i="2" s="1"/>
  <c r="BE40" i="2"/>
  <c r="BC135" i="12"/>
  <c r="BB135" i="12"/>
  <c r="BC175" i="12"/>
  <c r="BB175" i="12"/>
  <c r="BC151" i="2"/>
  <c r="BB151" i="2"/>
  <c r="BC180" i="12"/>
  <c r="BB180" i="12"/>
  <c r="BB23" i="2"/>
  <c r="BB229" i="2" s="1"/>
  <c r="BE229" i="2"/>
  <c r="BB24" i="2"/>
  <c r="BB230" i="2" s="1"/>
  <c r="BE230" i="2"/>
  <c r="BC116" i="2"/>
  <c r="BC94" i="2" s="1"/>
  <c r="BE94" i="2"/>
  <c r="BB116" i="2"/>
  <c r="BB94" i="2" s="1"/>
  <c r="BC231" i="12"/>
  <c r="BB231" i="12"/>
  <c r="BC105" i="2"/>
  <c r="BB105" i="2"/>
  <c r="BC272" i="12"/>
  <c r="BB272" i="12"/>
  <c r="BE271" i="12"/>
  <c r="BC232" i="12"/>
  <c r="BB232" i="12"/>
  <c r="BC75" i="2"/>
  <c r="BB75" i="2"/>
  <c r="BC162" i="2"/>
  <c r="BB162" i="2"/>
  <c r="BE161" i="2"/>
  <c r="BE153" i="2"/>
  <c r="BC99" i="12"/>
  <c r="BE91" i="12"/>
  <c r="BB99" i="12"/>
  <c r="BE427" i="12"/>
  <c r="BC269" i="12"/>
  <c r="BC268" i="12" s="1"/>
  <c r="BB269" i="12"/>
  <c r="BB268" i="12" s="1"/>
  <c r="BE268" i="12"/>
  <c r="BC275" i="12"/>
  <c r="BB275" i="12"/>
  <c r="BE274" i="12"/>
  <c r="BC98" i="2"/>
  <c r="BB98" i="2"/>
  <c r="BE95" i="2"/>
  <c r="BC120" i="12"/>
  <c r="BB120" i="12"/>
  <c r="BC159" i="12"/>
  <c r="BB159" i="12"/>
  <c r="BC118" i="12"/>
  <c r="BB118" i="12"/>
  <c r="BC121" i="12"/>
  <c r="BB121" i="12"/>
  <c r="BC194" i="12"/>
  <c r="BB194" i="12"/>
  <c r="BE192" i="12"/>
  <c r="BC338" i="12"/>
  <c r="BB338" i="12"/>
  <c r="BC222" i="12"/>
  <c r="BB222" i="12"/>
  <c r="BB27" i="12"/>
  <c r="BC104" i="2"/>
  <c r="BC101" i="2" s="1"/>
  <c r="BB104" i="2"/>
  <c r="BE101" i="2"/>
  <c r="BC195" i="12"/>
  <c r="BB195" i="12"/>
  <c r="BC97" i="12"/>
  <c r="BB97" i="12"/>
  <c r="BE425" i="12"/>
  <c r="BC179" i="12"/>
  <c r="BB179" i="12"/>
  <c r="BC267" i="12"/>
  <c r="BC265" i="12" s="1"/>
  <c r="BB267" i="12"/>
  <c r="BB265" i="12" s="1"/>
  <c r="BE265" i="12"/>
  <c r="BC114" i="12"/>
  <c r="BB114" i="12"/>
  <c r="BE155" i="12"/>
  <c r="BC273" i="12"/>
  <c r="BB273" i="12"/>
  <c r="BC114" i="2"/>
  <c r="BB114" i="2"/>
  <c r="BE111" i="2"/>
  <c r="BC329" i="12"/>
  <c r="BB329" i="12"/>
  <c r="BC178" i="12"/>
  <c r="BB178" i="12"/>
  <c r="BE176" i="12"/>
  <c r="BC197" i="12"/>
  <c r="BB197" i="12"/>
  <c r="BE89" i="12"/>
  <c r="BB111" i="12"/>
  <c r="BC276" i="12"/>
  <c r="BB276" i="12"/>
  <c r="BB36" i="12"/>
  <c r="BC165" i="2"/>
  <c r="BB165" i="2"/>
  <c r="BC163" i="2"/>
  <c r="BB163" i="2"/>
  <c r="BC181" i="12"/>
  <c r="BB181" i="12"/>
  <c r="BC96" i="12"/>
  <c r="BB96" i="12"/>
  <c r="BE94" i="12"/>
  <c r="BE424" i="12"/>
  <c r="BE422" i="12"/>
  <c r="BC157" i="12"/>
  <c r="BB157" i="12"/>
  <c r="BC334" i="12"/>
  <c r="BC333" i="12" s="1"/>
  <c r="BB334" i="12"/>
  <c r="BB333" i="12" s="1"/>
  <c r="BE333" i="12"/>
  <c r="BC196" i="12"/>
  <c r="BB196" i="12"/>
  <c r="BC99" i="2"/>
  <c r="BB99" i="2"/>
  <c r="BC160" i="12"/>
  <c r="BB160" i="12"/>
  <c r="BE152" i="12"/>
  <c r="BC111" i="2" l="1"/>
  <c r="BB101" i="2"/>
  <c r="BE154" i="2"/>
  <c r="BB351" i="12"/>
  <c r="BC351" i="12"/>
  <c r="BC348" i="12" s="1"/>
  <c r="BC380" i="12" s="1"/>
  <c r="BB348" i="12"/>
  <c r="BB380" i="12" s="1"/>
  <c r="BB111" i="2"/>
  <c r="BE142" i="12"/>
  <c r="BE368" i="12" s="1"/>
  <c r="BE90" i="12"/>
  <c r="BE143" i="12" s="1"/>
  <c r="BE369" i="12" s="1"/>
  <c r="BE88" i="12"/>
  <c r="BE141" i="12" s="1"/>
  <c r="BC323" i="12"/>
  <c r="BC397" i="12" s="1"/>
  <c r="BE109" i="12"/>
  <c r="BE364" i="12" s="1"/>
  <c r="BB176" i="12"/>
  <c r="BB59" i="6"/>
  <c r="BB35" i="6"/>
  <c r="BE87" i="2"/>
  <c r="BE7" i="12"/>
  <c r="BE385" i="12" s="1"/>
  <c r="BB22" i="6"/>
  <c r="BC176" i="12"/>
  <c r="BB271" i="12"/>
  <c r="BC81" i="2"/>
  <c r="BC77" i="2" s="1"/>
  <c r="BB10" i="6"/>
  <c r="BB256" i="12"/>
  <c r="BB147" i="2"/>
  <c r="BB64" i="12"/>
  <c r="BE358" i="12"/>
  <c r="BC130" i="2"/>
  <c r="BC127" i="2" s="1"/>
  <c r="BB130" i="2"/>
  <c r="BB127" i="2" s="1"/>
  <c r="BE127" i="2"/>
  <c r="BE431" i="12"/>
  <c r="BL431" i="12"/>
  <c r="BC174" i="12"/>
  <c r="BB174" i="12"/>
  <c r="BC255" i="12"/>
  <c r="BB255" i="12"/>
  <c r="BE253" i="12"/>
  <c r="BC206" i="2"/>
  <c r="BB206" i="2"/>
  <c r="BC107" i="6"/>
  <c r="BB107" i="6"/>
  <c r="BC109" i="2"/>
  <c r="BC92" i="2" s="1"/>
  <c r="BB109" i="2"/>
  <c r="BE106" i="2"/>
  <c r="BC220" i="12"/>
  <c r="BB220" i="12"/>
  <c r="BE261" i="12"/>
  <c r="BC223" i="12"/>
  <c r="BB223" i="12"/>
  <c r="BE144" i="12"/>
  <c r="BC271" i="12"/>
  <c r="BC187" i="12"/>
  <c r="BB187" i="12"/>
  <c r="BB77" i="2"/>
  <c r="BC147" i="2"/>
  <c r="BB27" i="6"/>
  <c r="BB230" i="6" s="1"/>
  <c r="BE230" i="6"/>
  <c r="BC186" i="12"/>
  <c r="BB186" i="12"/>
  <c r="BE184" i="12"/>
  <c r="BC199" i="2"/>
  <c r="BE190" i="2"/>
  <c r="BE189" i="2" s="1"/>
  <c r="BB199" i="2"/>
  <c r="BE198" i="2"/>
  <c r="BC110" i="2"/>
  <c r="BC93" i="2" s="1"/>
  <c r="BB110" i="2"/>
  <c r="BB93" i="2" s="1"/>
  <c r="BC189" i="12"/>
  <c r="BB189" i="12"/>
  <c r="BC88" i="12"/>
  <c r="BC424" i="12"/>
  <c r="BC94" i="12"/>
  <c r="BC422" i="12"/>
  <c r="BC158" i="12"/>
  <c r="BB158" i="12"/>
  <c r="BE150" i="12"/>
  <c r="BC425" i="12"/>
  <c r="BB192" i="12"/>
  <c r="BE151" i="12"/>
  <c r="BE92" i="2"/>
  <c r="BC214" i="12"/>
  <c r="BB214" i="12"/>
  <c r="BE205" i="12"/>
  <c r="BC91" i="12"/>
  <c r="BC427" i="12"/>
  <c r="BE226" i="2"/>
  <c r="BE339" i="12"/>
  <c r="BC205" i="2"/>
  <c r="BB205" i="2"/>
  <c r="BE204" i="2"/>
  <c r="BC113" i="12"/>
  <c r="BB113" i="12"/>
  <c r="BE202" i="12"/>
  <c r="BB42" i="6"/>
  <c r="BB26" i="6"/>
  <c r="BB229" i="6" s="1"/>
  <c r="BE229" i="6"/>
  <c r="BC328" i="12"/>
  <c r="BB328" i="12"/>
  <c r="BE327" i="12"/>
  <c r="BE322" i="12"/>
  <c r="BC228" i="12"/>
  <c r="BB228" i="12"/>
  <c r="BC116" i="6"/>
  <c r="BB116" i="6"/>
  <c r="BC167" i="12"/>
  <c r="BB167" i="12"/>
  <c r="BB226" i="2"/>
  <c r="BC103" i="6"/>
  <c r="BB103" i="6"/>
  <c r="BC166" i="12"/>
  <c r="BB166" i="12"/>
  <c r="BE163" i="12"/>
  <c r="BC219" i="12"/>
  <c r="BB219" i="12"/>
  <c r="BE217" i="12"/>
  <c r="BB71" i="6"/>
  <c r="BB202" i="6" s="1"/>
  <c r="BE202" i="6"/>
  <c r="BC331" i="12"/>
  <c r="BC330" i="12" s="1"/>
  <c r="BB331" i="12"/>
  <c r="BB330" i="12" s="1"/>
  <c r="BE330" i="12"/>
  <c r="BB92" i="2"/>
  <c r="BB95" i="2"/>
  <c r="BC166" i="2"/>
  <c r="BC154" i="2" s="1"/>
  <c r="BB166" i="2"/>
  <c r="BC134" i="12"/>
  <c r="BB134" i="12"/>
  <c r="BC168" i="12"/>
  <c r="BB168" i="12"/>
  <c r="BC211" i="12"/>
  <c r="BB211" i="12"/>
  <c r="BC95" i="2"/>
  <c r="BE264" i="6"/>
  <c r="BC125" i="2"/>
  <c r="BB125" i="2"/>
  <c r="BE120" i="2"/>
  <c r="BE122" i="2"/>
  <c r="BC347" i="12"/>
  <c r="BB347" i="12"/>
  <c r="BE189" i="6"/>
  <c r="BB189" i="6" s="1"/>
  <c r="BB192" i="6"/>
  <c r="BC74" i="2"/>
  <c r="BC86" i="2" s="1"/>
  <c r="BB74" i="2"/>
  <c r="BB86" i="2" s="1"/>
  <c r="BE86" i="2"/>
  <c r="BB88" i="12"/>
  <c r="BB424" i="12"/>
  <c r="BB94" i="12"/>
  <c r="BB422" i="12"/>
  <c r="BC426" i="12"/>
  <c r="BB187" i="6"/>
  <c r="BB215" i="2" s="1"/>
  <c r="BB212" i="2" s="1"/>
  <c r="BE215" i="2"/>
  <c r="BE212" i="2" s="1"/>
  <c r="BE149" i="12"/>
  <c r="BC210" i="12"/>
  <c r="BB210" i="12"/>
  <c r="BE208" i="12"/>
  <c r="BE201" i="12"/>
  <c r="BE93" i="2"/>
  <c r="BE428" i="12"/>
  <c r="BL428" i="12"/>
  <c r="BC188" i="12"/>
  <c r="BB188" i="12"/>
  <c r="BE152" i="2"/>
  <c r="BB87" i="2"/>
  <c r="BE432" i="12"/>
  <c r="BL432" i="12"/>
  <c r="BB7" i="12"/>
  <c r="BB385" i="12" s="1"/>
  <c r="BC172" i="12"/>
  <c r="BB172" i="12"/>
  <c r="BB170" i="12" s="1"/>
  <c r="BE170" i="12"/>
  <c r="BC90" i="6"/>
  <c r="BB90" i="6"/>
  <c r="BB154" i="2"/>
  <c r="BC345" i="12"/>
  <c r="BB345" i="12"/>
  <c r="BE342" i="12"/>
  <c r="BE378" i="12" s="1"/>
  <c r="BB425" i="12"/>
  <c r="BB91" i="12"/>
  <c r="BB427" i="12"/>
  <c r="BC136" i="12"/>
  <c r="BB136" i="12"/>
  <c r="BB74" i="12"/>
  <c r="BC126" i="2"/>
  <c r="BC121" i="2" s="1"/>
  <c r="BB126" i="2"/>
  <c r="BB121" i="2" s="1"/>
  <c r="BE121" i="2"/>
  <c r="BB164" i="2"/>
  <c r="BC192" i="12"/>
  <c r="BC119" i="12"/>
  <c r="BC89" i="12" s="1"/>
  <c r="BB119" i="12"/>
  <c r="BB116" i="12" s="1"/>
  <c r="BC346" i="12"/>
  <c r="BB346" i="12"/>
  <c r="BL430" i="12"/>
  <c r="BE430" i="12"/>
  <c r="BB323" i="12"/>
  <c r="BB397" i="12" s="1"/>
  <c r="BC337" i="12"/>
  <c r="BC336" i="12" s="1"/>
  <c r="BB337" i="12"/>
  <c r="BB336" i="12" s="1"/>
  <c r="BE336" i="12"/>
  <c r="BE116" i="12"/>
  <c r="BB274" i="12"/>
  <c r="BC213" i="12"/>
  <c r="BC204" i="12" s="1"/>
  <c r="BB213" i="12"/>
  <c r="BB204" i="12" s="1"/>
  <c r="BE204" i="12"/>
  <c r="BB161" i="2"/>
  <c r="BB153" i="2"/>
  <c r="BC87" i="2"/>
  <c r="BB426" i="12"/>
  <c r="BB82" i="12"/>
  <c r="BC133" i="12"/>
  <c r="BB133" i="12"/>
  <c r="BE131" i="12"/>
  <c r="BB188" i="6"/>
  <c r="BB184" i="6" s="1"/>
  <c r="BE184" i="6"/>
  <c r="BB65" i="6"/>
  <c r="BB53" i="6"/>
  <c r="BC202" i="2"/>
  <c r="BC201" i="2" s="1"/>
  <c r="BB202" i="2"/>
  <c r="BB201" i="2" s="1"/>
  <c r="BE201" i="2"/>
  <c r="BC274" i="12"/>
  <c r="BE433" i="12"/>
  <c r="BL433" i="12"/>
  <c r="BC153" i="2"/>
  <c r="BC161" i="2"/>
  <c r="BC258" i="12"/>
  <c r="BB258" i="12"/>
  <c r="BC340" i="12"/>
  <c r="BB340" i="12"/>
  <c r="BB182" i="6"/>
  <c r="BB359" i="12" s="1"/>
  <c r="BE359" i="12"/>
  <c r="BB40" i="6"/>
  <c r="BC142" i="12" l="1"/>
  <c r="BE226" i="12"/>
  <c r="BE258" i="6"/>
  <c r="BC71" i="2"/>
  <c r="BC204" i="2"/>
  <c r="BB204" i="2"/>
  <c r="BB71" i="2"/>
  <c r="BE146" i="2"/>
  <c r="BE176" i="2" s="1"/>
  <c r="BE285" i="6" s="1"/>
  <c r="BE257" i="6"/>
  <c r="BB261" i="12"/>
  <c r="BE86" i="12"/>
  <c r="BE139" i="12" s="1"/>
  <c r="BB90" i="12"/>
  <c r="BB143" i="12" s="1"/>
  <c r="BB258" i="6" s="1"/>
  <c r="BC109" i="12"/>
  <c r="BC364" i="12" s="1"/>
  <c r="BC149" i="12"/>
  <c r="BC90" i="12"/>
  <c r="BC143" i="12" s="1"/>
  <c r="BB151" i="12"/>
  <c r="BC217" i="12"/>
  <c r="BE407" i="12"/>
  <c r="BC131" i="12"/>
  <c r="BB217" i="12"/>
  <c r="BC152" i="12"/>
  <c r="BB89" i="12"/>
  <c r="BB142" i="12" s="1"/>
  <c r="BB368" i="12" s="1"/>
  <c r="BB163" i="12"/>
  <c r="BB205" i="12"/>
  <c r="BB57" i="2"/>
  <c r="BB56" i="2" s="1"/>
  <c r="BB218" i="2" s="1"/>
  <c r="BB217" i="2" s="1"/>
  <c r="BE56" i="2"/>
  <c r="BE218" i="2" s="1"/>
  <c r="BE217" i="2" s="1"/>
  <c r="BB131" i="12"/>
  <c r="BB152" i="12"/>
  <c r="BC151" i="12"/>
  <c r="BC164" i="2"/>
  <c r="BC152" i="2" s="1"/>
  <c r="BC150" i="12"/>
  <c r="BC261" i="12"/>
  <c r="BC205" i="12"/>
  <c r="BE247" i="12"/>
  <c r="BE287" i="12" s="1"/>
  <c r="BE296" i="12" s="1"/>
  <c r="BB58" i="6"/>
  <c r="BE408" i="12"/>
  <c r="BC368" i="12"/>
  <c r="BC257" i="6"/>
  <c r="BB201" i="12"/>
  <c r="BB208" i="12"/>
  <c r="BB141" i="12"/>
  <c r="BB83" i="2"/>
  <c r="BB248" i="2"/>
  <c r="BB263" i="6"/>
  <c r="BC163" i="12"/>
  <c r="BC322" i="12"/>
  <c r="BC327" i="12"/>
  <c r="BC229" i="12"/>
  <c r="BC202" i="12" s="1"/>
  <c r="BB229" i="12"/>
  <c r="BB202" i="12" s="1"/>
  <c r="BB109" i="12"/>
  <c r="BB364" i="12" s="1"/>
  <c r="BB184" i="12"/>
  <c r="BC105" i="6"/>
  <c r="BB105" i="6"/>
  <c r="BE370" i="12"/>
  <c r="BE409" i="12" s="1"/>
  <c r="BE250" i="12"/>
  <c r="BE290" i="12" s="1"/>
  <c r="BE298" i="12" s="1"/>
  <c r="BE259" i="6"/>
  <c r="BB106" i="2"/>
  <c r="BC116" i="12"/>
  <c r="BI432" i="12"/>
  <c r="BB432" i="12"/>
  <c r="BB342" i="12"/>
  <c r="BB378" i="12" s="1"/>
  <c r="BB146" i="2"/>
  <c r="BB264" i="6"/>
  <c r="BC208" i="12"/>
  <c r="BC201" i="12"/>
  <c r="BC83" i="2"/>
  <c r="BC263" i="6"/>
  <c r="BB195" i="6"/>
  <c r="BJ433" i="12"/>
  <c r="BC433" i="12"/>
  <c r="BJ431" i="12"/>
  <c r="BC431" i="12"/>
  <c r="BJ428" i="12"/>
  <c r="BC428" i="12"/>
  <c r="BC184" i="12"/>
  <c r="BC106" i="2"/>
  <c r="BB327" i="12"/>
  <c r="BB322" i="12"/>
  <c r="BB369" i="12"/>
  <c r="BC342" i="12"/>
  <c r="BC378" i="12" s="1"/>
  <c r="BC155" i="12"/>
  <c r="BE117" i="2"/>
  <c r="BB52" i="6"/>
  <c r="BC144" i="12"/>
  <c r="BE147" i="12"/>
  <c r="BJ432" i="12"/>
  <c r="BC432" i="12"/>
  <c r="BB120" i="2"/>
  <c r="BB117" i="2" s="1"/>
  <c r="BB122" i="2"/>
  <c r="BC248" i="2"/>
  <c r="BC89" i="2"/>
  <c r="BB89" i="2"/>
  <c r="BJ430" i="12"/>
  <c r="BC430" i="12"/>
  <c r="BE249" i="12"/>
  <c r="BE289" i="12" s="1"/>
  <c r="BE297" i="12" s="1"/>
  <c r="BB152" i="2"/>
  <c r="BI433" i="12"/>
  <c r="BB433" i="12"/>
  <c r="BC120" i="2"/>
  <c r="BC117" i="2" s="1"/>
  <c r="BC122" i="2"/>
  <c r="BC341" i="12"/>
  <c r="BC339" i="12" s="1"/>
  <c r="BB341" i="12"/>
  <c r="BB339" i="12" s="1"/>
  <c r="BC141" i="12"/>
  <c r="BB190" i="2"/>
  <c r="BB189" i="2" s="1"/>
  <c r="BB198" i="2"/>
  <c r="BE256" i="6"/>
  <c r="BE246" i="12"/>
  <c r="BE286" i="12" s="1"/>
  <c r="BE295" i="12" s="1"/>
  <c r="BE367" i="12"/>
  <c r="BE406" i="12" s="1"/>
  <c r="BB253" i="12"/>
  <c r="BI430" i="12"/>
  <c r="BB430" i="12"/>
  <c r="BE145" i="2"/>
  <c r="BE263" i="6"/>
  <c r="BE260" i="6" s="1"/>
  <c r="BB9" i="6"/>
  <c r="BB144" i="12"/>
  <c r="BI428" i="12"/>
  <c r="BB428" i="12"/>
  <c r="BB149" i="12"/>
  <c r="BE223" i="2"/>
  <c r="BE237" i="2"/>
  <c r="BC253" i="12"/>
  <c r="BC146" i="2"/>
  <c r="BC264" i="6"/>
  <c r="BB70" i="6"/>
  <c r="BI431" i="12"/>
  <c r="BB431" i="12"/>
  <c r="BC170" i="12"/>
  <c r="BE199" i="12"/>
  <c r="BE83" i="2"/>
  <c r="BB180" i="6"/>
  <c r="BE357" i="12"/>
  <c r="BE355" i="12" s="1"/>
  <c r="BE178" i="6"/>
  <c r="BE321" i="12"/>
  <c r="BE248" i="2"/>
  <c r="BE89" i="2"/>
  <c r="BB150" i="12"/>
  <c r="BB155" i="12"/>
  <c r="BC190" i="2"/>
  <c r="BC189" i="2" s="1"/>
  <c r="BC198" i="2"/>
  <c r="BC86" i="12" l="1"/>
  <c r="BC139" i="12" s="1"/>
  <c r="BC249" i="12"/>
  <c r="BC289" i="12" s="1"/>
  <c r="BC297" i="12" s="1"/>
  <c r="BB249" i="12"/>
  <c r="BB289" i="12" s="1"/>
  <c r="BB297" i="12" s="1"/>
  <c r="BB414" i="12" s="1"/>
  <c r="BC258" i="6"/>
  <c r="BC369" i="12"/>
  <c r="BB257" i="6"/>
  <c r="BE293" i="12"/>
  <c r="BB86" i="12"/>
  <c r="BB139" i="12" s="1"/>
  <c r="BB363" i="12" s="1"/>
  <c r="BB362" i="12" s="1"/>
  <c r="BE177" i="6"/>
  <c r="BE171" i="2"/>
  <c r="BE307" i="6" s="1"/>
  <c r="BB408" i="12"/>
  <c r="BE245" i="2"/>
  <c r="BC147" i="12"/>
  <c r="BC247" i="12"/>
  <c r="BC287" i="12" s="1"/>
  <c r="BC296" i="12" s="1"/>
  <c r="BC226" i="12"/>
  <c r="BE254" i="6"/>
  <c r="BE253" i="6" s="1"/>
  <c r="BB247" i="12"/>
  <c r="BB287" i="12" s="1"/>
  <c r="BB407" i="12"/>
  <c r="BB226" i="12"/>
  <c r="BB60" i="6"/>
  <c r="BB260" i="6"/>
  <c r="BC407" i="12"/>
  <c r="BC145" i="2"/>
  <c r="BC175" i="2" s="1"/>
  <c r="BE298" i="6"/>
  <c r="BB50" i="6"/>
  <c r="BE419" i="12"/>
  <c r="BB36" i="6"/>
  <c r="BC199" i="12"/>
  <c r="BB278" i="6"/>
  <c r="BC223" i="2"/>
  <c r="BC237" i="2"/>
  <c r="BB73" i="12"/>
  <c r="BB71" i="12" s="1"/>
  <c r="BB372" i="12" s="1"/>
  <c r="BB371" i="12" s="1"/>
  <c r="BE71" i="12"/>
  <c r="BE372" i="12" s="1"/>
  <c r="BE371" i="12" s="1"/>
  <c r="BC142" i="2"/>
  <c r="BC245" i="2"/>
  <c r="BE170" i="2"/>
  <c r="BE175" i="2"/>
  <c r="BE297" i="6"/>
  <c r="BE284" i="12"/>
  <c r="BE418" i="12"/>
  <c r="BB145" i="2"/>
  <c r="BB370" i="12"/>
  <c r="BB409" i="12" s="1"/>
  <c r="BB250" i="12"/>
  <c r="BB290" i="12" s="1"/>
  <c r="BB298" i="12" s="1"/>
  <c r="BB259" i="6"/>
  <c r="BC367" i="12"/>
  <c r="BC406" i="12" s="1"/>
  <c r="BC246" i="12"/>
  <c r="BC286" i="12" s="1"/>
  <c r="BC295" i="12" s="1"/>
  <c r="BC256" i="6"/>
  <c r="BC173" i="6"/>
  <c r="BB173" i="6"/>
  <c r="BB142" i="2"/>
  <c r="BB245" i="2"/>
  <c r="BC300" i="6"/>
  <c r="BC171" i="2"/>
  <c r="BC307" i="6" s="1"/>
  <c r="BC176" i="2"/>
  <c r="BC285" i="6" s="1"/>
  <c r="BC363" i="12"/>
  <c r="BC362" i="12" s="1"/>
  <c r="BB321" i="12"/>
  <c r="BE421" i="12"/>
  <c r="BE301" i="6"/>
  <c r="BB246" i="12"/>
  <c r="BB286" i="12" s="1"/>
  <c r="BB295" i="12" s="1"/>
  <c r="BB256" i="6"/>
  <c r="BB367" i="12"/>
  <c r="BB406" i="12" s="1"/>
  <c r="BB199" i="12"/>
  <c r="BB66" i="6"/>
  <c r="BB31" i="2"/>
  <c r="BC321" i="12"/>
  <c r="BE142" i="2"/>
  <c r="BB147" i="12"/>
  <c r="BC100" i="6"/>
  <c r="BB100" i="6"/>
  <c r="BC106" i="6"/>
  <c r="BB106" i="6"/>
  <c r="BB176" i="2"/>
  <c r="BB285" i="6" s="1"/>
  <c r="BB171" i="2"/>
  <c r="BB307" i="6" s="1"/>
  <c r="BB357" i="12"/>
  <c r="BB355" i="12" s="1"/>
  <c r="BB178" i="6"/>
  <c r="BB177" i="6" s="1"/>
  <c r="BC250" i="12"/>
  <c r="BC290" i="12" s="1"/>
  <c r="BC298" i="12" s="1"/>
  <c r="BC370" i="12"/>
  <c r="BC409" i="12" s="1"/>
  <c r="BC259" i="6"/>
  <c r="BE413" i="12"/>
  <c r="BE276" i="6"/>
  <c r="BE377" i="12"/>
  <c r="BE396" i="12"/>
  <c r="BE244" i="12"/>
  <c r="BE376" i="12" s="1"/>
  <c r="BE363" i="12"/>
  <c r="BE362" i="12" s="1"/>
  <c r="BE404" i="12" s="1"/>
  <c r="BB237" i="2"/>
  <c r="BB223" i="2"/>
  <c r="BB420" i="12"/>
  <c r="BB300" i="6"/>
  <c r="BB68" i="6"/>
  <c r="BB67" i="6" s="1"/>
  <c r="BB201" i="6" s="1"/>
  <c r="BB200" i="6" s="1"/>
  <c r="BE67" i="6"/>
  <c r="BE201" i="6" s="1"/>
  <c r="BE200" i="6" s="1"/>
  <c r="BE300" i="6"/>
  <c r="BE420" i="12"/>
  <c r="BB38" i="6"/>
  <c r="BC260" i="6"/>
  <c r="BC420" i="12" l="1"/>
  <c r="BC408" i="12"/>
  <c r="BC298" i="6"/>
  <c r="BC244" i="12"/>
  <c r="BC376" i="12" s="1"/>
  <c r="BC404" i="12"/>
  <c r="BC419" i="12"/>
  <c r="BC170" i="2"/>
  <c r="BC256" i="2" s="1"/>
  <c r="BC293" i="12"/>
  <c r="BC410" i="12" s="1"/>
  <c r="BB419" i="12"/>
  <c r="BB296" i="12"/>
  <c r="BB293" i="12" s="1"/>
  <c r="BE375" i="12"/>
  <c r="BE395" i="12" s="1"/>
  <c r="BE394" i="12" s="1"/>
  <c r="BE393" i="12" s="1"/>
  <c r="BE391" i="12" s="1"/>
  <c r="BB298" i="6"/>
  <c r="BB244" i="12"/>
  <c r="BB376" i="12" s="1"/>
  <c r="BB254" i="6"/>
  <c r="BB253" i="6" s="1"/>
  <c r="BE295" i="6"/>
  <c r="BB21" i="2"/>
  <c r="BB20" i="2" s="1"/>
  <c r="BB6" i="2" s="1"/>
  <c r="BE20" i="2"/>
  <c r="BE6" i="2" s="1"/>
  <c r="BB50" i="12"/>
  <c r="BB38" i="12" s="1"/>
  <c r="BE38" i="12"/>
  <c r="BC418" i="12"/>
  <c r="BC284" i="12"/>
  <c r="BC416" i="12" s="1"/>
  <c r="BC297" i="6"/>
  <c r="BE416" i="12"/>
  <c r="BC252" i="2"/>
  <c r="BC172" i="2"/>
  <c r="BC249" i="2" s="1"/>
  <c r="BC284" i="6"/>
  <c r="BC281" i="6" s="1"/>
  <c r="BE222" i="2"/>
  <c r="BE221" i="2" s="1"/>
  <c r="BE236" i="2" s="1"/>
  <c r="BE235" i="2" s="1"/>
  <c r="BE234" i="2" s="1"/>
  <c r="BE232" i="2" s="1"/>
  <c r="BE167" i="2"/>
  <c r="BE253" i="2" s="1"/>
  <c r="BB32" i="6"/>
  <c r="BB167" i="2"/>
  <c r="BB253" i="2" s="1"/>
  <c r="BB222" i="2"/>
  <c r="BB221" i="2" s="1"/>
  <c r="BB236" i="2" s="1"/>
  <c r="BB235" i="2" s="1"/>
  <c r="BB234" i="2" s="1"/>
  <c r="BB232" i="2" s="1"/>
  <c r="BB170" i="2"/>
  <c r="BB175" i="2"/>
  <c r="BE252" i="2"/>
  <c r="BE172" i="2"/>
  <c r="BE249" i="2" s="1"/>
  <c r="BE284" i="6"/>
  <c r="BE281" i="6" s="1"/>
  <c r="BC301" i="6"/>
  <c r="BC421" i="12"/>
  <c r="BC414" i="12"/>
  <c r="BC278" i="6"/>
  <c r="BE256" i="2"/>
  <c r="BE306" i="6"/>
  <c r="BE303" i="6" s="1"/>
  <c r="BE414" i="12"/>
  <c r="BE278" i="6"/>
  <c r="BB8" i="6"/>
  <c r="BB7" i="6" s="1"/>
  <c r="BE7" i="6"/>
  <c r="BB421" i="12"/>
  <c r="BB301" i="6"/>
  <c r="BC167" i="2"/>
  <c r="BC253" i="2" s="1"/>
  <c r="BC222" i="2"/>
  <c r="BC221" i="2" s="1"/>
  <c r="BC236" i="2" s="1"/>
  <c r="BC235" i="2" s="1"/>
  <c r="BC234" i="2" s="1"/>
  <c r="BC232" i="2" s="1"/>
  <c r="BC412" i="12"/>
  <c r="BC275" i="6"/>
  <c r="BE279" i="6"/>
  <c r="BE415" i="12"/>
  <c r="BB297" i="6"/>
  <c r="BB284" i="12"/>
  <c r="BB416" i="12" s="1"/>
  <c r="BB418" i="12"/>
  <c r="BC170" i="6"/>
  <c r="BC238" i="6" s="1"/>
  <c r="BB170" i="6"/>
  <c r="BB238" i="6" s="1"/>
  <c r="BE238" i="6"/>
  <c r="BC117" i="6"/>
  <c r="BC115" i="6" s="1"/>
  <c r="BB117" i="6"/>
  <c r="BB115" i="6" s="1"/>
  <c r="BE115" i="6"/>
  <c r="BC413" i="12"/>
  <c r="BC276" i="6"/>
  <c r="BC94" i="6"/>
  <c r="BB94" i="6"/>
  <c r="BB404" i="12"/>
  <c r="BC377" i="12"/>
  <c r="BC396" i="12"/>
  <c r="BB275" i="6"/>
  <c r="BB412" i="12"/>
  <c r="BC254" i="6"/>
  <c r="BC253" i="6" s="1"/>
  <c r="BB25" i="6"/>
  <c r="BB56" i="12"/>
  <c r="BB55" i="12" s="1"/>
  <c r="BE55" i="12"/>
  <c r="BE275" i="6"/>
  <c r="BE410" i="12"/>
  <c r="BE412" i="12"/>
  <c r="BB377" i="12"/>
  <c r="BB396" i="12"/>
  <c r="BC306" i="6" l="1"/>
  <c r="BC303" i="6" s="1"/>
  <c r="BB295" i="6"/>
  <c r="BB276" i="6"/>
  <c r="BB413" i="12"/>
  <c r="BB375" i="12"/>
  <c r="BB395" i="12" s="1"/>
  <c r="BB394" i="12" s="1"/>
  <c r="BB393" i="12" s="1"/>
  <c r="BB391" i="12" s="1"/>
  <c r="BC375" i="12"/>
  <c r="BC395" i="12" s="1"/>
  <c r="BC394" i="12" s="1"/>
  <c r="BC393" i="12" s="1"/>
  <c r="BC391" i="12" s="1"/>
  <c r="BC295" i="6"/>
  <c r="BB36" i="2"/>
  <c r="BB26" i="2" s="1"/>
  <c r="BE26" i="2"/>
  <c r="BC99" i="6"/>
  <c r="BB99" i="6"/>
  <c r="BE175" i="6"/>
  <c r="BE226" i="6"/>
  <c r="BC95" i="6"/>
  <c r="BB95" i="6"/>
  <c r="BC110" i="6"/>
  <c r="BB110" i="6"/>
  <c r="BB226" i="6"/>
  <c r="BB252" i="2"/>
  <c r="BB172" i="2"/>
  <c r="BB249" i="2" s="1"/>
  <c r="BB284" i="6"/>
  <c r="BB281" i="6" s="1"/>
  <c r="BE273" i="6"/>
  <c r="BC111" i="6"/>
  <c r="BB111" i="6"/>
  <c r="BB256" i="2"/>
  <c r="BB306" i="6"/>
  <c r="BB303" i="6" s="1"/>
  <c r="BC169" i="6"/>
  <c r="BC168" i="6" s="1"/>
  <c r="BB169" i="6"/>
  <c r="BB168" i="6" s="1"/>
  <c r="BE168" i="6"/>
  <c r="BB415" i="12"/>
  <c r="BB279" i="6"/>
  <c r="BC172" i="6"/>
  <c r="BC171" i="6" s="1"/>
  <c r="BB172" i="6"/>
  <c r="BB171" i="6" s="1"/>
  <c r="BE171" i="6"/>
  <c r="BC415" i="12"/>
  <c r="BC279" i="6"/>
  <c r="BC273" i="6" s="1"/>
  <c r="BC109" i="6"/>
  <c r="BB109" i="6"/>
  <c r="BE108" i="6"/>
  <c r="BE386" i="12"/>
  <c r="BE384" i="12" s="1"/>
  <c r="BE390" i="12" s="1"/>
  <c r="BE387" i="12" s="1"/>
  <c r="BE37" i="12"/>
  <c r="BC87" i="6"/>
  <c r="BB87" i="6"/>
  <c r="BE198" i="6"/>
  <c r="BE84" i="6"/>
  <c r="BE96" i="6" s="1"/>
  <c r="BB37" i="12"/>
  <c r="BB386" i="12"/>
  <c r="BB384" i="12" s="1"/>
  <c r="BB390" i="12" s="1"/>
  <c r="BB387" i="12" s="1"/>
  <c r="BC176" i="6"/>
  <c r="BC208" i="6" s="1"/>
  <c r="BB176" i="6"/>
  <c r="BB208" i="6" s="1"/>
  <c r="BE208" i="6"/>
  <c r="BB410" i="12"/>
  <c r="BC98" i="6"/>
  <c r="BB98" i="6"/>
  <c r="BE97" i="6"/>
  <c r="BB273" i="6" l="1"/>
  <c r="BC97" i="6"/>
  <c r="BB108" i="6"/>
  <c r="BE25" i="2"/>
  <c r="BE227" i="2"/>
  <c r="BE225" i="2" s="1"/>
  <c r="BE231" i="2" s="1"/>
  <c r="BE228" i="2" s="1"/>
  <c r="BE21" i="12"/>
  <c r="BE6" i="12" s="1"/>
  <c r="BB22" i="12"/>
  <c r="BB21" i="12" s="1"/>
  <c r="BB6" i="12" s="1"/>
  <c r="BC108" i="6"/>
  <c r="BB25" i="2"/>
  <c r="BB227" i="2"/>
  <c r="BB225" i="2" s="1"/>
  <c r="BB231" i="2" s="1"/>
  <c r="BB228" i="2" s="1"/>
  <c r="BE197" i="6"/>
  <c r="BE196" i="6" s="1"/>
  <c r="BE247" i="6" s="1"/>
  <c r="BE112" i="6"/>
  <c r="BC114" i="6"/>
  <c r="BB114" i="6"/>
  <c r="BB51" i="6"/>
  <c r="BB49" i="6" s="1"/>
  <c r="BE49" i="6"/>
  <c r="BB198" i="6"/>
  <c r="BB84" i="6"/>
  <c r="BB96" i="6" s="1"/>
  <c r="BE206" i="6"/>
  <c r="BE237" i="6"/>
  <c r="BC198" i="6"/>
  <c r="BC84" i="6"/>
  <c r="BC96" i="6" s="1"/>
  <c r="BB97" i="6"/>
  <c r="BB206" i="6"/>
  <c r="BB237" i="6"/>
  <c r="BC237" i="6"/>
  <c r="BC206" i="6"/>
  <c r="BB175" i="6"/>
  <c r="BB207" i="6" s="1"/>
  <c r="BE207" i="6"/>
  <c r="BC175" i="6"/>
  <c r="BC207" i="6" s="1"/>
  <c r="B5" i="4" l="1"/>
  <c r="C5" i="4" s="1"/>
  <c r="C2" i="4" s="1"/>
  <c r="A5" i="4"/>
  <c r="BB43" i="6"/>
  <c r="BB31" i="6" s="1"/>
  <c r="BE31" i="6"/>
  <c r="BE205" i="6"/>
  <c r="BE204" i="6" s="1"/>
  <c r="BE119" i="6"/>
  <c r="BE121" i="6" s="1"/>
  <c r="BB197" i="6"/>
  <c r="BB196" i="6" s="1"/>
  <c r="BB247" i="6" s="1"/>
  <c r="BB112" i="6"/>
  <c r="BC112" i="6"/>
  <c r="BC197" i="6"/>
  <c r="BC196" i="6" s="1"/>
  <c r="BC247" i="6" s="1"/>
  <c r="BE218" i="6" l="1"/>
  <c r="BE217" i="6" s="1"/>
  <c r="BE294" i="6"/>
  <c r="BE315" i="6" s="1"/>
  <c r="BE249" i="6"/>
  <c r="BE122" i="6"/>
  <c r="BE248" i="6" s="1"/>
  <c r="BE272" i="6"/>
  <c r="BE236" i="6"/>
  <c r="BE235" i="6" s="1"/>
  <c r="BE234" i="6" s="1"/>
  <c r="BE232" i="6" s="1"/>
  <c r="BC119" i="6"/>
  <c r="BC121" i="6" s="1"/>
  <c r="BC205" i="6"/>
  <c r="BC204" i="6" s="1"/>
  <c r="BB119" i="6"/>
  <c r="BB121" i="6" s="1"/>
  <c r="BB205" i="6"/>
  <c r="BB204" i="6" s="1"/>
  <c r="BB227" i="6"/>
  <c r="BB225" i="6" s="1"/>
  <c r="BB231" i="6" s="1"/>
  <c r="BB228" i="6" s="1"/>
  <c r="BB30" i="6"/>
  <c r="BE30" i="6"/>
  <c r="BE227" i="6"/>
  <c r="BE225" i="6" s="1"/>
  <c r="BE231" i="6" s="1"/>
  <c r="BE228" i="6" s="1"/>
  <c r="BB24" i="6" l="1"/>
  <c r="BB23" i="6" s="1"/>
  <c r="BB6" i="6" s="1"/>
  <c r="BE23" i="6"/>
  <c r="BE6" i="6" s="1"/>
  <c r="BB272" i="6"/>
  <c r="BB236" i="6"/>
  <c r="BB235" i="6" s="1"/>
  <c r="BB234" i="6" s="1"/>
  <c r="BB232" i="6" s="1"/>
  <c r="BB122" i="6"/>
  <c r="BB248" i="6" s="1"/>
  <c r="BB218" i="6"/>
  <c r="BB217" i="6" s="1"/>
  <c r="BB249" i="6"/>
  <c r="BB294" i="6"/>
  <c r="BB315" i="6" s="1"/>
  <c r="BC218" i="6"/>
  <c r="BC217" i="6" s="1"/>
  <c r="BC249" i="6"/>
  <c r="BC294" i="6"/>
  <c r="BC315" i="6" s="1"/>
  <c r="BC122" i="6"/>
  <c r="BC248" i="6" s="1"/>
  <c r="BC272" i="6"/>
  <c r="BC236" i="6"/>
  <c r="BC235" i="6" s="1"/>
  <c r="BC234" i="6" s="1"/>
  <c r="BC232" i="6" s="1"/>
  <c r="Z5" i="4" l="1"/>
  <c r="AA5" i="4" s="1"/>
  <c r="AA2" i="4" s="1"/>
  <c r="Y5" i="4"/>
  <c r="BO108" i="6" l="1"/>
  <c r="BO112" i="6" s="1"/>
  <c r="BO119" i="6" s="1"/>
  <c r="BO121" i="6" s="1"/>
  <c r="BP121" i="6" s="1"/>
  <c r="BP109" i="6"/>
  <c r="BP108" i="6" s="1"/>
  <c r="BP112" i="6" s="1"/>
  <c r="BO205" i="6" l="1"/>
  <c r="BO204" i="6" s="1"/>
  <c r="BP119" i="6"/>
  <c r="BP205" i="6"/>
  <c r="BP204" i="6" s="1"/>
  <c r="BP272" i="6" s="1"/>
  <c r="BO122" i="6"/>
  <c r="BO248" i="6" s="1"/>
  <c r="BO272" i="6"/>
  <c r="BO236" i="6"/>
  <c r="BO235" i="6" s="1"/>
  <c r="BO234" i="6" s="1"/>
  <c r="BO232" i="6" s="1"/>
  <c r="BO249" i="6"/>
  <c r="BO218" i="6"/>
  <c r="BO217" i="6" s="1"/>
  <c r="BO294" i="6"/>
  <c r="BO315" i="6" s="1"/>
  <c r="BP122" i="6" l="1"/>
  <c r="BP248" i="6" s="1"/>
  <c r="BP236" i="6"/>
  <c r="BP235" i="6" s="1"/>
  <c r="BP234" i="6" s="1"/>
  <c r="BP232" i="6" s="1"/>
  <c r="BP218" i="6"/>
  <c r="BP217" i="6" s="1"/>
  <c r="BP249" i="6"/>
  <c r="BP294" i="6"/>
  <c r="BP315" i="6" s="1"/>
  <c r="BC318" i="12" l="1"/>
  <c r="BD318" i="12"/>
  <c r="BC319" i="12"/>
  <c r="BD319" i="12"/>
  <c r="BC320" i="12"/>
  <c r="BD320" i="12"/>
  <c r="BF315" i="12" l="1"/>
  <c r="BC317" i="12"/>
  <c r="BC315" i="12" s="1"/>
  <c r="BD317" i="12"/>
  <c r="BD315" i="12" s="1"/>
  <c r="BD235" i="12" l="1"/>
  <c r="BO315" i="12"/>
  <c r="BH28" i="16" l="1"/>
  <c r="BH27" i="16" s="1"/>
  <c r="BH30" i="16"/>
  <c r="BH13" i="16"/>
  <c r="BH17" i="16" s="1"/>
  <c r="BH38" i="16"/>
  <c r="BH36" i="16" l="1"/>
  <c r="BH46" i="16"/>
  <c r="BH37" i="16"/>
  <c r="BO38" i="16"/>
  <c r="BO28" i="16"/>
  <c r="BO27" i="16" s="1"/>
  <c r="BO20" i="16" l="1"/>
  <c r="BO30" i="16"/>
  <c r="BO13" i="16"/>
  <c r="BO17" i="16" s="1"/>
  <c r="BO36" i="16" s="1"/>
  <c r="BH35" i="16"/>
  <c r="BH45" i="16" s="1"/>
  <c r="BH44" i="16" s="1"/>
  <c r="BH43" i="16" s="1"/>
  <c r="BH41" i="16" s="1"/>
  <c r="BO37" i="16"/>
  <c r="BO46" i="16"/>
  <c r="BO35" i="16" l="1"/>
  <c r="BO45" i="16" s="1"/>
  <c r="BO44" i="16" s="1"/>
  <c r="BO43" i="16" s="1"/>
  <c r="BO41" i="16" s="1"/>
  <c r="BH292" i="6"/>
  <c r="BO292" i="6" l="1"/>
  <c r="BH367" i="12" l="1"/>
  <c r="BH362" i="12"/>
  <c r="BH24" i="16"/>
  <c r="BH406" i="12" l="1"/>
  <c r="BH418" i="12"/>
  <c r="BH412" i="12"/>
  <c r="BH404" i="12"/>
  <c r="BH410" i="12"/>
  <c r="BH416" i="12"/>
  <c r="BO24" i="16" l="1"/>
  <c r="BN13" i="16" l="1"/>
  <c r="BN17" i="16" s="1"/>
  <c r="BN38" i="16"/>
  <c r="BN20" i="16"/>
  <c r="BN28" i="16"/>
  <c r="BN27" i="16" s="1"/>
  <c r="BN30" i="16"/>
  <c r="BD22" i="16"/>
  <c r="BN46" i="16" l="1"/>
  <c r="BN37" i="16"/>
  <c r="BN315" i="12"/>
  <c r="BG38" i="16"/>
  <c r="BG28" i="16"/>
  <c r="BG30" i="16"/>
  <c r="BG13" i="16"/>
  <c r="BG17" i="16" s="1"/>
  <c r="BD21" i="16"/>
  <c r="BD20" i="16" s="1"/>
  <c r="BG20" i="16"/>
  <c r="BN36" i="16"/>
  <c r="BG36" i="16" l="1"/>
  <c r="BN35" i="16"/>
  <c r="BG27" i="16"/>
  <c r="BN45" i="16" l="1"/>
  <c r="BN44" i="16" s="1"/>
  <c r="BN43" i="16" s="1"/>
  <c r="BN41" i="16" s="1"/>
  <c r="BN292" i="6"/>
  <c r="BG37" i="16"/>
  <c r="BG35" i="16" s="1"/>
  <c r="BG46" i="16"/>
  <c r="BG45" i="16" l="1"/>
  <c r="BG44" i="16" s="1"/>
  <c r="BG43" i="16" s="1"/>
  <c r="BG41" i="16" s="1"/>
  <c r="BG292" i="6"/>
  <c r="BG24" i="16" l="1"/>
  <c r="BD25" i="16" l="1"/>
  <c r="BN367" i="12" l="1"/>
  <c r="BN362" i="12"/>
  <c r="BN24" i="16"/>
  <c r="BN410" i="12" l="1"/>
  <c r="BN404" i="12"/>
  <c r="BN416" i="12"/>
  <c r="BN406" i="12"/>
  <c r="BN412" i="12"/>
  <c r="BN418" i="12"/>
  <c r="BK319" i="12" l="1"/>
  <c r="BK320" i="12"/>
  <c r="BF28" i="16"/>
  <c r="BD15" i="16"/>
  <c r="BC31" i="16"/>
  <c r="BC30" i="16" s="1"/>
  <c r="BD31" i="16"/>
  <c r="BF30" i="16"/>
  <c r="BD32" i="16"/>
  <c r="BC32" i="16"/>
  <c r="BD14" i="16"/>
  <c r="BF13" i="16"/>
  <c r="BF17" i="16" s="1"/>
  <c r="BK317" i="12"/>
  <c r="BM315" i="12"/>
  <c r="BD16" i="16"/>
  <c r="BD33" i="16"/>
  <c r="BD38" i="16" s="1"/>
  <c r="BF38" i="16"/>
  <c r="BK318" i="12"/>
  <c r="BK315" i="12" l="1"/>
  <c r="BD13" i="16"/>
  <c r="BD17" i="16" s="1"/>
  <c r="BD36" i="16" s="1"/>
  <c r="BD30" i="16"/>
  <c r="BF36" i="16"/>
  <c r="BF27" i="16"/>
  <c r="BD28" i="16"/>
  <c r="BD27" i="16" s="1"/>
  <c r="BF46" i="16" l="1"/>
  <c r="BF37" i="16"/>
  <c r="BF35" i="16" s="1"/>
  <c r="BD37" i="16"/>
  <c r="BD35" i="16" s="1"/>
  <c r="BD46" i="16"/>
  <c r="BF292" i="6" l="1"/>
  <c r="BF45" i="16"/>
  <c r="BF44" i="16" s="1"/>
  <c r="BF43" i="16" s="1"/>
  <c r="BF41" i="16" s="1"/>
  <c r="BD292" i="6"/>
  <c r="BD45" i="16"/>
  <c r="BD44" i="16" s="1"/>
  <c r="BD43" i="16" s="1"/>
  <c r="BD41" i="16" s="1"/>
  <c r="BD19" i="16" l="1"/>
  <c r="BD24" i="16" s="1"/>
  <c r="BF24" i="16"/>
  <c r="BM367" i="12" l="1"/>
  <c r="BM362" i="12"/>
  <c r="BJ367" i="12" l="1"/>
  <c r="BJ362" i="12"/>
  <c r="BM404" i="12"/>
  <c r="BM410" i="12"/>
  <c r="BM416" i="12"/>
  <c r="BM418" i="12"/>
  <c r="BM412" i="12"/>
  <c r="BM406" i="12"/>
  <c r="BJ404" i="12" l="1"/>
  <c r="BJ416" i="12"/>
  <c r="BJ410" i="12"/>
  <c r="BJ406" i="12"/>
  <c r="BJ418" i="12"/>
  <c r="BJ412" i="12"/>
  <c r="BI317" i="12" l="1"/>
  <c r="BL315" i="12"/>
  <c r="BJ317" i="12"/>
  <c r="BI319" i="12"/>
  <c r="BJ319" i="12"/>
  <c r="BI320" i="12"/>
  <c r="BJ320" i="12"/>
  <c r="BI318" i="12"/>
  <c r="BJ318" i="12"/>
  <c r="BJ315" i="12" l="1"/>
  <c r="BI315" i="12"/>
  <c r="BL367" i="12" l="1"/>
  <c r="BL362" i="12"/>
  <c r="BL404" i="12" l="1"/>
  <c r="BL410" i="12"/>
  <c r="BL416" i="12"/>
  <c r="BL406" i="12"/>
  <c r="BL412" i="12"/>
  <c r="BL418" i="12"/>
  <c r="BB16" i="16" l="1"/>
  <c r="BC16" i="16"/>
  <c r="BE38" i="16"/>
  <c r="BB33" i="16"/>
  <c r="BB38" i="16" s="1"/>
  <c r="BC33" i="16"/>
  <c r="BC38" i="16" s="1"/>
  <c r="BE13" i="16"/>
  <c r="BE17" i="16" s="1"/>
  <c r="BB14" i="16"/>
  <c r="BB13" i="16" s="1"/>
  <c r="BB17" i="16" s="1"/>
  <c r="BB36" i="16" s="1"/>
  <c r="BC14" i="16"/>
  <c r="BC13" i="16" s="1"/>
  <c r="BC17" i="16" s="1"/>
  <c r="BC36" i="16" s="1"/>
  <c r="BB15" i="16"/>
  <c r="BB28" i="16" s="1"/>
  <c r="BB27" i="16" s="1"/>
  <c r="BE28" i="16"/>
  <c r="BC15" i="16"/>
  <c r="BE36" i="16" l="1"/>
  <c r="BE24" i="16"/>
  <c r="BE27" i="16"/>
  <c r="BC28" i="16"/>
  <c r="BC27" i="16" s="1"/>
  <c r="BB19" i="16"/>
  <c r="BB24" i="16" s="1"/>
  <c r="BC19" i="16"/>
  <c r="BC24" i="16" s="1"/>
  <c r="BB37" i="16"/>
  <c r="BB35" i="16" s="1"/>
  <c r="BB46" i="16"/>
  <c r="BB45" i="16" l="1"/>
  <c r="BB44" i="16" s="1"/>
  <c r="BB43" i="16" s="1"/>
  <c r="BB41" i="16" s="1"/>
  <c r="BB292" i="6"/>
  <c r="BC37" i="16"/>
  <c r="BC35" i="16" s="1"/>
  <c r="BC46" i="16"/>
  <c r="BE37" i="16"/>
  <c r="BE35" i="16" s="1"/>
  <c r="BE46" i="16"/>
  <c r="BE45" i="16" l="1"/>
  <c r="BE44" i="16" s="1"/>
  <c r="BE43" i="16" s="1"/>
  <c r="BE41" i="16" s="1"/>
  <c r="BE292" i="6"/>
  <c r="BC45" i="16"/>
  <c r="BC44" i="16" s="1"/>
  <c r="BC43" i="16" s="1"/>
  <c r="BC41" i="16" s="1"/>
  <c r="BC292" i="6"/>
  <c r="BB25" i="16" l="1"/>
  <c r="BC25" i="16"/>
  <c r="BP22" i="16" l="1"/>
  <c r="BP32" i="16"/>
  <c r="BP319" i="12"/>
  <c r="BP320" i="12"/>
  <c r="BP318" i="12"/>
  <c r="BL13" i="16" l="1"/>
  <c r="BL17" i="16" s="1"/>
  <c r="BI14" i="16"/>
  <c r="BL38" i="16"/>
  <c r="BI33" i="16"/>
  <c r="BI38" i="16" s="1"/>
  <c r="BI16" i="16"/>
  <c r="BS47" i="16"/>
  <c r="BP16" i="16"/>
  <c r="BP47" i="16" s="1"/>
  <c r="BS38" i="16"/>
  <c r="BP33" i="16"/>
  <c r="BP38" i="16" s="1"/>
  <c r="BS20" i="16"/>
  <c r="BP21" i="16"/>
  <c r="BI15" i="16"/>
  <c r="BI28" i="16" s="1"/>
  <c r="BI27" i="16" s="1"/>
  <c r="BL28" i="16"/>
  <c r="BL27" i="16" s="1"/>
  <c r="BP317" i="12"/>
  <c r="BP315" i="12" s="1"/>
  <c r="BS315" i="12"/>
  <c r="BL30" i="16"/>
  <c r="BI31" i="16"/>
  <c r="BP15" i="16"/>
  <c r="BP28" i="16" s="1"/>
  <c r="BP27" i="16" s="1"/>
  <c r="BS28" i="16"/>
  <c r="BS27" i="16" s="1"/>
  <c r="BI32" i="16"/>
  <c r="BP31" i="16"/>
  <c r="BP30" i="16" s="1"/>
  <c r="BS30" i="16"/>
  <c r="BL20" i="16"/>
  <c r="BP46" i="16" l="1"/>
  <c r="BP37" i="16"/>
  <c r="BI30" i="16"/>
  <c r="BP20" i="16"/>
  <c r="BQ20" i="16"/>
  <c r="BP14" i="16"/>
  <c r="BP13" i="16" s="1"/>
  <c r="BP17" i="16" s="1"/>
  <c r="BP36" i="16" s="1"/>
  <c r="BP35" i="16" s="1"/>
  <c r="BS13" i="16"/>
  <c r="BS17" i="16" s="1"/>
  <c r="BL46" i="16"/>
  <c r="BL37" i="16"/>
  <c r="BI13" i="16"/>
  <c r="BI17" i="16" s="1"/>
  <c r="BI36" i="16" s="1"/>
  <c r="BI35" i="16" s="1"/>
  <c r="BS46" i="16"/>
  <c r="BS37" i="16"/>
  <c r="BI46" i="16"/>
  <c r="BI37" i="16"/>
  <c r="BL36" i="16"/>
  <c r="BP45" i="16" l="1"/>
  <c r="BP44" i="16" s="1"/>
  <c r="BP43" i="16" s="1"/>
  <c r="BP41" i="16" s="1"/>
  <c r="BP292" i="6"/>
  <c r="BI45" i="16"/>
  <c r="BI44" i="16" s="1"/>
  <c r="BI43" i="16" s="1"/>
  <c r="BI41" i="16" s="1"/>
  <c r="BI292" i="6"/>
  <c r="BL35" i="16"/>
  <c r="BS36" i="16"/>
  <c r="BS35" i="16" s="1"/>
  <c r="BL45" i="16" l="1"/>
  <c r="BL44" i="16" s="1"/>
  <c r="BL43" i="16" s="1"/>
  <c r="BL41" i="16" s="1"/>
  <c r="BL292" i="6"/>
  <c r="BS45" i="16"/>
  <c r="BS44" i="16" s="1"/>
  <c r="BS43" i="16" s="1"/>
  <c r="BS41" i="16" s="1"/>
  <c r="BS292" i="6"/>
  <c r="BI19" i="16" l="1"/>
  <c r="BI24" i="16" s="1"/>
  <c r="BL24" i="16"/>
  <c r="BI25" i="16" l="1"/>
  <c r="BP19" i="16" l="1"/>
  <c r="BP24" i="16" s="1"/>
  <c r="BS24" i="16"/>
  <c r="BP25" i="16" l="1"/>
  <c r="BI367" i="12" l="1"/>
  <c r="BI362" i="12"/>
  <c r="BI416" i="12" l="1"/>
  <c r="BI410" i="12"/>
  <c r="BI404" i="12"/>
  <c r="BI406" i="12"/>
  <c r="BI418" i="12"/>
  <c r="BI412" i="12"/>
  <c r="BQ320" i="12" l="1"/>
  <c r="BQ319" i="12"/>
  <c r="BQ318" i="12"/>
  <c r="BQ22" i="16"/>
  <c r="BQ32" i="16"/>
  <c r="BQ16" i="16"/>
  <c r="BQ14" i="16" l="1"/>
  <c r="BT13" i="16"/>
  <c r="BT17" i="16" s="1"/>
  <c r="BT315" i="12"/>
  <c r="BQ317" i="12"/>
  <c r="BQ315" i="12" s="1"/>
  <c r="BQ15" i="16"/>
  <c r="BQ28" i="16" s="1"/>
  <c r="BQ27" i="16" s="1"/>
  <c r="BT28" i="16"/>
  <c r="BT27" i="16" s="1"/>
  <c r="BQ33" i="16"/>
  <c r="BQ38" i="16" s="1"/>
  <c r="BT38" i="16"/>
  <c r="BQ31" i="16"/>
  <c r="BQ30" i="16" s="1"/>
  <c r="BT30" i="16"/>
  <c r="BQ21" i="16"/>
  <c r="BT20" i="16"/>
  <c r="BQ46" i="16" l="1"/>
  <c r="BQ37" i="16"/>
  <c r="BT36" i="16"/>
  <c r="BT37" i="16"/>
  <c r="BT46" i="16"/>
  <c r="BQ13" i="16"/>
  <c r="BQ17" i="16" s="1"/>
  <c r="BT35" i="16" l="1"/>
  <c r="BT45" i="16" s="1"/>
  <c r="BT44" i="16" s="1"/>
  <c r="BT43" i="16" s="1"/>
  <c r="BT41" i="16" s="1"/>
  <c r="BQ36" i="16"/>
  <c r="BQ35" i="16" s="1"/>
  <c r="BT292" i="6" l="1"/>
  <c r="BQ45" i="16"/>
  <c r="BQ44" i="16" s="1"/>
  <c r="BQ43" i="16" s="1"/>
  <c r="BQ41" i="16" s="1"/>
  <c r="BQ292" i="6"/>
  <c r="BQ19" i="16" l="1"/>
  <c r="BQ24" i="16" s="1"/>
  <c r="BT24" i="16"/>
  <c r="BQ25" i="16" l="1"/>
  <c r="BK21" i="16" l="1"/>
  <c r="BK32" i="16"/>
  <c r="BJ32" i="16"/>
  <c r="BK15" i="16"/>
  <c r="BK28" i="16" s="1"/>
  <c r="BK27" i="16" s="1"/>
  <c r="BM28" i="16"/>
  <c r="BM27" i="16" s="1"/>
  <c r="BJ15" i="16"/>
  <c r="BJ28" i="16" s="1"/>
  <c r="BJ27" i="16" s="1"/>
  <c r="BK31" i="16"/>
  <c r="BK30" i="16" s="1"/>
  <c r="BM30" i="16"/>
  <c r="BJ31" i="16"/>
  <c r="BK22" i="16"/>
  <c r="BJ30" i="16" l="1"/>
  <c r="BJ37" i="16"/>
  <c r="BJ46" i="16"/>
  <c r="BK19" i="16"/>
  <c r="BJ19" i="16"/>
  <c r="BM37" i="16"/>
  <c r="BM46" i="16"/>
  <c r="BK33" i="16"/>
  <c r="BK38" i="16" s="1"/>
  <c r="BM38" i="16"/>
  <c r="BJ33" i="16"/>
  <c r="BJ38" i="16" s="1"/>
  <c r="BK14" i="16"/>
  <c r="BJ14" i="16"/>
  <c r="BK37" i="16"/>
  <c r="BK46" i="16"/>
  <c r="BM20" i="16"/>
  <c r="BK20" i="16"/>
  <c r="BK16" i="16" l="1"/>
  <c r="BK13" i="16" s="1"/>
  <c r="BK17" i="16" s="1"/>
  <c r="BJ16" i="16"/>
  <c r="BJ13" i="16" s="1"/>
  <c r="BJ17" i="16" s="1"/>
  <c r="BM13" i="16"/>
  <c r="BM17" i="16" s="1"/>
  <c r="BM36" i="16" l="1"/>
  <c r="BM35" i="16" s="1"/>
  <c r="BM24" i="16"/>
  <c r="BJ36" i="16"/>
  <c r="BJ35" i="16" s="1"/>
  <c r="BJ24" i="16"/>
  <c r="BK36" i="16"/>
  <c r="BK35" i="16" s="1"/>
  <c r="BK24" i="16"/>
  <c r="BK292" i="6" l="1"/>
  <c r="BK45" i="16"/>
  <c r="BK44" i="16" s="1"/>
  <c r="BK43" i="16" s="1"/>
  <c r="BK41" i="16" s="1"/>
  <c r="BJ45" i="16"/>
  <c r="BJ44" i="16" s="1"/>
  <c r="BJ43" i="16" s="1"/>
  <c r="BJ41" i="16" s="1"/>
  <c r="BJ292" i="6"/>
  <c r="BM45" i="16"/>
  <c r="BM44" i="16" s="1"/>
  <c r="BM43" i="16" s="1"/>
  <c r="BM41" i="16" s="1"/>
  <c r="BM292" i="6"/>
  <c r="BK25" i="16" l="1"/>
  <c r="BJ25" i="16"/>
  <c r="BU404" i="12" l="1"/>
  <c r="BU376" i="12" l="1"/>
  <c r="BU375" i="12" s="1"/>
  <c r="BU395" i="12" s="1"/>
  <c r="BU394" i="12" s="1"/>
  <c r="BU393" i="12" s="1"/>
  <c r="BU391" i="12" s="1"/>
  <c r="BU38" i="16" l="1"/>
  <c r="BR33" i="16"/>
  <c r="BR38" i="16" s="1"/>
  <c r="BR320" i="12" l="1"/>
  <c r="BR317" i="12"/>
  <c r="BR318" i="12" l="1"/>
  <c r="BU315" i="12" l="1"/>
  <c r="BR319" i="12"/>
  <c r="BR315" i="12" s="1"/>
  <c r="BZ38" i="16" l="1"/>
  <c r="BZ30" i="16"/>
  <c r="BZ20" i="16"/>
  <c r="BZ13" i="16"/>
  <c r="BZ17" i="16" s="1"/>
  <c r="BZ36" i="16" s="1"/>
  <c r="BZ28" i="16" l="1"/>
  <c r="BZ27" i="16" s="1"/>
  <c r="BZ46" i="16" l="1"/>
  <c r="BZ37" i="16"/>
  <c r="BZ35" i="16" s="1"/>
  <c r="BZ292" i="6" l="1"/>
  <c r="BZ45" i="16"/>
  <c r="BZ44" i="16" s="1"/>
  <c r="BZ43" i="16" s="1"/>
  <c r="BZ41" i="16" s="1"/>
  <c r="BW320" i="12" l="1"/>
  <c r="BW319" i="12"/>
  <c r="BZ315" i="12" l="1"/>
  <c r="BW317" i="12"/>
  <c r="BW315" i="12" s="1"/>
  <c r="BZ24" i="16" l="1"/>
  <c r="BX320" i="12" l="1"/>
  <c r="BX319" i="12"/>
  <c r="CA315" i="12" l="1"/>
  <c r="BX317" i="12"/>
  <c r="BX315" i="12" s="1"/>
  <c r="BY320" i="12" l="1"/>
  <c r="BY319" i="12"/>
  <c r="CB315" i="12" l="1"/>
  <c r="CB28" i="16"/>
  <c r="CB27" i="16" s="1"/>
  <c r="CB30" i="16"/>
  <c r="CB20" i="16"/>
  <c r="CB13" i="16"/>
  <c r="CB17" i="16" s="1"/>
  <c r="CB38" i="16"/>
  <c r="BY317" i="12"/>
  <c r="BY315" i="12" s="1"/>
  <c r="BR22" i="16"/>
  <c r="BR32" i="16"/>
  <c r="CB36" i="16" l="1"/>
  <c r="BR21" i="16"/>
  <c r="BU20" i="16"/>
  <c r="BR20" i="16" s="1"/>
  <c r="BR15" i="16"/>
  <c r="BR28" i="16" s="1"/>
  <c r="BR27" i="16" s="1"/>
  <c r="BU28" i="16"/>
  <c r="BU27" i="16" s="1"/>
  <c r="BR31" i="16"/>
  <c r="BR30" i="16" s="1"/>
  <c r="BU30" i="16"/>
  <c r="CB46" i="16"/>
  <c r="CB37" i="16"/>
  <c r="BR18" i="16"/>
  <c r="BR16" i="16"/>
  <c r="BU37" i="16" l="1"/>
  <c r="BU46" i="16"/>
  <c r="BR46" i="16"/>
  <c r="BR37" i="16"/>
  <c r="BR14" i="16"/>
  <c r="BR13" i="16" s="1"/>
  <c r="BR17" i="16" s="1"/>
  <c r="BR36" i="16" s="1"/>
  <c r="BR35" i="16" s="1"/>
  <c r="BU13" i="16"/>
  <c r="BU17" i="16" s="1"/>
  <c r="BR45" i="16" l="1"/>
  <c r="BR44" i="16" s="1"/>
  <c r="BR43" i="16" s="1"/>
  <c r="BR41" i="16" s="1"/>
  <c r="BR292" i="6"/>
  <c r="BU36" i="16"/>
  <c r="BU35" i="16" s="1"/>
  <c r="CB45" i="16"/>
  <c r="CB44" i="16" s="1"/>
  <c r="CB43" i="16" s="1"/>
  <c r="CB41" i="16" s="1"/>
  <c r="CB292" i="6"/>
  <c r="BU292" i="6" l="1"/>
  <c r="BU45" i="16"/>
  <c r="BU44" i="16" s="1"/>
  <c r="BU43" i="16" s="1"/>
  <c r="BU41" i="16" s="1"/>
  <c r="BR19" i="16" l="1"/>
  <c r="BR24" i="16" s="1"/>
  <c r="BU24" i="16"/>
  <c r="BR25" i="16" l="1"/>
  <c r="CB24" i="16" l="1"/>
  <c r="CC315" i="12" l="1"/>
  <c r="BW22" i="16" l="1"/>
  <c r="BW32" i="16"/>
  <c r="BW16" i="16"/>
  <c r="BV38" i="16" l="1"/>
  <c r="BW33" i="16"/>
  <c r="BW38" i="16" s="1"/>
  <c r="BV13" i="16"/>
  <c r="BV17" i="16" s="1"/>
  <c r="BW14" i="16"/>
  <c r="BV28" i="16"/>
  <c r="BV27" i="16" s="1"/>
  <c r="BW15" i="16"/>
  <c r="BW28" i="16" s="1"/>
  <c r="BW27" i="16" s="1"/>
  <c r="BV30" i="16"/>
  <c r="BW31" i="16"/>
  <c r="BW30" i="16" s="1"/>
  <c r="BV20" i="16"/>
  <c r="BW21" i="16"/>
  <c r="BW20" i="16" s="1"/>
  <c r="BW13" i="16" l="1"/>
  <c r="BW17" i="16" s="1"/>
  <c r="BW36" i="16" s="1"/>
  <c r="BV36" i="16"/>
  <c r="BV46" i="16"/>
  <c r="BV37" i="16"/>
  <c r="BW46" i="16"/>
  <c r="BW37" i="16"/>
  <c r="BV35" i="16" l="1"/>
  <c r="BV292" i="6"/>
  <c r="BV45" i="16"/>
  <c r="BV44" i="16" s="1"/>
  <c r="BV43" i="16" s="1"/>
  <c r="BV41" i="16" s="1"/>
  <c r="BW35" i="16"/>
  <c r="BW292" i="6" l="1"/>
  <c r="BW45" i="16"/>
  <c r="BW44" i="16" s="1"/>
  <c r="BW43" i="16" s="1"/>
  <c r="BW41" i="16" s="1"/>
  <c r="BW19" i="16" l="1"/>
  <c r="BW24" i="16" s="1"/>
  <c r="BV24" i="16"/>
  <c r="BW25" i="16" l="1"/>
  <c r="CD236" i="6" l="1"/>
  <c r="CD235" i="6" s="1"/>
  <c r="CD234" i="6" s="1"/>
  <c r="CD232" i="6" s="1"/>
  <c r="CD122" i="6" l="1"/>
  <c r="CD248" i="6" s="1"/>
  <c r="CD272" i="6"/>
  <c r="CG147" i="12" l="1"/>
  <c r="CG244" i="12" s="1"/>
  <c r="CG376" i="12" s="1"/>
  <c r="CG375" i="12" l="1"/>
  <c r="CG395" i="12" s="1"/>
  <c r="CG394" i="12" s="1"/>
  <c r="CG393" i="12" s="1"/>
  <c r="CG391" i="12" s="1"/>
  <c r="CG404" i="12"/>
  <c r="CD320" i="12"/>
  <c r="CD319" i="12"/>
  <c r="CD317" i="12" l="1"/>
  <c r="CD315" i="12" s="1"/>
  <c r="CG315" i="12"/>
  <c r="CE56" i="2" l="1"/>
  <c r="CE218" i="2" s="1"/>
  <c r="CE217" i="2" s="1"/>
  <c r="CE25" i="2" l="1"/>
  <c r="E5" i="4" l="1"/>
  <c r="F5" i="4"/>
  <c r="G5" i="4" s="1"/>
  <c r="G2" i="4" s="1"/>
  <c r="CF33" i="16"/>
  <c r="CF38" i="16" s="1"/>
  <c r="CF31" i="16"/>
  <c r="CF15" i="16"/>
  <c r="CF28" i="16" s="1"/>
  <c r="CF27" i="16" s="1"/>
  <c r="CF14" i="16"/>
  <c r="CE320" i="12"/>
  <c r="CE319" i="12"/>
  <c r="BX22" i="16"/>
  <c r="CF22" i="16" l="1"/>
  <c r="CE22" i="16"/>
  <c r="CH20" i="16"/>
  <c r="CE20" i="16" s="1"/>
  <c r="CF21" i="16"/>
  <c r="CF20" i="16" s="1"/>
  <c r="CE21" i="16"/>
  <c r="CF46" i="16"/>
  <c r="CF37" i="16"/>
  <c r="CE32" i="16"/>
  <c r="CF32" i="16"/>
  <c r="CF30" i="16"/>
  <c r="CE16" i="16"/>
  <c r="CF16" i="16"/>
  <c r="CF13" i="16" s="1"/>
  <c r="CF17" i="16" s="1"/>
  <c r="BX14" i="16"/>
  <c r="CA13" i="16"/>
  <c r="CA17" i="16" s="1"/>
  <c r="BY14" i="16"/>
  <c r="BX32" i="16"/>
  <c r="BY32" i="16"/>
  <c r="CA20" i="16"/>
  <c r="BY20" i="16" s="1"/>
  <c r="BX21" i="16"/>
  <c r="BX20" i="16" s="1"/>
  <c r="BY21" i="16"/>
  <c r="CE14" i="16"/>
  <c r="CH13" i="16"/>
  <c r="CH17" i="16" s="1"/>
  <c r="CH36" i="16" s="1"/>
  <c r="CE33" i="16"/>
  <c r="CE38" i="16" s="1"/>
  <c r="CH38" i="16"/>
  <c r="BX16" i="16"/>
  <c r="BY16" i="16"/>
  <c r="CH28" i="16"/>
  <c r="CE15" i="16"/>
  <c r="CE31" i="16"/>
  <c r="CH30" i="16"/>
  <c r="CA38" i="16"/>
  <c r="BX33" i="16"/>
  <c r="BX38" i="16" s="1"/>
  <c r="BY33" i="16"/>
  <c r="BY38" i="16" s="1"/>
  <c r="BX15" i="16"/>
  <c r="BX28" i="16" s="1"/>
  <c r="BX27" i="16" s="1"/>
  <c r="CA28" i="16"/>
  <c r="CA27" i="16" s="1"/>
  <c r="BY15" i="16"/>
  <c r="BY28" i="16" s="1"/>
  <c r="BY27" i="16" s="1"/>
  <c r="BX31" i="16"/>
  <c r="CA30" i="16"/>
  <c r="BY31" i="16"/>
  <c r="CE317" i="12"/>
  <c r="CE315" i="12" s="1"/>
  <c r="CH315" i="12"/>
  <c r="CE30" i="16" l="1"/>
  <c r="CF36" i="16"/>
  <c r="CF24" i="16"/>
  <c r="CF35" i="16"/>
  <c r="BY30" i="16"/>
  <c r="BY37" i="16"/>
  <c r="BY46" i="16"/>
  <c r="CA46" i="16"/>
  <c r="CA37" i="16"/>
  <c r="CH27" i="16"/>
  <c r="CE28" i="16"/>
  <c r="CE27" i="16" s="1"/>
  <c r="BX46" i="16"/>
  <c r="BX37" i="16"/>
  <c r="BY13" i="16"/>
  <c r="BY17" i="16" s="1"/>
  <c r="BY36" i="16" s="1"/>
  <c r="BY35" i="16" s="1"/>
  <c r="CA36" i="16"/>
  <c r="BX30" i="16"/>
  <c r="CE13" i="16"/>
  <c r="CE17" i="16" s="1"/>
  <c r="BX13" i="16"/>
  <c r="BX17" i="16" s="1"/>
  <c r="BX36" i="16" s="1"/>
  <c r="CF292" i="6" l="1"/>
  <c r="CF45" i="16"/>
  <c r="CF44" i="16" s="1"/>
  <c r="CF43" i="16" s="1"/>
  <c r="CF41" i="16" s="1"/>
  <c r="BX35" i="16"/>
  <c r="BX45" i="16"/>
  <c r="BX44" i="16" s="1"/>
  <c r="BX43" i="16" s="1"/>
  <c r="BX41" i="16" s="1"/>
  <c r="BX292" i="6"/>
  <c r="CE36" i="16"/>
  <c r="CH37" i="16"/>
  <c r="CH35" i="16" s="1"/>
  <c r="CH46" i="16"/>
  <c r="CE46" i="16"/>
  <c r="CE37" i="16"/>
  <c r="BY45" i="16"/>
  <c r="BY44" i="16" s="1"/>
  <c r="BY43" i="16" s="1"/>
  <c r="BY41" i="16" s="1"/>
  <c r="BY292" i="6"/>
  <c r="CH292" i="6" l="1"/>
  <c r="CH45" i="16"/>
  <c r="CH44" i="16" s="1"/>
  <c r="CH43" i="16" s="1"/>
  <c r="CH41" i="16" s="1"/>
  <c r="CA45" i="16"/>
  <c r="CA44" i="16" s="1"/>
  <c r="CA43" i="16" s="1"/>
  <c r="CA41" i="16" s="1"/>
  <c r="CA292" i="6"/>
  <c r="CE35" i="16"/>
  <c r="CE45" i="16" l="1"/>
  <c r="CE44" i="16" s="1"/>
  <c r="CE43" i="16" s="1"/>
  <c r="CE41" i="16" s="1"/>
  <c r="CE292" i="6"/>
  <c r="BX19" i="16" l="1"/>
  <c r="BX24" i="16" s="1"/>
  <c r="BY19" i="16"/>
  <c r="BY24" i="16" s="1"/>
  <c r="CA24" i="16"/>
  <c r="BX25" i="16" l="1"/>
  <c r="CH24" i="16" l="1"/>
  <c r="CE19" i="16"/>
  <c r="CE24" i="16" s="1"/>
  <c r="CE25" i="16" l="1"/>
  <c r="CC20" i="16"/>
  <c r="CD32" i="16"/>
  <c r="CD16" i="16"/>
  <c r="CD15" i="16" l="1"/>
  <c r="CD28" i="16" s="1"/>
  <c r="CD27" i="16" s="1"/>
  <c r="CC28" i="16"/>
  <c r="CC27" i="16" s="1"/>
  <c r="CD31" i="16"/>
  <c r="CD30" i="16" s="1"/>
  <c r="CC30" i="16"/>
  <c r="CD14" i="16"/>
  <c r="CD13" i="16" s="1"/>
  <c r="CD17" i="16" s="1"/>
  <c r="CC13" i="16"/>
  <c r="CC17" i="16" s="1"/>
  <c r="CD33" i="16"/>
  <c r="CD38" i="16" s="1"/>
  <c r="CC38" i="16"/>
  <c r="CD36" i="16" l="1"/>
  <c r="CC46" i="16"/>
  <c r="CC37" i="16"/>
  <c r="CD46" i="16"/>
  <c r="CD37" i="16"/>
  <c r="CC36" i="16"/>
  <c r="CC35" i="16" l="1"/>
  <c r="CD35" i="16"/>
  <c r="CD292" i="6" l="1"/>
  <c r="CD45" i="16"/>
  <c r="CD44" i="16" s="1"/>
  <c r="CD43" i="16" s="1"/>
  <c r="CD41" i="16" s="1"/>
  <c r="CC45" i="16"/>
  <c r="CC44" i="16" s="1"/>
  <c r="CC43" i="16" s="1"/>
  <c r="CC41" i="16" s="1"/>
  <c r="CC292" i="6"/>
  <c r="CD19" i="16" l="1"/>
  <c r="CD24" i="16" s="1"/>
  <c r="CC24" i="16"/>
  <c r="CD25" i="16" l="1"/>
  <c r="CK22" i="16"/>
  <c r="CK32" i="16"/>
  <c r="CK16" i="16"/>
  <c r="CK320" i="12"/>
  <c r="CK319" i="12"/>
  <c r="CK14" i="16" l="1"/>
  <c r="CN13" i="16"/>
  <c r="CN17" i="16" s="1"/>
  <c r="CK33" i="16"/>
  <c r="CK38" i="16" s="1"/>
  <c r="CN38" i="16"/>
  <c r="CN28" i="16"/>
  <c r="CN27" i="16" s="1"/>
  <c r="CK15" i="16"/>
  <c r="CK28" i="16" s="1"/>
  <c r="CK27" i="16" s="1"/>
  <c r="CK31" i="16"/>
  <c r="CK30" i="16" s="1"/>
  <c r="CN30" i="16"/>
  <c r="CK317" i="12"/>
  <c r="CK315" i="12" s="1"/>
  <c r="CN315" i="12"/>
  <c r="CN20" i="16"/>
  <c r="CK21" i="16"/>
  <c r="CK20" i="16" s="1"/>
  <c r="CN37" i="16" l="1"/>
  <c r="CN46" i="16"/>
  <c r="CK37" i="16"/>
  <c r="CK46" i="16"/>
  <c r="CN24" i="16"/>
  <c r="CN36" i="16"/>
  <c r="CN35" i="16" s="1"/>
  <c r="CK13" i="16"/>
  <c r="CK17" i="16" s="1"/>
  <c r="CK24" i="16" l="1"/>
  <c r="CK36" i="16"/>
  <c r="CK35" i="16" s="1"/>
  <c r="CN45" i="16"/>
  <c r="CN44" i="16" s="1"/>
  <c r="CN43" i="16" s="1"/>
  <c r="CN41" i="16" s="1"/>
  <c r="CN292" i="6"/>
  <c r="CK45" i="16" l="1"/>
  <c r="CK44" i="16" s="1"/>
  <c r="CK43" i="16" s="1"/>
  <c r="CK41" i="16" s="1"/>
  <c r="CK292" i="6"/>
  <c r="CK25"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Marcos Pereira</author>
  </authors>
  <commentList>
    <comment ref="AG1" authorId="0" shapeId="0" xr:uid="{00000000-0006-0000-0000-000001000000}">
      <text>
        <r>
          <rPr>
            <b/>
            <sz val="9"/>
            <color indexed="81"/>
            <rFont val="Tahoma"/>
            <family val="2"/>
          </rPr>
          <t>Marcos Pereira:</t>
        </r>
        <r>
          <rPr>
            <sz val="9"/>
            <color indexed="81"/>
            <rFont val="Tahoma"/>
            <family val="2"/>
          </rPr>
          <t xml:space="preserve">
Caixa de seleção da língua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Jenifer Nicolini</author>
  </authors>
  <commentList>
    <comment ref="Q219" authorId="0" shapeId="0" xr:uid="{00000000-0006-0000-0200-000001000000}">
      <text>
        <r>
          <rPr>
            <b/>
            <sz val="9"/>
            <color indexed="81"/>
            <rFont val="Tahoma"/>
            <family val="2"/>
          </rPr>
          <t>Jenifer Nicolini:</t>
        </r>
        <r>
          <rPr>
            <sz val="9"/>
            <color indexed="81"/>
            <rFont val="Tahoma"/>
            <family val="2"/>
          </rPr>
          <t xml:space="preserve">
Efeito Vetria</t>
        </r>
      </text>
    </comment>
    <comment ref="AF289" authorId="0" shapeId="0" xr:uid="{00000000-0006-0000-0200-000002000000}">
      <text>
        <r>
          <rPr>
            <b/>
            <sz val="9"/>
            <color indexed="81"/>
            <rFont val="Tahoma"/>
            <family val="2"/>
          </rPr>
          <t>Jenifer Nicolini:</t>
        </r>
        <r>
          <rPr>
            <sz val="9"/>
            <color indexed="81"/>
            <rFont val="Tahoma"/>
            <family val="2"/>
          </rPr>
          <t xml:space="preserve">
Despesas Vênus, controlada incorporada no segmento portuário após emissão de debêntures em novembro de 2016</t>
        </r>
      </text>
    </comment>
    <comment ref="AF308" authorId="0" shapeId="0" xr:uid="{00000000-0006-0000-0200-000003000000}">
      <text>
        <r>
          <rPr>
            <b/>
            <sz val="9"/>
            <color indexed="81"/>
            <rFont val="Tahoma"/>
            <family val="2"/>
          </rPr>
          <t>Jenifer Nicolini:</t>
        </r>
        <r>
          <rPr>
            <sz val="9"/>
            <color indexed="81"/>
            <rFont val="Tahoma"/>
            <family val="2"/>
          </rPr>
          <t xml:space="preserve">
incorpora as Despesas e resultado financeiro da Vênus, controlada no segmento portuário após emissão de debêntures em novembro de 2016. Excluindo seu efeito, o lucro líquido do segmento atingiu R$11.552 mil.</t>
        </r>
      </text>
    </comment>
    <comment ref="Q314" authorId="0" shapeId="0" xr:uid="{00000000-0006-0000-0200-000004000000}">
      <text>
        <r>
          <rPr>
            <b/>
            <sz val="9"/>
            <color indexed="81"/>
            <rFont val="Tahoma"/>
            <family val="2"/>
          </rPr>
          <t>Jenifer Nicolini:</t>
        </r>
        <r>
          <rPr>
            <sz val="9"/>
            <color indexed="81"/>
            <rFont val="Tahoma"/>
            <family val="2"/>
          </rPr>
          <t xml:space="preserve">
Efeito Vetria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Mario Caldana</author>
  </authors>
  <commentList>
    <comment ref="R28" authorId="0" shapeId="0" xr:uid="{83A9A808-19F7-444B-851C-C1983734ED65}">
      <text>
        <r>
          <rPr>
            <b/>
            <sz val="9"/>
            <color indexed="81"/>
            <rFont val="Segoe UI"/>
            <family val="2"/>
          </rPr>
          <t>Mario Caldana:</t>
        </r>
        <r>
          <rPr>
            <sz val="9"/>
            <color indexed="81"/>
            <rFont val="Segoe UI"/>
            <family val="2"/>
          </rPr>
          <t xml:space="preserve">
Rio Parnaíba + Vessel</t>
        </r>
      </text>
    </comment>
    <comment ref="V28" authorId="0" shapeId="0" xr:uid="{321F4D02-8BE1-49BF-984E-8668839771E4}">
      <text>
        <r>
          <rPr>
            <b/>
            <sz val="9"/>
            <color indexed="81"/>
            <rFont val="Segoe UI"/>
            <family val="2"/>
          </rPr>
          <t>Mario Caldana:</t>
        </r>
        <r>
          <rPr>
            <sz val="9"/>
            <color indexed="81"/>
            <rFont val="Segoe UI"/>
            <family val="2"/>
          </rPr>
          <t xml:space="preserve">
Rio Parnaíba + Vessel</t>
        </r>
      </text>
    </comment>
    <comment ref="W28" authorId="0" shapeId="0" xr:uid="{F349C56D-E780-482A-8F53-0D6E09E3B414}">
      <text>
        <r>
          <rPr>
            <b/>
            <sz val="9"/>
            <color indexed="81"/>
            <rFont val="Segoe UI"/>
            <family val="2"/>
          </rPr>
          <t>Mario Caldana:</t>
        </r>
        <r>
          <rPr>
            <sz val="9"/>
            <color indexed="81"/>
            <rFont val="Segoe UI"/>
            <family val="2"/>
          </rPr>
          <t xml:space="preserve">
Rio Parnaíba</t>
        </r>
      </text>
    </comment>
    <comment ref="X28" authorId="0" shapeId="0" xr:uid="{5FCF4C2C-2A79-4EC9-9667-397CB67C436F}">
      <text>
        <r>
          <rPr>
            <b/>
            <sz val="9"/>
            <color indexed="81"/>
            <rFont val="Segoe UI"/>
            <family val="2"/>
          </rPr>
          <t>Mario Caldana:</t>
        </r>
        <r>
          <rPr>
            <sz val="9"/>
            <color indexed="81"/>
            <rFont val="Segoe UI"/>
            <family val="2"/>
          </rPr>
          <t xml:space="preserve">
+Rio Parnaíba</t>
        </r>
      </text>
    </comment>
    <comment ref="Y28" authorId="0" shapeId="0" xr:uid="{2725242B-CF67-4635-8C92-B377263F3439}">
      <text>
        <r>
          <rPr>
            <b/>
            <sz val="9"/>
            <color indexed="81"/>
            <rFont val="Segoe UI"/>
            <family val="2"/>
          </rPr>
          <t>Mario Caldana:</t>
        </r>
        <r>
          <rPr>
            <sz val="9"/>
            <color indexed="81"/>
            <rFont val="Segoe UI"/>
            <family val="2"/>
          </rPr>
          <t xml:space="preserve">
+Rio Parnaíba</t>
        </r>
      </text>
    </comment>
    <comment ref="AF30" authorId="0" shapeId="0" xr:uid="{F0723C93-EDB1-4721-9BB5-EC3205101E53}">
      <text>
        <r>
          <rPr>
            <b/>
            <sz val="9"/>
            <color indexed="81"/>
            <rFont val="Segoe UI"/>
            <family val="2"/>
          </rPr>
          <t>Mario Caldana:</t>
        </r>
        <r>
          <rPr>
            <sz val="9"/>
            <color indexed="81"/>
            <rFont val="Segoe UI"/>
            <family val="2"/>
          </rPr>
          <t xml:space="preserve">
Maestra</t>
        </r>
      </text>
    </comment>
    <comment ref="V35" authorId="0" shapeId="0" xr:uid="{38473666-76C4-44F8-B88E-6841C76CF9A5}">
      <text>
        <r>
          <rPr>
            <b/>
            <sz val="9"/>
            <color indexed="81"/>
            <rFont val="Segoe UI"/>
            <family val="2"/>
          </rPr>
          <t>Mario Caldana:</t>
        </r>
        <r>
          <rPr>
            <sz val="9"/>
            <color indexed="81"/>
            <rFont val="Segoe UI"/>
            <family val="2"/>
          </rPr>
          <t xml:space="preserve">
+Rio Parnaíba e Vessel</t>
        </r>
      </text>
    </comment>
    <comment ref="W35" authorId="0" shapeId="0" xr:uid="{0634D9CD-956D-4BD0-9544-8520939D36E6}">
      <text>
        <r>
          <rPr>
            <b/>
            <sz val="9"/>
            <color indexed="81"/>
            <rFont val="Segoe UI"/>
            <family val="2"/>
          </rPr>
          <t>Mario Caldana:</t>
        </r>
        <r>
          <rPr>
            <sz val="9"/>
            <color indexed="81"/>
            <rFont val="Segoe UI"/>
            <family val="2"/>
          </rPr>
          <t xml:space="preserve">
+Rio Parnaíba</t>
        </r>
      </text>
    </comment>
    <comment ref="X35" authorId="0" shapeId="0" xr:uid="{A039E527-0A50-45DC-88A4-62515A60BB30}">
      <text>
        <r>
          <rPr>
            <b/>
            <sz val="9"/>
            <color indexed="81"/>
            <rFont val="Segoe UI"/>
            <family val="2"/>
          </rPr>
          <t>Mario Caldana:</t>
        </r>
        <r>
          <rPr>
            <sz val="9"/>
            <color indexed="81"/>
            <rFont val="Segoe UI"/>
            <family val="2"/>
          </rPr>
          <t xml:space="preserve">
+Rio Parnaíba</t>
        </r>
      </text>
    </comment>
    <comment ref="Y35" authorId="0" shapeId="0" xr:uid="{54DD96ED-D07C-492B-A1C9-021C9F2B152E}">
      <text>
        <r>
          <rPr>
            <b/>
            <sz val="9"/>
            <color indexed="81"/>
            <rFont val="Segoe UI"/>
            <family val="2"/>
          </rPr>
          <t>Mario Caldana:</t>
        </r>
        <r>
          <rPr>
            <sz val="9"/>
            <color indexed="81"/>
            <rFont val="Segoe UI"/>
            <family val="2"/>
          </rPr>
          <t xml:space="preserve">
+Rio Parnaíba</t>
        </r>
      </text>
    </comment>
    <comment ref="AJ36" authorId="0" shapeId="0" xr:uid="{4E9F5434-2239-4616-BE9F-129F9C8C20B4}">
      <text>
        <r>
          <rPr>
            <b/>
            <sz val="9"/>
            <color indexed="81"/>
            <rFont val="Segoe UI"/>
            <family val="2"/>
          </rPr>
          <t>Mario Caldana:</t>
        </r>
        <r>
          <rPr>
            <sz val="9"/>
            <color indexed="81"/>
            <rFont val="Segoe UI"/>
            <family val="2"/>
          </rPr>
          <t xml:space="preserve">
Eliminações</t>
        </r>
      </text>
    </comment>
    <comment ref="AJ325" authorId="0" shapeId="0" xr:uid="{10EC5042-918E-4348-B42B-E352041FC048}">
      <text>
        <r>
          <rPr>
            <b/>
            <sz val="9"/>
            <color indexed="81"/>
            <rFont val="Segoe UI"/>
            <family val="2"/>
          </rPr>
          <t>Mario Caldana:</t>
        </r>
        <r>
          <rPr>
            <sz val="9"/>
            <color indexed="81"/>
            <rFont val="Segoe UI"/>
            <family val="2"/>
          </rPr>
          <t xml:space="preserve">
+ Maestra</t>
        </r>
      </text>
    </comment>
    <comment ref="AJ334" authorId="0" shapeId="0" xr:uid="{51C433AB-D7D0-4709-887C-BF04B4FD9F2E}">
      <text>
        <r>
          <rPr>
            <b/>
            <sz val="9"/>
            <color indexed="81"/>
            <rFont val="Segoe UI"/>
            <family val="2"/>
          </rPr>
          <t>Mario Caldana:</t>
        </r>
        <r>
          <rPr>
            <sz val="9"/>
            <color indexed="81"/>
            <rFont val="Segoe UI"/>
            <family val="2"/>
          </rPr>
          <t xml:space="preserve">
+Vessel-Log</t>
        </r>
      </text>
    </comment>
    <comment ref="AL334" authorId="0" shapeId="0" xr:uid="{BB64383D-00C5-4EC2-B148-40BC858E4B41}">
      <text>
        <r>
          <rPr>
            <b/>
            <sz val="9"/>
            <color indexed="81"/>
            <rFont val="Segoe UI"/>
            <family val="2"/>
          </rPr>
          <t>Mario Caldana:</t>
        </r>
        <r>
          <rPr>
            <sz val="9"/>
            <color indexed="81"/>
            <rFont val="Segoe UI"/>
            <family val="2"/>
          </rPr>
          <t xml:space="preserve">
+Dable</t>
        </r>
      </text>
    </comment>
    <comment ref="AL337" authorId="0" shapeId="0" xr:uid="{8DC494B8-C659-43D1-814E-4E9C17F84B5F}">
      <text>
        <r>
          <rPr>
            <b/>
            <sz val="9"/>
            <color indexed="81"/>
            <rFont val="Segoe UI"/>
            <family val="2"/>
          </rPr>
          <t>Mario Caldana:</t>
        </r>
        <r>
          <rPr>
            <sz val="9"/>
            <color indexed="81"/>
            <rFont val="Segoe UI"/>
            <family val="2"/>
          </rPr>
          <t xml:space="preserve">
+Maestra</t>
        </r>
      </text>
    </comment>
    <comment ref="AJ348" authorId="0" shapeId="0" xr:uid="{3E6B6BBB-E09C-45B2-8C82-1F0327A53312}">
      <text>
        <r>
          <rPr>
            <b/>
            <sz val="9"/>
            <color indexed="81"/>
            <rFont val="Segoe UI"/>
            <family val="2"/>
          </rPr>
          <t>Mario Caldana:</t>
        </r>
        <r>
          <rPr>
            <sz val="9"/>
            <color indexed="81"/>
            <rFont val="Segoe UI"/>
            <family val="2"/>
          </rPr>
          <t xml:space="preserve">
Maestra, Vessel-Log e NTL</t>
        </r>
      </text>
    </comment>
    <comment ref="AL352" authorId="0" shapeId="0" xr:uid="{26C342C0-74EE-4484-8AEE-1FD91005452F}">
      <text>
        <r>
          <rPr>
            <b/>
            <sz val="9"/>
            <color indexed="81"/>
            <rFont val="Segoe UI"/>
            <family val="2"/>
          </rPr>
          <t>Mario Caldana:</t>
        </r>
        <r>
          <rPr>
            <sz val="9"/>
            <color indexed="81"/>
            <rFont val="Segoe UI"/>
            <family val="2"/>
          </rPr>
          <t xml:space="preserve">
Vessel-Log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Mario Caldana</author>
  </authors>
  <commentList>
    <comment ref="AE18" authorId="0" shapeId="0" xr:uid="{97FAFA67-9C89-46BF-9487-A213481A040F}">
      <text>
        <r>
          <rPr>
            <b/>
            <sz val="9"/>
            <color indexed="81"/>
            <rFont val="Segoe UI"/>
            <family val="2"/>
          </rPr>
          <t>Mario Caldana:</t>
        </r>
        <r>
          <rPr>
            <sz val="9"/>
            <color indexed="81"/>
            <rFont val="Segoe UI"/>
            <family val="2"/>
          </rPr>
          <t xml:space="preserve">
Inserção de nova linha na planilha</t>
        </r>
      </text>
    </comment>
  </commentList>
</comments>
</file>

<file path=xl/sharedStrings.xml><?xml version="1.0" encoding="utf-8"?>
<sst xmlns="http://schemas.openxmlformats.org/spreadsheetml/2006/main" count="4001" uniqueCount="773">
  <si>
    <t>Current Assets</t>
  </si>
  <si>
    <t>TOTAL ASSETS</t>
  </si>
  <si>
    <t>Cash and Cash Equivalents</t>
  </si>
  <si>
    <t>Financial Application - Warranties</t>
  </si>
  <si>
    <t>Accounts Receivables</t>
  </si>
  <si>
    <t>Insurance Claims Receivable</t>
  </si>
  <si>
    <t>Advances to Suppliers</t>
  </si>
  <si>
    <t>Taxes Recoverable</t>
  </si>
  <si>
    <t>Inventories</t>
  </si>
  <si>
    <t>Related Parties – Receivable</t>
  </si>
  <si>
    <t>Dividends</t>
  </si>
  <si>
    <t>Prepaid Expenses</t>
  </si>
  <si>
    <t>Other Credits</t>
  </si>
  <si>
    <t>Non Current Assets</t>
  </si>
  <si>
    <t>Investments</t>
  </si>
  <si>
    <t>Concepa</t>
  </si>
  <si>
    <t>Concer</t>
  </si>
  <si>
    <t>Econorte</t>
  </si>
  <si>
    <t>1T11</t>
  </si>
  <si>
    <t>2T11</t>
  </si>
  <si>
    <t>3T11</t>
  </si>
  <si>
    <t>4T11</t>
  </si>
  <si>
    <t>1T12</t>
  </si>
  <si>
    <t>2T12</t>
  </si>
  <si>
    <t>3T12</t>
  </si>
  <si>
    <t>4T12</t>
  </si>
  <si>
    <t>1T13</t>
  </si>
  <si>
    <t>2T13</t>
  </si>
  <si>
    <t>TOTAL LIABILITIES</t>
  </si>
  <si>
    <t>Accounts Payable</t>
  </si>
  <si>
    <t>Loans and Financing</t>
  </si>
  <si>
    <t>Promissory Notes</t>
  </si>
  <si>
    <t>Concession Obligation</t>
  </si>
  <si>
    <t>Salaries and Benefits</t>
  </si>
  <si>
    <t>Tax Payables</t>
  </si>
  <si>
    <t>Related Parties – Payables</t>
  </si>
  <si>
    <t>Asset Acquisition Agreements</t>
  </si>
  <si>
    <t xml:space="preserve"> Finance Leases</t>
  </si>
  <si>
    <t>Other Liabilities</t>
  </si>
  <si>
    <t>Non-Current Liabilities</t>
  </si>
  <si>
    <t>Debentures</t>
  </si>
  <si>
    <t>Deferred Income Tax and Social Contribution</t>
  </si>
  <si>
    <t>Deferred Revenues, Net</t>
  </si>
  <si>
    <t>Provision for Contingencies</t>
  </si>
  <si>
    <t> Asset Acquisition Agreements</t>
  </si>
  <si>
    <t>Other Non-Current Liabilities</t>
  </si>
  <si>
    <t>Shareholders’ Equity</t>
  </si>
  <si>
    <t>Social Capital</t>
  </si>
  <si>
    <t>Capital to Be Paid</t>
  </si>
  <si>
    <t>Capital Reserves</t>
  </si>
  <si>
    <t>Revalluation Reserves, Net</t>
  </si>
  <si>
    <t>Evaluation Asset Adjustment</t>
  </si>
  <si>
    <t>Goodwill on Capital Transactions</t>
  </si>
  <si>
    <t>Profits Reserves</t>
  </si>
  <si>
    <t>Profit and Losses Accumulated</t>
  </si>
  <si>
    <t>Advance for Future Capital Increase</t>
  </si>
  <si>
    <t>Legal Reserves</t>
  </si>
  <si>
    <t>Minority Interest</t>
  </si>
  <si>
    <t>Current Liabilities</t>
  </si>
  <si>
    <t>Advances from Clients</t>
  </si>
  <si>
    <t>Finance Leases</t>
  </si>
  <si>
    <t>P&amp;L</t>
  </si>
  <si>
    <t>Provision for Maintenance</t>
  </si>
  <si>
    <t>Gross Operating Revenue</t>
  </si>
  <si>
    <t>Toll Roads</t>
  </si>
  <si>
    <t>Construction Revenue</t>
  </si>
  <si>
    <t>Other Revenues</t>
  </si>
  <si>
    <t>Net Operating Revenue</t>
  </si>
  <si>
    <t>Deductions from Gross Revenue</t>
  </si>
  <si>
    <t xml:space="preserve"> Toll Road Operations and Maintenance</t>
  </si>
  <si>
    <t>Construction Cost</t>
  </si>
  <si>
    <t>Personnel Costs</t>
  </si>
  <si>
    <t>Depreciation and Amortization</t>
  </si>
  <si>
    <t>Regulatory Agency Costs</t>
  </si>
  <si>
    <t>Operating Expenses</t>
  </si>
  <si>
    <t>General &amp; Administrative Expenses</t>
  </si>
  <si>
    <t>Convale</t>
  </si>
  <si>
    <t>Other Administrative Revenues (Expenses)</t>
  </si>
  <si>
    <t>COGS</t>
  </si>
  <si>
    <t>Financial Income</t>
  </si>
  <si>
    <t>Income Tax</t>
  </si>
  <si>
    <t>EBIT</t>
  </si>
  <si>
    <t>Net Income</t>
  </si>
  <si>
    <t>Current</t>
  </si>
  <si>
    <t>Deferred</t>
  </si>
  <si>
    <t>Adjusted EBITDA</t>
  </si>
  <si>
    <t>Reassessment</t>
  </si>
  <si>
    <t>D&amp;A</t>
  </si>
  <si>
    <t>Revenues</t>
  </si>
  <si>
    <t>Expenses</t>
  </si>
  <si>
    <t>Detailed Figures</t>
  </si>
  <si>
    <t>Adjusted Shareholders’ Equity</t>
  </si>
  <si>
    <t>(+) Shareholders’ Equity</t>
  </si>
  <si>
    <t>(-) Revalluation Reserves, Net</t>
  </si>
  <si>
    <t>(-) Evaluation Asset Adjustment</t>
  </si>
  <si>
    <t>(+) EBIT</t>
  </si>
  <si>
    <t>Provision for Maintaince</t>
  </si>
  <si>
    <t>Non-Recurring Expenses</t>
  </si>
  <si>
    <t>(+) Depreciation and Amortization</t>
  </si>
  <si>
    <t>(+) Non-Recurring Expenses</t>
  </si>
  <si>
    <t>(+) Provision for Maintaince</t>
  </si>
  <si>
    <t>ROAE</t>
  </si>
  <si>
    <t>Operational Asset</t>
  </si>
  <si>
    <t>Working Capital</t>
  </si>
  <si>
    <t>(+) Current Operational Assets</t>
  </si>
  <si>
    <t>(-) Current Operational Liabilities</t>
  </si>
  <si>
    <t>(+)  PP&amp;E</t>
  </si>
  <si>
    <t>(+)  Intangible</t>
  </si>
  <si>
    <t>(+)  Working Capital</t>
  </si>
  <si>
    <t>(+) D&amp;A Reassessment</t>
  </si>
  <si>
    <t>NOPAT</t>
  </si>
  <si>
    <t>ROIC</t>
  </si>
  <si>
    <t>Net Debt</t>
  </si>
  <si>
    <t>Gross Margin</t>
  </si>
  <si>
    <t>EBITDA Margin</t>
  </si>
  <si>
    <t>Net Margin</t>
  </si>
  <si>
    <t>na</t>
  </si>
  <si>
    <t>ROAA</t>
  </si>
  <si>
    <t>(*1-) Taxes</t>
  </si>
  <si>
    <t>Traffic Volumes (000 equivalent vehicles)</t>
  </si>
  <si>
    <t>Company Stake</t>
  </si>
  <si>
    <t>Tariffs</t>
  </si>
  <si>
    <t>Tariffs Increase (YoY)</t>
  </si>
  <si>
    <t>Relevant Figures</t>
  </si>
  <si>
    <t>1Q11</t>
  </si>
  <si>
    <t>English</t>
  </si>
  <si>
    <t>Português</t>
  </si>
  <si>
    <t>Disponibilidades</t>
  </si>
  <si>
    <t>Aplicações Financeiras Vinculadas</t>
  </si>
  <si>
    <t>Contas a Receber de Clientes</t>
  </si>
  <si>
    <t>Indenizações de seguro a receber</t>
  </si>
  <si>
    <t>Adiantamento a Fornecedores</t>
  </si>
  <si>
    <t>Impostos a Recuperar</t>
  </si>
  <si>
    <t>Estoques</t>
  </si>
  <si>
    <t>Contas a receber - partes relacionadas</t>
  </si>
  <si>
    <t>Dividendos e JCP a receber</t>
  </si>
  <si>
    <t>Despesas de Exercícios Seguintes</t>
  </si>
  <si>
    <t>Outros Créditos</t>
  </si>
  <si>
    <t>Ativo Circulante</t>
  </si>
  <si>
    <t>ATIVO TOTAL</t>
  </si>
  <si>
    <t>Realizável a Longo Prazo (RLP)</t>
  </si>
  <si>
    <t>Investimentos</t>
  </si>
  <si>
    <t>Imobilizado</t>
  </si>
  <si>
    <t>Intangível</t>
  </si>
  <si>
    <t>Ativo Não Circulante</t>
  </si>
  <si>
    <t>PASSIVO TOTAL</t>
  </si>
  <si>
    <t>Passivo Circulante</t>
  </si>
  <si>
    <t>Passivo Não Circulante</t>
  </si>
  <si>
    <t>Empréstimos e Financiamentos</t>
  </si>
  <si>
    <t>Notas Promissórias</t>
  </si>
  <si>
    <t>Provisão para Manutenção</t>
  </si>
  <si>
    <t>Salários, Provisões e Contribuições Sociais</t>
  </si>
  <si>
    <t>Impostos, Taxas e Contribuições</t>
  </si>
  <si>
    <t>Adiantamento de Clientes</t>
  </si>
  <si>
    <t>Dividendos Propostos</t>
  </si>
  <si>
    <t>Contas a Pagar – Partes Relacionadas</t>
  </si>
  <si>
    <t>Contratos de Aquisição de Ativos</t>
  </si>
  <si>
    <t>Arrendamento mercantil</t>
  </si>
  <si>
    <t>Outras Obrigações</t>
  </si>
  <si>
    <t>Debêntures</t>
  </si>
  <si>
    <t>Obrigações da Concessão</t>
  </si>
  <si>
    <t>Imposto de Renda e Contribuição Social Diferidos</t>
  </si>
  <si>
    <t>Receitas Diferidas, Líquidas</t>
  </si>
  <si>
    <t>Contas a pagar - partes relacionadas</t>
  </si>
  <si>
    <t>Provisões para contingência</t>
  </si>
  <si>
    <t>Arrendamento Mercantil</t>
  </si>
  <si>
    <t>Contrato de aquisição de ativos</t>
  </si>
  <si>
    <t>Capital Social</t>
  </si>
  <si>
    <t>Capital a Integralizar</t>
  </si>
  <si>
    <t>Reservas de Capital</t>
  </si>
  <si>
    <t>Reserva de reavaliação, liquida</t>
  </si>
  <si>
    <t>Ajuste de avaliação Patrimonial, líquida</t>
  </si>
  <si>
    <t>Ágio em transações de capital</t>
  </si>
  <si>
    <t>Reservas de Lucros</t>
  </si>
  <si>
    <t>Lucro e prejuizos acumulados</t>
  </si>
  <si>
    <t>Adiantamentos para futuro aumento de capital  - AFAC</t>
  </si>
  <si>
    <t>Reservas Legal</t>
  </si>
  <si>
    <t>Participações de Acionistas Não Controladores</t>
  </si>
  <si>
    <t>Patrimônio Líquido</t>
  </si>
  <si>
    <t>DRE</t>
  </si>
  <si>
    <t>Receita Bruta</t>
  </si>
  <si>
    <t>Arrecadação de Pedágio</t>
  </si>
  <si>
    <t>Receita de Construção</t>
  </si>
  <si>
    <t>Outras Receitas</t>
  </si>
  <si>
    <t>Deduções da Receita Bruta</t>
  </si>
  <si>
    <t>Receita Operacional Líquida</t>
  </si>
  <si>
    <t>Custos Operacionais</t>
  </si>
  <si>
    <t>Operação e Manutenção das Rodovias</t>
  </si>
  <si>
    <t>Custos de Construção</t>
  </si>
  <si>
    <t>Custos com Pessoal</t>
  </si>
  <si>
    <t>Depreciação e Amortização</t>
  </si>
  <si>
    <t>Despesas Operacionais</t>
  </si>
  <si>
    <t>Gerais e Administrativas</t>
  </si>
  <si>
    <t>EBIT - Lucro Operacional</t>
  </si>
  <si>
    <t>Resultado Financeiro</t>
  </si>
  <si>
    <t>Imposto sobre o Lucro</t>
  </si>
  <si>
    <t>Corrente</t>
  </si>
  <si>
    <t>Diferido</t>
  </si>
  <si>
    <t>Lucro Líquido</t>
  </si>
  <si>
    <t>EBITDA Ajustado</t>
  </si>
  <si>
    <t>Dados</t>
  </si>
  <si>
    <t>Dados Relevantes</t>
  </si>
  <si>
    <t>Volumes de Tráfego (000 veículos equivalentes)</t>
  </si>
  <si>
    <t>Participação Societária</t>
  </si>
  <si>
    <t>Reavaliação</t>
  </si>
  <si>
    <t>Receitas</t>
  </si>
  <si>
    <t>Despesas</t>
  </si>
  <si>
    <t>Despesas Não Recorrentes</t>
  </si>
  <si>
    <t>Dívida Líquida</t>
  </si>
  <si>
    <t>Capex</t>
  </si>
  <si>
    <t>Patrimônio Líquido Ajustado</t>
  </si>
  <si>
    <t>(+) Patrimônio Líquido</t>
  </si>
  <si>
    <t>(-) Net Revalluation Reserves</t>
  </si>
  <si>
    <t>Net Revalluation Reserves</t>
  </si>
  <si>
    <t>(-) Reserva de Reavaliação Líquida</t>
  </si>
  <si>
    <t>(-) Ajuste de Avaliação Patrimonial Líquida</t>
  </si>
  <si>
    <t>(-) Net Evaluation Asset Adjustment</t>
  </si>
  <si>
    <t>Net Evaluation Asset Adjustment</t>
  </si>
  <si>
    <t>(+) Depreciação e Amortização</t>
  </si>
  <si>
    <t>(+) Provisão para Manutenção</t>
  </si>
  <si>
    <t>(+) Despesas Não Recorrentes</t>
  </si>
  <si>
    <t>NCG: Necessidade de Capital de Giro</t>
  </si>
  <si>
    <t>(+) Ativo Operacional Circulante</t>
  </si>
  <si>
    <t>(-) Passivo Operacional Circulante</t>
  </si>
  <si>
    <t>Ativo Operacional</t>
  </si>
  <si>
    <t>(+)  Intangível Líquido</t>
  </si>
  <si>
    <t>(+)  Imobilizado Líquido</t>
  </si>
  <si>
    <t>(+)  NCG</t>
  </si>
  <si>
    <t>(*1-) Impostos</t>
  </si>
  <si>
    <t>(+) D&amp;A Reavaliação</t>
  </si>
  <si>
    <t>Margem Bruta</t>
  </si>
  <si>
    <t>Margem EBITDA</t>
  </si>
  <si>
    <t>Margem Líquida</t>
  </si>
  <si>
    <t>Tarifa Média</t>
  </si>
  <si>
    <t>Crescimento Anual da Tarifa Média</t>
  </si>
  <si>
    <t>3T13</t>
  </si>
  <si>
    <t>4T13</t>
  </si>
  <si>
    <t>1T14</t>
  </si>
  <si>
    <t>2T14</t>
  </si>
  <si>
    <t>3T14</t>
  </si>
  <si>
    <t>4T14</t>
  </si>
  <si>
    <t>1T15</t>
  </si>
  <si>
    <t>2T15</t>
  </si>
  <si>
    <t>3T15</t>
  </si>
  <si>
    <t>4T15</t>
  </si>
  <si>
    <t>1T16</t>
  </si>
  <si>
    <t>2T16</t>
  </si>
  <si>
    <t>3T16</t>
  </si>
  <si>
    <t>4T16</t>
  </si>
  <si>
    <t>1T17</t>
  </si>
  <si>
    <t>2T17</t>
  </si>
  <si>
    <t>3T17</t>
  </si>
  <si>
    <t>4T17</t>
  </si>
  <si>
    <t>1T18</t>
  </si>
  <si>
    <t>2T18</t>
  </si>
  <si>
    <t>3T18</t>
  </si>
  <si>
    <t>4T18</t>
  </si>
  <si>
    <t>1T19</t>
  </si>
  <si>
    <t>2T19</t>
  </si>
  <si>
    <t>3T19</t>
  </si>
  <si>
    <t>4T19</t>
  </si>
  <si>
    <t>1T20</t>
  </si>
  <si>
    <t>2T20</t>
  </si>
  <si>
    <t>3T20</t>
  </si>
  <si>
    <t>4T20</t>
  </si>
  <si>
    <t>1T21</t>
  </si>
  <si>
    <t>2T21</t>
  </si>
  <si>
    <t>3T21</t>
  </si>
  <si>
    <t>4T21</t>
  </si>
  <si>
    <t>2Q11</t>
  </si>
  <si>
    <t>3Q11</t>
  </si>
  <si>
    <t>4Q11</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</si>
  <si>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</si>
  <si>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</si>
  <si>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</si>
  <si>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</si>
  <si>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</si>
  <si>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</si>
  <si>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</si>
  <si>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</si>
  <si>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</si>
  <si>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</si>
  <si>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</si>
  <si>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</si>
  <si>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</si>
  <si>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</si>
  <si>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</si>
  <si>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</si>
  <si>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</si>
  <si>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</si>
  <si>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</si>
  <si>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</si>
  <si>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</si>
  <si>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</si>
  <si>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</si>
  <si>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</si>
  <si>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</si>
  <si>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</si>
  <si>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</si>
  <si>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</si>
  <si>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</si>
  <si>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</si>
  <si>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</si>
  <si>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</si>
  <si>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</si>
  <si>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</si>
  <si>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</si>
  <si>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</si>
  <si>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</si>
  <si>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</si>
  <si>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</si>
  <si>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</si>
  <si>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Rio Verde</t>
  </si>
  <si>
    <t>Rio Canoas</t>
  </si>
  <si>
    <t>Others</t>
  </si>
  <si>
    <t>Consolidation Adjustments</t>
  </si>
  <si>
    <t>Energy Operation</t>
  </si>
  <si>
    <t>Assured Energy Sold (MWh)</t>
  </si>
  <si>
    <t>Fornecedores</t>
  </si>
  <si>
    <t>Outros</t>
  </si>
  <si>
    <t>Eliminações e Ajustes</t>
  </si>
  <si>
    <t>CPV - Custo dos Produtos Vendidos</t>
  </si>
  <si>
    <t>Operação de Geração de Energia</t>
  </si>
  <si>
    <t>Outras Receitas (Despesas) Operacionais</t>
  </si>
  <si>
    <t>Energia Assegurada Vendida(MWh)</t>
  </si>
  <si>
    <t>Participação</t>
  </si>
  <si>
    <t>Portonave</t>
  </si>
  <si>
    <t>Iceport</t>
  </si>
  <si>
    <t>Operação Portuária</t>
  </si>
  <si>
    <t>Eliminação de Consolidação</t>
  </si>
  <si>
    <t>Resultado de Equivalência Patrimonial</t>
  </si>
  <si>
    <t>Variação Cambial</t>
  </si>
  <si>
    <t>Port Operation</t>
  </si>
  <si>
    <t>Volumes (TEUs)</t>
  </si>
  <si>
    <t>Exchange Rate Expenses</t>
  </si>
  <si>
    <t>Operação de Cabotagem</t>
  </si>
  <si>
    <t>Participação de Acionistas Minoritários</t>
  </si>
  <si>
    <t>Long Term Receivables (LTR)</t>
  </si>
  <si>
    <t>PP&amp;E</t>
  </si>
  <si>
    <t>Intangible</t>
  </si>
  <si>
    <t>Cabotage Operation</t>
  </si>
  <si>
    <t>Receita de Passageiros</t>
  </si>
  <si>
    <t>Embarque Doméstico</t>
  </si>
  <si>
    <t>Embarque Internacional</t>
  </si>
  <si>
    <t>Conexão</t>
  </si>
  <si>
    <t>Receita de Carga</t>
  </si>
  <si>
    <t>Receita Comercial</t>
  </si>
  <si>
    <t>Receita Líquida Ajustada</t>
  </si>
  <si>
    <t>Adjusted Net Revenue</t>
  </si>
  <si>
    <t>Custo de Construção</t>
  </si>
  <si>
    <t>Operação Aeroportuária</t>
  </si>
  <si>
    <t>Custo com Pessoal</t>
  </si>
  <si>
    <t>Aeronaves (unid)</t>
  </si>
  <si>
    <t>Passageiros (unid)</t>
  </si>
  <si>
    <t>Doméstico</t>
  </si>
  <si>
    <t>International</t>
  </si>
  <si>
    <t>Carga (ton)</t>
  </si>
  <si>
    <t>Importação (ton)</t>
  </si>
  <si>
    <t>Exportação (ton)</t>
  </si>
  <si>
    <t>Outros (ton)</t>
  </si>
  <si>
    <t>Unidade Equivalente (WLU)</t>
  </si>
  <si>
    <t>Receita Comercial por WLU</t>
  </si>
  <si>
    <t>Embarque</t>
  </si>
  <si>
    <t>Desembarque</t>
  </si>
  <si>
    <t>Outras por WLU</t>
  </si>
  <si>
    <t>Crescimento Anual na Tarifa Média</t>
  </si>
  <si>
    <t>Passanger Revenues</t>
  </si>
  <si>
    <t>Domestic</t>
  </si>
  <si>
    <t>Cargo Revenues</t>
  </si>
  <si>
    <t>Commercial Revenues</t>
  </si>
  <si>
    <t>Construction Costs</t>
  </si>
  <si>
    <t>Airport Operation</t>
  </si>
  <si>
    <t>Airport Operations</t>
  </si>
  <si>
    <t>Equivalent Unit (WLU)</t>
  </si>
  <si>
    <t>Boarded</t>
  </si>
  <si>
    <t>Landed</t>
  </si>
  <si>
    <t>Connection</t>
  </si>
  <si>
    <t>Cargo (ton)</t>
  </si>
  <si>
    <t>Import (ton)</t>
  </si>
  <si>
    <t>Export (ton)</t>
  </si>
  <si>
    <t>Others (ton)</t>
  </si>
  <si>
    <t>Aircrafts (unit)</t>
  </si>
  <si>
    <t>Passengers (unit)</t>
  </si>
  <si>
    <t>Passengers Revenue</t>
  </si>
  <si>
    <t>Cargo Revenue</t>
  </si>
  <si>
    <t>Commercial Revenue</t>
  </si>
  <si>
    <t>PARENT COMPANY</t>
  </si>
  <si>
    <t>Outros Resultados Abrangentes</t>
  </si>
  <si>
    <t>Arrecadação de pedágio</t>
  </si>
  <si>
    <t>Operação Portuária (carga de terceiros)</t>
  </si>
  <si>
    <t>Operação Portuária (carga Própria)</t>
  </si>
  <si>
    <t>Geração e Venda de energia</t>
  </si>
  <si>
    <t>Operação de cabotagem</t>
  </si>
  <si>
    <t>Operação de Energia</t>
  </si>
  <si>
    <t>Concessões Rodoviárias</t>
  </si>
  <si>
    <t>Energia</t>
  </si>
  <si>
    <t>Portos</t>
  </si>
  <si>
    <t>Cabotagem</t>
  </si>
  <si>
    <t>Aeroportos</t>
  </si>
  <si>
    <t>Holding e Outros</t>
  </si>
  <si>
    <t>Volumes</t>
  </si>
  <si>
    <t>Concessões Rodoviárias (Veículos Equivalentes)</t>
  </si>
  <si>
    <t>Energia (MWh)</t>
  </si>
  <si>
    <t>Portos (TEUs)</t>
  </si>
  <si>
    <t>Cabotagem (TEUs)</t>
  </si>
  <si>
    <t>Aeroportos (WLU)</t>
  </si>
  <si>
    <t>(-) Receita de Construção</t>
  </si>
  <si>
    <t>(+) Custo de Construção</t>
  </si>
  <si>
    <t>(+) Receita Líquida</t>
  </si>
  <si>
    <t>(+) Net Revenue</t>
  </si>
  <si>
    <t>(-) Construction Revenue</t>
  </si>
  <si>
    <t>Other Results</t>
  </si>
  <si>
    <t>Port Operation - Third-Party Cargo</t>
  </si>
  <si>
    <t>Port Operation - Own Cargo</t>
  </si>
  <si>
    <t>Energy</t>
  </si>
  <si>
    <t>Cabotage</t>
  </si>
  <si>
    <t>Other Revenue</t>
  </si>
  <si>
    <t>Operating Costs</t>
  </si>
  <si>
    <t xml:space="preserve"> Toll Roads Operations and Maintenance</t>
  </si>
  <si>
    <t>Energy Generation</t>
  </si>
  <si>
    <t>Equity Income</t>
  </si>
  <si>
    <t>Toll Roads (000 equivalent vehicles)</t>
  </si>
  <si>
    <t>Energy (MWh)</t>
  </si>
  <si>
    <t>Ports (TEUs)</t>
  </si>
  <si>
    <t>Cabotage (TEUs)</t>
  </si>
  <si>
    <t>Airports (WLU)</t>
  </si>
  <si>
    <t>Ports</t>
  </si>
  <si>
    <t>Airports</t>
  </si>
  <si>
    <t>Holding and others</t>
  </si>
  <si>
    <t>Language/Idioma</t>
  </si>
  <si>
    <t>CONTROLADORA</t>
  </si>
  <si>
    <t>IR PARA:</t>
  </si>
  <si>
    <t>GO TO:</t>
  </si>
  <si>
    <t>Consolidated: Company Stake</t>
  </si>
  <si>
    <t>Consolidação Proporcional</t>
  </si>
  <si>
    <t>Controladora</t>
  </si>
  <si>
    <t>Parent Company</t>
  </si>
  <si>
    <t>Cover</t>
  </si>
  <si>
    <t>Segmentos</t>
  </si>
  <si>
    <t>Lucro Base de Dividendos</t>
  </si>
  <si>
    <t>(+) Lucro/Prejuízo Líquido</t>
  </si>
  <si>
    <t>(+) Ajustes de exercícios anteriores</t>
  </si>
  <si>
    <t>(+) Compensação de prejuizos acumulados</t>
  </si>
  <si>
    <t>(+) Realização da Reserva de Reavaliação Reflexa</t>
  </si>
  <si>
    <t>(+) Realização do Ajuste de Avaliação Patrimonial</t>
  </si>
  <si>
    <t>(+) Constituição da Reserva Legal (5%)</t>
  </si>
  <si>
    <t>Dividend Basis</t>
  </si>
  <si>
    <t>(+) Net Income/Loss</t>
  </si>
  <si>
    <t>(+) Prior Year Adjustments</t>
  </si>
  <si>
    <t>(+) Accumulated Losses Offset</t>
  </si>
  <si>
    <t>(+) Realization of Revaluation Reserve</t>
  </si>
  <si>
    <t>(+) Realization of Asset Valuation Adjustment</t>
  </si>
  <si>
    <t>(+) Creation of Legal Reserve (5%)</t>
  </si>
  <si>
    <t>Balanço</t>
  </si>
  <si>
    <t>Balance Sheet</t>
  </si>
  <si>
    <t>(+) EBIT Ajustado</t>
  </si>
  <si>
    <t>(-) Depreciation and Amortization</t>
  </si>
  <si>
    <t>(-) Depreciação e Amortização</t>
  </si>
  <si>
    <t>(+) Adjusted EBITDA</t>
  </si>
  <si>
    <t>(+) EBITDA Ajustado</t>
  </si>
  <si>
    <t>(+) Adjusted EBIT</t>
  </si>
  <si>
    <t>(=) EBIT Ajustado antes do D&amp;A Reavaliação</t>
  </si>
  <si>
    <t>(=) Adjusted EBIT before D&amp;A Reassessment</t>
  </si>
  <si>
    <t>(-) Goodwill on Capital Transactions: Vetria</t>
  </si>
  <si>
    <t>(-) Ágio em transações de capital: Vetria</t>
  </si>
  <si>
    <t>ROAE Ajustado (base dividendos)</t>
  </si>
  <si>
    <t>ROAA Ajustado (base dividendos)</t>
  </si>
  <si>
    <t>Adjusted ROAE (dividend basis)</t>
  </si>
  <si>
    <t>Adjusted ROAA (dividend basis)</t>
  </si>
  <si>
    <t>(+) Construction Costs</t>
  </si>
  <si>
    <t>Net Revenue</t>
  </si>
  <si>
    <t>Receita Líquida</t>
  </si>
  <si>
    <t>Holding, others and Consolidation Adjustements</t>
  </si>
  <si>
    <t>Holding, Outros e Ajustes de Consolidação</t>
  </si>
  <si>
    <t>EBITDA Ajustados</t>
  </si>
  <si>
    <t>Dados Financeiros por Segmento</t>
  </si>
  <si>
    <t>Financial Data by Segment</t>
  </si>
  <si>
    <t>INDEXADOR</t>
  </si>
  <si>
    <t>Triunfo</t>
  </si>
  <si>
    <t>Debêntures (3ª Emissão)</t>
  </si>
  <si>
    <t>IPCA + 8,65% a.a.</t>
  </si>
  <si>
    <t>Debêntures (4ª Emissão)</t>
  </si>
  <si>
    <t>IPCA + 7,0% a.a e CDI + 2,2%</t>
  </si>
  <si>
    <t>FINEP</t>
  </si>
  <si>
    <t>8% a.a.</t>
  </si>
  <si>
    <t>Capital de Giro Santander</t>
  </si>
  <si>
    <t xml:space="preserve">121,5%  do CDI </t>
  </si>
  <si>
    <t>Debêntures (5ª Emissão)</t>
  </si>
  <si>
    <t>CDI + 1,95%</t>
  </si>
  <si>
    <t>1ª Emissão de Debêntures</t>
  </si>
  <si>
    <t>CDI + 2,10% a.a.</t>
  </si>
  <si>
    <t>Financiamento de Imobilizado - FINEP</t>
  </si>
  <si>
    <t>8,0% a.a.</t>
  </si>
  <si>
    <t>Debêntures (2ª Emissão)</t>
  </si>
  <si>
    <t>CDI + 2,9% a.a.</t>
  </si>
  <si>
    <t>Conta garantida - Santander</t>
  </si>
  <si>
    <t>121% do CDI</t>
  </si>
  <si>
    <t>Debêntures (1ª Emissão)</t>
  </si>
  <si>
    <t>CDI + 2,25% a.a.</t>
  </si>
  <si>
    <t>ACC – Adiantamento de contrato de câmbio</t>
  </si>
  <si>
    <t>Variação Cambial + 0,93% a 2,5% a.a.</t>
  </si>
  <si>
    <t>Debêntures (1ª Emissão) - Vessel</t>
  </si>
  <si>
    <t>IPCA + 7,60% a.a.</t>
  </si>
  <si>
    <t>126,5% do CDI</t>
  </si>
  <si>
    <t>CDI + 4,16%</t>
  </si>
  <si>
    <t>IPCA + 6,0% a.a.</t>
  </si>
  <si>
    <t>Aeroportos Brasil</t>
  </si>
  <si>
    <t>Financiamento Imobilizado - BNDES</t>
  </si>
  <si>
    <t>TJLP + 2,34%</t>
  </si>
  <si>
    <t>IPCA + 7,89% a.a.</t>
  </si>
  <si>
    <t>TJLP + 1,81% a.a.</t>
  </si>
  <si>
    <t>Crédito Suplementar - BNDES</t>
  </si>
  <si>
    <t>TJLP + 2,16% a.a.</t>
  </si>
  <si>
    <t>Outros Financiamentos e Empréstimos</t>
  </si>
  <si>
    <t>Diversos</t>
  </si>
  <si>
    <t>Lucro de Operações em Continuidade</t>
  </si>
  <si>
    <t>(+) EBITDA de Operações Descontinuadas</t>
  </si>
  <si>
    <t>Conta Garantida - Banco do Brasil</t>
  </si>
  <si>
    <t>CDI + 3,307% a.a.</t>
  </si>
  <si>
    <t>n/a</t>
  </si>
  <si>
    <t>Conta Garantida - Santander</t>
  </si>
  <si>
    <t>Capital de Giro</t>
  </si>
  <si>
    <t>118,0% do CDI</t>
  </si>
  <si>
    <t>Capital de Giro - Vessel</t>
  </si>
  <si>
    <t>Capital de Giro - Maestra</t>
  </si>
  <si>
    <t>Capital de Giro - NTL</t>
  </si>
  <si>
    <t>TJLP + 2,1% a.a.</t>
  </si>
  <si>
    <t>Vetria</t>
  </si>
  <si>
    <t>3,5% a 6,5% a.a.</t>
  </si>
  <si>
    <t xml:space="preserve">BNDES - Empréstimo Ponte </t>
  </si>
  <si>
    <t>Handled Containers Revenue</t>
  </si>
  <si>
    <t>Storage and Other Revenues</t>
  </si>
  <si>
    <t>Movimentação de TEUs</t>
  </si>
  <si>
    <t>Armazenagem e Outros Serviços Portuários</t>
  </si>
  <si>
    <t>EMPRESA</t>
  </si>
  <si>
    <t>FINANCIAMENTO</t>
  </si>
  <si>
    <t>DÍVIDA BRUTA</t>
  </si>
  <si>
    <t>GROSS DEBT</t>
  </si>
  <si>
    <t>COMPANY</t>
  </si>
  <si>
    <t>DEBT</t>
  </si>
  <si>
    <t>Debentures (3rd Issue)</t>
  </si>
  <si>
    <t>Debentures (4rd Issue)</t>
  </si>
  <si>
    <t>Guaranteed Note - Banco do Brasil</t>
  </si>
  <si>
    <t>Guaranteed Note - Santander</t>
  </si>
  <si>
    <t>Working capital - Santander</t>
  </si>
  <si>
    <t>Debentures (5th Issue)</t>
  </si>
  <si>
    <t>Debentures (1st Issue)</t>
  </si>
  <si>
    <t>Fixed Asset Financing - FINEP</t>
  </si>
  <si>
    <t xml:space="preserve">Working capital </t>
  </si>
  <si>
    <t>Debentures (2nd Issue)</t>
  </si>
  <si>
    <t>Advances on Exchange Contracts</t>
  </si>
  <si>
    <t>Debentures (1st Issue) - Vessel</t>
  </si>
  <si>
    <t>Working capital - Vessel</t>
  </si>
  <si>
    <t>Working capital - Maestra</t>
  </si>
  <si>
    <t>Working capital - NTL</t>
  </si>
  <si>
    <t>BNDES -Bridge Loan (1)</t>
  </si>
  <si>
    <t>Fixed Asset Financing - BNDES</t>
  </si>
  <si>
    <t>Extra Credit - BNDES</t>
  </si>
  <si>
    <t>Other Financing Contracts and Loans</t>
  </si>
  <si>
    <t>INDEX</t>
  </si>
  <si>
    <t>IPCA + 8.65% p.a.</t>
  </si>
  <si>
    <t>IPCA + 7,0% p.a and CDI + 2.2%</t>
  </si>
  <si>
    <t>CDI + 3.307% p.a.</t>
  </si>
  <si>
    <t>126.5% of CDI</t>
  </si>
  <si>
    <t>8% p.a.</t>
  </si>
  <si>
    <t xml:space="preserve">121.5%  of CDI </t>
  </si>
  <si>
    <t>CDI + 2.10% p.a.</t>
  </si>
  <si>
    <t>8.0% p.a.</t>
  </si>
  <si>
    <t>118.0% of CDI</t>
  </si>
  <si>
    <t>CDI + 2.9% p.a.</t>
  </si>
  <si>
    <t>121% of CDI</t>
  </si>
  <si>
    <t>CDI + 2.25% p.a.</t>
  </si>
  <si>
    <t>Foreign Exchange +  0.93% to 2.5% p.a.</t>
  </si>
  <si>
    <t>IPCA + 7.60% p.a.</t>
  </si>
  <si>
    <t>CDI + 4.16%</t>
  </si>
  <si>
    <t>IPCA + 6.0% p.a.</t>
  </si>
  <si>
    <t>TJLP + 2.1% p.a.</t>
  </si>
  <si>
    <t>TJLP + 2.34%</t>
  </si>
  <si>
    <t>IPCA + 7,89% p.a.</t>
  </si>
  <si>
    <t>TJLP + 1.81% p.a.</t>
  </si>
  <si>
    <t>TJLP + 2.16% p.a.</t>
  </si>
  <si>
    <t>3.5% to 6.5% p.a.</t>
  </si>
  <si>
    <t>Other</t>
  </si>
  <si>
    <t>ENDIVIDAMENTO</t>
  </si>
  <si>
    <t>TOTAL</t>
  </si>
  <si>
    <t>Liabilities of Discontinued Operations</t>
  </si>
  <si>
    <t>Passivos de Operações Descontinuadas</t>
  </si>
  <si>
    <t>Assets of Discontinued Operations</t>
  </si>
  <si>
    <t>Ativos de Operações Descontinuadas</t>
  </si>
  <si>
    <t>Resultado de Operações Descontinuadas</t>
  </si>
  <si>
    <t>Net Income of Continuing Operations</t>
  </si>
  <si>
    <t>Net Income of Discontinued Operations</t>
  </si>
  <si>
    <t>(+) EBITDA from Discontinued Operations</t>
  </si>
  <si>
    <t>Holding and Others Investments</t>
  </si>
  <si>
    <t>Holding e Outros Investimentos</t>
  </si>
  <si>
    <t>Ajustes de Consolidação</t>
  </si>
  <si>
    <t>Consolidation Adjustements</t>
  </si>
  <si>
    <t>Endividamento</t>
  </si>
  <si>
    <t>Debt</t>
  </si>
  <si>
    <t>Vendas Adicionais</t>
  </si>
  <si>
    <t>Concebra</t>
  </si>
  <si>
    <t>Outros Investimentos</t>
  </si>
  <si>
    <t>Outros resultados abrangentes</t>
  </si>
  <si>
    <t>Operações Descontinuadas</t>
  </si>
  <si>
    <t>Provisão sobre Patrimônio Líquido negativo de Controladas</t>
  </si>
  <si>
    <t>Custos de manutenção - IAS 37</t>
  </si>
  <si>
    <t>Participação a comercializar</t>
  </si>
  <si>
    <t>(-) Receita de Construção Concebra</t>
  </si>
  <si>
    <t>(+) Custo de Construção Concebra</t>
  </si>
  <si>
    <t>Margem de Construção</t>
  </si>
  <si>
    <t>Construction Margin</t>
  </si>
  <si>
    <t>(+) Construction Margin</t>
  </si>
  <si>
    <t>(+) Margem de Construção</t>
  </si>
  <si>
    <t>(-) Receita de Construção: Viracopos</t>
  </si>
  <si>
    <t>(+) Custo de Construção: Viracopos</t>
  </si>
  <si>
    <t>(-) Construction Revenue: Viracopos</t>
  </si>
  <si>
    <t>(+) Construction Cost: Viracopos</t>
  </si>
  <si>
    <t>(-) Construction Revenue: Concebra</t>
  </si>
  <si>
    <t>(+) Construction Cost: Concebra</t>
  </si>
  <si>
    <t>(-) Receita de Construção: Concebra</t>
  </si>
  <si>
    <t>(+) Custo de Construção: Concebra</t>
  </si>
  <si>
    <t>Transbrasiliana</t>
  </si>
  <si>
    <t>(+) Construction Margin: Ammendments</t>
  </si>
  <si>
    <t>(+) Margem de Construção: Aditivos</t>
  </si>
  <si>
    <t>(-) Margem de Construção: Concebra</t>
  </si>
  <si>
    <t>(-) Construction Margin: Concebra</t>
  </si>
  <si>
    <t>Tijoá</t>
  </si>
  <si>
    <t>(+) Other Effects</t>
  </si>
  <si>
    <t>(+) Outros Efeitos</t>
  </si>
  <si>
    <t>Receita de Pousos e Decolagens</t>
  </si>
  <si>
    <t>Landing Revenue</t>
  </si>
  <si>
    <t>Indenizações a receber - aditivos</t>
  </si>
  <si>
    <t>Receivable</t>
  </si>
  <si>
    <t>Instrumentos Financeiros Derivativos</t>
  </si>
  <si>
    <t>Derivatives</t>
  </si>
  <si>
    <t>9M15</t>
  </si>
  <si>
    <t>12M15</t>
  </si>
  <si>
    <t>n/d</t>
  </si>
  <si>
    <t>6M15</t>
  </si>
  <si>
    <t>Provisão sobre Patrimônio Líquido Negativo</t>
  </si>
  <si>
    <t>Contratos de aquisição de ativos</t>
  </si>
  <si>
    <t>6M16</t>
  </si>
  <si>
    <t>Discontinued operations</t>
  </si>
  <si>
    <t>9M16</t>
  </si>
  <si>
    <t>Triunfo Transbrasiliana</t>
  </si>
  <si>
    <t>12M16</t>
  </si>
  <si>
    <t>TIPO DE FINANCIAMENTO</t>
  </si>
  <si>
    <t>VENCIMENTO</t>
  </si>
  <si>
    <t>6M17</t>
  </si>
  <si>
    <t>9M17</t>
  </si>
  <si>
    <t>Caixa Restrito</t>
  </si>
  <si>
    <t>Restricted Cash</t>
  </si>
  <si>
    <t>12M17</t>
  </si>
  <si>
    <t>DÍVIDA BRUTA (ENDIVIDAMENTO FINANCEIRO) - (R$ mil)</t>
  </si>
  <si>
    <t>D</t>
  </si>
  <si>
    <t>CDI + 2,0% a.a.</t>
  </si>
  <si>
    <t>Fiança Bancária - CCB</t>
  </si>
  <si>
    <t>Fiança Bancária - Santander</t>
  </si>
  <si>
    <t>CDI + 1,0% a.a.</t>
  </si>
  <si>
    <t>CCB - Banco BTG Pactual</t>
  </si>
  <si>
    <t>CDI + 3,0% a.a.</t>
  </si>
  <si>
    <t>Nota Promissória</t>
  </si>
  <si>
    <t>BNDES - Empréstimo Ponte</t>
  </si>
  <si>
    <t>CCB - Banco PAN</t>
  </si>
  <si>
    <t>Debênture - BRVias Holding</t>
  </si>
  <si>
    <t>BNDES - Finem</t>
  </si>
  <si>
    <t>CCB - Banco ABC</t>
  </si>
  <si>
    <t>CDI + 3% a.a.</t>
  </si>
  <si>
    <t>Dívida Bruta Total</t>
  </si>
  <si>
    <t>6M18</t>
  </si>
  <si>
    <t>CT Vias</t>
  </si>
  <si>
    <t>Custo de Manutenção</t>
  </si>
  <si>
    <t>TJLP + 0,5% a.a.</t>
  </si>
  <si>
    <t>CDI + 0,5% a.a.</t>
  </si>
  <si>
    <t>CCB - Avalista</t>
  </si>
  <si>
    <t>CDI + 3,9% a.a.</t>
  </si>
  <si>
    <t>TJLP + 2,9% a.a.</t>
  </si>
  <si>
    <t>CONSOLIDAÇÃO PROPORCIONAL</t>
  </si>
  <si>
    <t>CONCESSÕES RODOVIÁRIAS</t>
  </si>
  <si>
    <t>ENERGIA</t>
  </si>
  <si>
    <t>Participações a Comercializar</t>
  </si>
  <si>
    <t>9M18</t>
  </si>
  <si>
    <t>Volumes de Tráfego (000 veículos equivalentes) - ex Concepa</t>
  </si>
  <si>
    <t>12M18</t>
  </si>
  <si>
    <t>Triunfo Concebra</t>
  </si>
  <si>
    <t xml:space="preserve">Atualizada em </t>
  </si>
  <si>
    <t>Passivo de Contratos</t>
  </si>
  <si>
    <t xml:space="preserve"> </t>
  </si>
  <si>
    <t>6M19</t>
  </si>
  <si>
    <t>9M19</t>
  </si>
  <si>
    <t>Adiantamentos a fornecedores</t>
  </si>
  <si>
    <t>12M19</t>
  </si>
  <si>
    <t>6M20</t>
  </si>
  <si>
    <t>CCB - Banco Fibra</t>
  </si>
  <si>
    <t>CCB - Banco VW</t>
  </si>
  <si>
    <t>Eliminações E Ajustes</t>
  </si>
  <si>
    <t>Operação e Manutenção de Rodovias</t>
  </si>
  <si>
    <t>9M20</t>
  </si>
  <si>
    <t>12M20</t>
  </si>
  <si>
    <t>6M21</t>
  </si>
  <si>
    <r>
      <t xml:space="preserve">Triunfo 
</t>
    </r>
    <r>
      <rPr>
        <b/>
        <i/>
        <sz val="10"/>
        <rFont val="Arial Narrow"/>
        <family val="2"/>
      </rPr>
      <t>(holding)</t>
    </r>
  </si>
  <si>
    <t>CDI + 1,2% a.a.</t>
  </si>
  <si>
    <t>CCB - BNDES - Incorporada da Vessel-log</t>
  </si>
  <si>
    <t>7,5% a.a.</t>
  </si>
  <si>
    <t>CCB - BDMG</t>
  </si>
  <si>
    <t>CDI + 2,5% a.a.</t>
  </si>
  <si>
    <t>BDMG - Empréstimo Ponte</t>
  </si>
  <si>
    <t>Banco do Brasil - Empréstimo Ponte</t>
  </si>
  <si>
    <t>IPCA + 7,5% a.a.</t>
  </si>
  <si>
    <t>n/c</t>
  </si>
  <si>
    <t>9M21</t>
  </si>
  <si>
    <t>5ª Emissão de Debêntures</t>
  </si>
  <si>
    <t>CDI + 4,0% a.a.</t>
  </si>
  <si>
    <t>CCB - Banco Pine</t>
  </si>
  <si>
    <t>2ª Emissão de Debêntures</t>
  </si>
  <si>
    <t>CDI + 9,5% a.a.</t>
  </si>
  <si>
    <t>Leasing - HP Financial</t>
  </si>
  <si>
    <t>12M21</t>
  </si>
  <si>
    <t>N/A</t>
  </si>
  <si>
    <t>CDI + 1,5% a.a.</t>
  </si>
  <si>
    <t>1T22</t>
  </si>
  <si>
    <t xml:space="preserve">China Construction Bank - Bônus Adimplemento </t>
  </si>
  <si>
    <t>Empréstimo Ponte - BNDES A e B</t>
  </si>
  <si>
    <t>Crédito Bancário - Banco ABC</t>
  </si>
  <si>
    <t>TJLP + 2% a.a.</t>
  </si>
  <si>
    <t>FINEM - BNDES</t>
  </si>
  <si>
    <t>TJLP + 2.9% a.a.</t>
  </si>
  <si>
    <t>2T22</t>
  </si>
  <si>
    <t>3T22</t>
  </si>
  <si>
    <t>4T22</t>
  </si>
  <si>
    <t>6M22</t>
  </si>
  <si>
    <t>(+) Tarifa Excedente</t>
  </si>
  <si>
    <t>(-) Remuneração do Ativo Financeiro</t>
  </si>
  <si>
    <t>Outras receitas (despesas) não recorrentes</t>
  </si>
  <si>
    <t>Outras Receitas (Despesas) não recorrentes</t>
  </si>
  <si>
    <t>8ª Emissão de Debêntures</t>
  </si>
  <si>
    <t>9M22</t>
  </si>
  <si>
    <t>Remuneração do ativo financeiro</t>
  </si>
  <si>
    <t>Remuneração do Ativo Financiero</t>
  </si>
  <si>
    <t>12M22</t>
  </si>
  <si>
    <t>1T23</t>
  </si>
  <si>
    <t>2T23</t>
  </si>
  <si>
    <t>3T23</t>
  </si>
  <si>
    <t>4T23</t>
  </si>
  <si>
    <t>6M23</t>
  </si>
  <si>
    <t>Depósitos judiciais</t>
  </si>
  <si>
    <t>Créditos tributários diferidos</t>
  </si>
  <si>
    <t>Despesas de exercícios seguintes</t>
  </si>
  <si>
    <t xml:space="preserve">CCB- China Construction Bank </t>
  </si>
  <si>
    <t>9M23</t>
  </si>
  <si>
    <t>12M23</t>
  </si>
  <si>
    <t>Nota Comercial - Planner</t>
  </si>
  <si>
    <t>CDI + 4% a.a</t>
  </si>
  <si>
    <t>1T24</t>
  </si>
  <si>
    <t>2T24</t>
  </si>
  <si>
    <t>3T24</t>
  </si>
  <si>
    <t>4T24</t>
  </si>
  <si>
    <t>6M24</t>
  </si>
  <si>
    <t>9M24</t>
  </si>
  <si>
    <t>12M24</t>
  </si>
  <si>
    <t>(-) Ajuste a valor justo de propriedades para investimento</t>
  </si>
  <si>
    <t>(+) Rateio de Despesas da Controladora</t>
  </si>
  <si>
    <t>(+) Margem de Construção das Rodovias</t>
  </si>
  <si>
    <t>1T25</t>
  </si>
  <si>
    <t>(+) Ajuste a valor justo de propriedades para investimento</t>
  </si>
  <si>
    <t xml:space="preserve">(+) Rateio de Despesas da Controladora </t>
  </si>
  <si>
    <t>IPCA + 12,06% a.a.</t>
  </si>
  <si>
    <t>24,78% a.a</t>
  </si>
  <si>
    <t>2T25</t>
  </si>
  <si>
    <t>3T25</t>
  </si>
  <si>
    <t>4T25</t>
  </si>
  <si>
    <t>6M25</t>
  </si>
  <si>
    <t>9M25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</si>
</sst>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_ ;\-#,##0.00\ "/>
    <numFmt numFmtId="166" formatCode="_-* #,##0_-;\-* #,##0_-;_-* &quot;-&quot;??_-;_-@_-"/>
    <numFmt numFmtId="167" formatCode="_(* #,##0.00_);_(* \(#,##0.00\);_(* &quot;-&quot;??_);_(@_)"/>
    <numFmt numFmtId="169" formatCode="[$-416]mmmm/yyyy;@"/>
    <numFmt numFmtId="170" formatCode="#,##0;\-#,##0;\-"/>
  </numFmts>
  <fonts count="4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theme="0"/>
      <name val="Calibri"/>
      <family val="2"/>
      <scheme val="minor"/>
    </font>
    <font>
      <sz val="10"/>
      <name val="Calibri"/>
      <family val="2"/>
      <scheme val="minor"/>
    </font>
    <font>
      <sz val="8"/>
      <color rgb="FF000000"/>
      <name val="Tahoma"/>
      <family val="2"/>
    </font>
    <font>
      <sz val="9"/>
      <color indexed="81"/>
      <name val="Tahoma"/>
      <family val="2"/>
    </font>
    <font>
      <b/>
      <sz val="9"/>
      <color indexed="81"/>
      <name val="Tahoma"/>
      <family val="2"/>
    </font>
    <font>
      <u/>
      <sz val="11"/>
      <color theme="10"/>
      <name val="Calibri"/>
      <family val="2"/>
      <scheme val="minor"/>
    </font>
    <font>
      <sz val="10"/>
      <name val="Arial"/>
      <family val="2"/>
    </font>
    <font>
      <sz val="10"/>
      <name val="Arial Narrow"/>
      <family val="2"/>
    </font>
    <font>
      <b/>
      <sz val="10"/>
      <name val="Arial Narrow"/>
      <family val="2"/>
    </font>
    <font>
      <sz val="10"/>
      <color theme="1"/>
      <name val="Arial Narrow"/>
      <family val="2"/>
    </font>
    <font>
      <b/>
      <sz val="10"/>
      <color rgb="FFC00000"/>
      <name val="Arial Black"/>
      <family val="2"/>
    </font>
    <font>
      <sz val="10"/>
      <color rgb="FFC00000"/>
      <name val="Arial"/>
      <family val="2"/>
    </font>
    <font>
      <sz val="10"/>
      <color rgb="FFC00000"/>
      <name val="Arial Black"/>
      <family val="2"/>
    </font>
    <font>
      <sz val="9"/>
      <name val="Arial"/>
      <family val="2"/>
    </font>
    <font>
      <b/>
      <sz val="9"/>
      <color rgb="FFC00000"/>
      <name val="Arial Black"/>
      <family val="2"/>
    </font>
    <font>
      <b/>
      <sz val="9"/>
      <color rgb="FFC00000"/>
      <name val="Symbol"/>
      <family val="1"/>
      <charset val="2"/>
    </font>
    <font>
      <b/>
      <i/>
      <sz val="10"/>
      <name val="Arial Narrow"/>
      <family val="2"/>
    </font>
    <font>
      <b/>
      <sz val="10"/>
      <color theme="0"/>
      <name val="Arial"/>
      <family val="2"/>
    </font>
    <font>
      <b/>
      <u/>
      <sz val="10"/>
      <color theme="1"/>
      <name val="Arial"/>
      <family val="2"/>
    </font>
    <font>
      <b/>
      <sz val="10"/>
      <color theme="4" tint="-0.499984740745262"/>
      <name val="Arial"/>
      <family val="2"/>
    </font>
    <font>
      <sz val="10"/>
      <color rgb="FFFF0000"/>
      <name val="Arial"/>
      <family val="2"/>
    </font>
    <font>
      <b/>
      <sz val="10"/>
      <color theme="1"/>
      <name val="Arial"/>
      <family val="2"/>
    </font>
    <font>
      <sz val="10"/>
      <color theme="3"/>
      <name val="Arial"/>
      <family val="2"/>
    </font>
    <font>
      <b/>
      <sz val="10"/>
      <color theme="3"/>
      <name val="Arial"/>
      <family val="2"/>
    </font>
    <font>
      <sz val="11"/>
      <color theme="1"/>
      <name val="Arial"/>
      <family val="2"/>
    </font>
    <font>
      <b/>
      <sz val="10"/>
      <name val="Arial"/>
      <family val="2"/>
    </font>
    <font>
      <i/>
      <sz val="10"/>
      <color theme="1"/>
      <name val="Arial"/>
      <family val="2"/>
    </font>
    <font>
      <i/>
      <sz val="10"/>
      <color theme="3"/>
      <name val="Arial"/>
      <family val="2"/>
    </font>
    <font>
      <sz val="10"/>
      <color theme="4" tint="-0.249977111117893"/>
      <name val="Arial"/>
      <family val="2"/>
    </font>
    <font>
      <b/>
      <sz val="10"/>
      <color rgb="FFFF0000"/>
      <name val="Arial"/>
      <family val="2"/>
    </font>
    <font>
      <sz val="9"/>
      <color indexed="81"/>
      <name val="Segoe UI"/>
      <family val="2"/>
    </font>
    <font>
      <b/>
      <sz val="9"/>
      <color indexed="81"/>
      <name val="Segoe UI"/>
      <family val="2"/>
    </font>
    <font>
      <i/>
      <sz val="10"/>
      <color rgb="FFFF0000"/>
      <name val="Arial"/>
      <family val="2"/>
    </font>
    <font>
      <sz val="8"/>
      <name val="Calibri"/>
      <family val="2"/>
      <scheme val="minor"/>
    </font>
    <font>
      <b/>
      <sz val="8"/>
      <name val="Arial"/>
      <family val="2"/>
    </font>
  </fonts>
  <fills count="14">
    <fill>
      <patternFill patternType="none"/>
    </fill>
    <fill>
      <patternFill patternType="gray125"/>
    </fill>
    <fill>
      <patternFill patternType="solid">
        <fgColor theme="0" tint="-0.249977111117893"/>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rgb="FF7030A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indexed="9"/>
        <bgColor indexed="64"/>
      </patternFill>
    </fill>
    <fill>
      <gradientFill degree="90">
        <stop position="0">
          <color theme="0"/>
        </stop>
        <stop position="1">
          <color rgb="FFEAEAEA"/>
        </stop>
      </gradientFill>
    </fill>
    <fill>
      <patternFill patternType="solid">
        <fgColor rgb="FF00B050"/>
        <bgColor indexed="64"/>
      </patternFill>
    </fill>
    <fill>
      <patternFill patternType="solid">
        <fgColor rgb="FFFFFF00"/>
        <bgColor indexed="64"/>
      </patternFill>
    </fill>
    <fill>
      <patternFill patternType="solid">
        <fgColor theme="5" tint="0.79998168889431442"/>
        <bgColor theme="5" tint="0.79998168889431442"/>
      </patternFill>
    </fill>
  </fills>
  <borders count="56">
    <border>
      <left/>
      <right/>
      <top/>
      <bottom/>
      <diagonal/>
    </border>
    <border>
      <left/>
      <right/>
      <top style="thin">
        <color indexed="64"/>
      </top>
      <bottom style="thin">
        <color indexed="64"/>
      </bottom>
      <diagonal/>
    </border>
    <border>
      <left/>
      <right/>
      <top style="dotted">
        <color auto="1"/>
      </top>
      <bottom style="dotted">
        <color auto="1"/>
      </bottom>
      <diagonal/>
    </border>
    <border>
      <left/>
      <right/>
      <top style="dotted">
        <color indexed="64"/>
      </top>
      <bottom style="thin">
        <color indexed="64"/>
      </bottom>
      <diagonal/>
    </border>
    <border>
      <left/>
      <right/>
      <top style="dotted">
        <color auto="1"/>
      </top>
      <bottom/>
      <diagonal/>
    </border>
    <border>
      <left/>
      <right/>
      <top/>
      <bottom style="dotted">
        <color auto="1"/>
      </bottom>
      <diagonal/>
    </border>
    <border>
      <left/>
      <right/>
      <top style="thin">
        <color indexed="64"/>
      </top>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thick">
        <color theme="0" tint="-0.24994659260841701"/>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style="thick">
        <color theme="0" tint="-0.24994659260841701"/>
      </bottom>
      <diagonal/>
    </border>
    <border>
      <left/>
      <right style="thick">
        <color theme="0" tint="-0.24994659260841701"/>
      </right>
      <top/>
      <bottom style="thick">
        <color theme="0" tint="-0.24994659260841701"/>
      </bottom>
      <diagonal/>
    </border>
    <border>
      <left style="thick">
        <color theme="0" tint="-0.24994659260841701"/>
      </left>
      <right style="thick">
        <color theme="0" tint="-0.24994659260841701"/>
      </right>
      <top/>
      <bottom/>
      <diagonal/>
    </border>
    <border>
      <left style="thick">
        <color theme="0" tint="-0.24994659260841701"/>
      </left>
      <right style="thick">
        <color theme="0" tint="-0.24994659260841701"/>
      </right>
      <top/>
      <bottom style="thick">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bottom style="thin">
        <color indexed="64"/>
      </bottom>
      <diagonal/>
    </border>
    <border>
      <left/>
      <right/>
      <top/>
      <bottom style="hair">
        <color indexed="64"/>
      </bottom>
      <diagonal/>
    </border>
    <border>
      <left/>
      <right/>
      <top style="hair">
        <color auto="1"/>
      </top>
      <bottom/>
      <diagonal/>
    </border>
    <border>
      <left style="hair">
        <color auto="1"/>
      </left>
      <right/>
      <top/>
      <bottom/>
      <diagonal/>
    </border>
    <border>
      <left/>
      <right style="hair">
        <color auto="1"/>
      </right>
      <top/>
      <bottom/>
      <diagonal/>
    </border>
    <border>
      <left style="hair">
        <color auto="1"/>
      </left>
      <right/>
      <top style="thin">
        <color indexed="64"/>
      </top>
      <bottom style="thin">
        <color indexed="64"/>
      </bottom>
      <diagonal/>
    </border>
    <border>
      <left/>
      <right style="hair">
        <color auto="1"/>
      </right>
      <top style="thin">
        <color indexed="64"/>
      </top>
      <bottom style="thin">
        <color indexed="64"/>
      </bottom>
      <diagonal/>
    </border>
    <border>
      <left style="hair">
        <color auto="1"/>
      </left>
      <right/>
      <top/>
      <bottom style="dotted">
        <color auto="1"/>
      </bottom>
      <diagonal/>
    </border>
    <border>
      <left/>
      <right style="hair">
        <color auto="1"/>
      </right>
      <top/>
      <bottom style="dotted">
        <color auto="1"/>
      </bottom>
      <diagonal/>
    </border>
    <border>
      <left style="hair">
        <color auto="1"/>
      </left>
      <right/>
      <top style="dotted">
        <color auto="1"/>
      </top>
      <bottom style="dotted">
        <color auto="1"/>
      </bottom>
      <diagonal/>
    </border>
    <border>
      <left/>
      <right style="hair">
        <color auto="1"/>
      </right>
      <top style="dotted">
        <color auto="1"/>
      </top>
      <bottom style="dotted">
        <color auto="1"/>
      </bottom>
      <diagonal/>
    </border>
    <border>
      <left style="hair">
        <color auto="1"/>
      </left>
      <right/>
      <top style="dotted">
        <color indexed="64"/>
      </top>
      <bottom style="thin">
        <color indexed="64"/>
      </bottom>
      <diagonal/>
    </border>
    <border>
      <left/>
      <right style="hair">
        <color auto="1"/>
      </right>
      <top style="dotted">
        <color indexed="64"/>
      </top>
      <bottom style="thin">
        <color indexed="64"/>
      </bottom>
      <diagonal/>
    </border>
    <border>
      <left style="hair">
        <color auto="1"/>
      </left>
      <right/>
      <top style="dotted">
        <color auto="1"/>
      </top>
      <bottom/>
      <diagonal/>
    </border>
    <border>
      <left/>
      <right style="hair">
        <color auto="1"/>
      </right>
      <top style="dotted">
        <color auto="1"/>
      </top>
      <bottom/>
      <diagonal/>
    </border>
    <border>
      <left style="hair">
        <color auto="1"/>
      </left>
      <right/>
      <top/>
      <bottom style="hair">
        <color indexed="64"/>
      </bottom>
      <diagonal/>
    </border>
    <border>
      <left/>
      <right style="hair">
        <color auto="1"/>
      </right>
      <top/>
      <bottom style="hair">
        <color indexed="64"/>
      </bottom>
      <diagonal/>
    </border>
    <border>
      <left style="hair">
        <color auto="1"/>
      </left>
      <right/>
      <top style="thin">
        <color indexed="64"/>
      </top>
      <bottom/>
      <diagonal/>
    </border>
    <border>
      <left/>
      <right style="hair">
        <color auto="1"/>
      </right>
      <top style="thin">
        <color indexed="64"/>
      </top>
      <bottom/>
      <diagonal/>
    </border>
    <border>
      <left/>
      <right/>
      <top style="thin">
        <color indexed="64"/>
      </top>
      <bottom style="dotted">
        <color auto="1"/>
      </bottom>
      <diagonal/>
    </border>
    <border>
      <left style="thick">
        <color indexed="9"/>
      </left>
      <right style="thick">
        <color indexed="9"/>
      </right>
      <top style="thick">
        <color indexed="9"/>
      </top>
      <bottom style="thick">
        <color indexed="9"/>
      </bottom>
      <diagonal/>
    </border>
    <border>
      <left style="thick">
        <color indexed="9"/>
      </left>
      <right style="thick">
        <color indexed="9"/>
      </right>
      <top/>
      <bottom style="thick">
        <color indexed="9"/>
      </bottom>
      <diagonal/>
    </border>
    <border>
      <left/>
      <right/>
      <top/>
      <bottom style="thin">
        <color rgb="FFC00000"/>
      </bottom>
      <diagonal/>
    </border>
    <border>
      <left/>
      <right style="thick">
        <color indexed="9"/>
      </right>
      <top/>
      <bottom/>
      <diagonal/>
    </border>
    <border>
      <left style="thick">
        <color indexed="9"/>
      </left>
      <right style="thick">
        <color indexed="9"/>
      </right>
      <top style="thick">
        <color indexed="9"/>
      </top>
      <bottom/>
      <diagonal/>
    </border>
    <border>
      <left/>
      <right style="dotted">
        <color auto="1"/>
      </right>
      <top/>
      <bottom style="dotted">
        <color auto="1"/>
      </bottom>
      <diagonal/>
    </border>
    <border>
      <left/>
      <right style="dotted">
        <color auto="1"/>
      </right>
      <top/>
      <bottom/>
      <diagonal/>
    </border>
    <border>
      <left/>
      <right style="dotted">
        <color auto="1"/>
      </right>
      <top style="dotted">
        <color auto="1"/>
      </top>
      <bottom/>
      <diagonal/>
    </border>
    <border>
      <left style="dotted">
        <color rgb="FFC00000"/>
      </left>
      <right style="thick">
        <color indexed="9"/>
      </right>
      <top style="dotted">
        <color rgb="FFC00000"/>
      </top>
      <bottom style="dotted">
        <color rgb="FFC00000"/>
      </bottom>
      <diagonal/>
    </border>
    <border>
      <left style="thick">
        <color indexed="9"/>
      </left>
      <right style="thick">
        <color indexed="9"/>
      </right>
      <top style="dotted">
        <color rgb="FFC00000"/>
      </top>
      <bottom style="dotted">
        <color rgb="FFC00000"/>
      </bottom>
      <diagonal/>
    </border>
    <border>
      <left style="thick">
        <color indexed="9"/>
      </left>
      <right style="dotted">
        <color rgb="FFC00000"/>
      </right>
      <top style="dotted">
        <color rgb="FFC00000"/>
      </top>
      <bottom style="dotted">
        <color rgb="FFC00000"/>
      </bottom>
      <diagonal/>
    </border>
    <border>
      <left style="thick">
        <color indexed="9"/>
      </left>
      <right style="thick">
        <color indexed="9"/>
      </right>
      <top/>
      <bottom/>
      <diagonal/>
    </border>
    <border>
      <left style="hair">
        <color auto="1"/>
      </left>
      <right style="hair">
        <color indexed="64"/>
      </right>
      <top/>
      <bottom/>
      <diagonal/>
    </border>
    <border>
      <left style="hair">
        <color auto="1"/>
      </left>
      <right style="hair">
        <color indexed="64"/>
      </right>
      <top style="dotted">
        <color auto="1"/>
      </top>
      <bottom style="dotted">
        <color auto="1"/>
      </bottom>
      <diagonal/>
    </border>
    <border>
      <left style="hair">
        <color auto="1"/>
      </left>
      <right style="hair">
        <color indexed="64"/>
      </right>
      <top style="dotted">
        <color indexed="64"/>
      </top>
      <bottom style="thin">
        <color indexed="64"/>
      </bottom>
      <diagonal/>
    </border>
    <border>
      <left style="thin">
        <color theme="5"/>
      </left>
      <right style="thin">
        <color theme="5"/>
      </right>
      <top style="thin">
        <color theme="5"/>
      </top>
      <bottom style="thin">
        <color theme="5"/>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dotted">
        <color auto="1"/>
      </bottom>
      <diagonal/>
    </border>
  </borders>
  <cellStyleXfs count="100">
    <xf numFmtId="0" fontId="0" fillId="0" borderId="0"/>
    <xf numFmtId="43" fontId="4" fillId="0" borderId="0" applyFont="0" applyFill="0" applyBorder="0" applyAlignment="0" applyProtection="0"/>
    <xf numFmtId="9" fontId="4" fillId="0" borderId="0" applyFont="0" applyFill="0" applyBorder="0" applyAlignment="0" applyProtection="0"/>
    <xf numFmtId="0" fontId="13" fillId="0" borderId="0" applyNumberFormat="0" applyFill="0" applyBorder="0" applyAlignment="0" applyProtection="0"/>
    <xf numFmtId="0" fontId="14" fillId="0" borderId="0"/>
    <xf numFmtId="167" fontId="14" fillId="0" borderId="0" applyFont="0" applyFill="0" applyBorder="0" applyAlignment="0" applyProtection="0"/>
    <xf numFmtId="9" fontId="14" fillId="0" borderId="0" applyFont="0" applyFill="0" applyBorder="0" applyAlignment="0" applyProtection="0"/>
    <xf numFmtId="167"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9" fontId="14" fillId="0" borderId="0" applyFont="0" applyFill="0" applyBorder="0" applyAlignment="0" applyProtection="0"/>
    <xf numFmtId="167"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9" fontId="14"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cellStyleXfs>
  <cellXfs count="827">
    <xf numFmtId="0" fontId="0" fillId="0" borderId="0" xfId="0"/>
    <xf numFmtId="3" fontId="8" fillId="3" borderId="1" xfId="1" applyNumberFormat="1" applyFont="1" applyFill="1" applyBorder="1" applyAlignment="1">
      <alignment horizontal="center"/>
    </xf>
    <xf numFmtId="3" fontId="6" fillId="0" borderId="0" xfId="1" applyNumberFormat="1" applyFont="1"/>
    <xf numFmtId="3" fontId="6" fillId="0" borderId="2" xfId="1" applyNumberFormat="1" applyFont="1" applyBorder="1"/>
    <xf numFmtId="3" fontId="5" fillId="0" borderId="0" xfId="1" applyNumberFormat="1" applyFont="1" applyAlignment="1">
      <alignment horizontal="left" indent="1"/>
    </xf>
    <xf numFmtId="3" fontId="5" fillId="0" borderId="0" xfId="1" applyNumberFormat="1" applyFont="1"/>
    <xf numFmtId="3" fontId="7" fillId="0" borderId="0" xfId="1" applyNumberFormat="1" applyFont="1" applyAlignment="1">
      <alignment horizontal="left" indent="2"/>
    </xf>
    <xf numFmtId="3" fontId="5" fillId="0" borderId="0" xfId="1" applyNumberFormat="1" applyFont="1" applyBorder="1" applyAlignment="1">
      <alignment horizontal="left" indent="1"/>
    </xf>
    <xf numFmtId="3" fontId="5" fillId="0" borderId="0" xfId="1" applyNumberFormat="1" applyFont="1" applyBorder="1"/>
    <xf numFmtId="3" fontId="6" fillId="0" borderId="3" xfId="1" applyNumberFormat="1" applyFont="1" applyBorder="1"/>
    <xf numFmtId="3" fontId="5" fillId="0" borderId="0" xfId="1" applyNumberFormat="1" applyFont="1" applyAlignment="1">
      <alignment horizontal="left" indent="2"/>
    </xf>
    <xf numFmtId="3" fontId="5" fillId="0" borderId="4" xfId="1" applyNumberFormat="1" applyFont="1" applyBorder="1"/>
    <xf numFmtId="3" fontId="5" fillId="0" borderId="0" xfId="1" applyNumberFormat="1" applyFont="1" applyBorder="1" applyAlignment="1">
      <alignment horizontal="left" indent="2"/>
    </xf>
    <xf numFmtId="3" fontId="5" fillId="0" borderId="5" xfId="1" applyNumberFormat="1" applyFont="1" applyBorder="1" applyAlignment="1">
      <alignment horizontal="left" indent="2"/>
    </xf>
    <xf numFmtId="3" fontId="5" fillId="0" borderId="5" xfId="1" applyNumberFormat="1" applyFont="1" applyBorder="1"/>
    <xf numFmtId="3" fontId="6" fillId="0" borderId="4" xfId="1" applyNumberFormat="1" applyFont="1" applyBorder="1"/>
    <xf numFmtId="3" fontId="6" fillId="4" borderId="4" xfId="1" applyNumberFormat="1" applyFont="1" applyFill="1" applyBorder="1"/>
    <xf numFmtId="3" fontId="5" fillId="4" borderId="0" xfId="1" applyNumberFormat="1" applyFont="1" applyFill="1" applyBorder="1" applyAlignment="1">
      <alignment horizontal="left" indent="2"/>
    </xf>
    <xf numFmtId="3" fontId="5" fillId="0" borderId="4" xfId="1" applyNumberFormat="1" applyFont="1" applyBorder="1" applyAlignment="1">
      <alignment horizontal="left" indent="1"/>
    </xf>
    <xf numFmtId="3" fontId="6" fillId="4" borderId="0" xfId="1" applyNumberFormat="1" applyFont="1" applyFill="1" applyBorder="1"/>
    <xf numFmtId="3" fontId="6" fillId="0" borderId="5" xfId="1" applyNumberFormat="1" applyFont="1" applyBorder="1"/>
    <xf numFmtId="3" fontId="6" fillId="2" borderId="1" xfId="1" applyNumberFormat="1" applyFont="1" applyFill="1" applyBorder="1"/>
    <xf numFmtId="3" fontId="5" fillId="4" borderId="5" xfId="1" applyNumberFormat="1" applyFont="1" applyFill="1" applyBorder="1" applyAlignment="1">
      <alignment horizontal="left" indent="2"/>
    </xf>
    <xf numFmtId="3" fontId="5" fillId="0" borderId="0" xfId="1" applyNumberFormat="1" applyFont="1" applyAlignment="1">
      <alignment horizontal="left" indent="3"/>
    </xf>
    <xf numFmtId="3" fontId="6" fillId="2" borderId="6" xfId="1" applyNumberFormat="1" applyFont="1" applyFill="1" applyBorder="1"/>
    <xf numFmtId="3" fontId="5" fillId="0" borderId="0" xfId="1" applyNumberFormat="1" applyFont="1" applyBorder="1" applyAlignment="1">
      <alignment horizontal="left" indent="3"/>
    </xf>
    <xf numFmtId="3" fontId="5" fillId="0" borderId="5" xfId="1" applyNumberFormat="1" applyFont="1" applyBorder="1" applyAlignment="1">
      <alignment horizontal="left" indent="3"/>
    </xf>
    <xf numFmtId="3" fontId="5" fillId="0" borderId="5" xfId="1" applyNumberFormat="1" applyFont="1" applyBorder="1" applyAlignment="1">
      <alignment horizontal="left" indent="1"/>
    </xf>
    <xf numFmtId="3" fontId="8" fillId="3" borderId="1" xfId="1" applyNumberFormat="1" applyFont="1" applyFill="1" applyBorder="1" applyAlignment="1" applyProtection="1">
      <alignment horizontal="center"/>
    </xf>
    <xf numFmtId="3" fontId="6" fillId="2" borderId="1" xfId="1" applyNumberFormat="1" applyFont="1" applyFill="1" applyBorder="1" applyProtection="1"/>
    <xf numFmtId="3" fontId="6" fillId="0" borderId="5" xfId="1" applyNumberFormat="1" applyFont="1" applyBorder="1" applyProtection="1"/>
    <xf numFmtId="3" fontId="5" fillId="0" borderId="0" xfId="1" applyNumberFormat="1" applyFont="1" applyAlignment="1" applyProtection="1">
      <alignment horizontal="left" indent="1"/>
    </xf>
    <xf numFmtId="3" fontId="6" fillId="0" borderId="2" xfId="1" applyNumberFormat="1" applyFont="1" applyBorder="1" applyProtection="1"/>
    <xf numFmtId="3" fontId="7" fillId="0" borderId="0" xfId="1" applyNumberFormat="1" applyFont="1" applyAlignment="1" applyProtection="1">
      <alignment horizontal="left" indent="2"/>
    </xf>
    <xf numFmtId="3" fontId="5" fillId="0" borderId="0" xfId="1" applyNumberFormat="1" applyFont="1" applyBorder="1" applyAlignment="1" applyProtection="1">
      <alignment horizontal="left" indent="1"/>
    </xf>
    <xf numFmtId="3" fontId="6" fillId="0" borderId="3" xfId="1" applyNumberFormat="1" applyFont="1" applyBorder="1" applyProtection="1"/>
    <xf numFmtId="3" fontId="6" fillId="4" borderId="0" xfId="1" applyNumberFormat="1" applyFont="1" applyFill="1" applyBorder="1" applyProtection="1"/>
    <xf numFmtId="3" fontId="5" fillId="4" borderId="0" xfId="1" applyNumberFormat="1" applyFont="1" applyFill="1" applyBorder="1" applyAlignment="1" applyProtection="1">
      <alignment horizontal="left" indent="2"/>
    </xf>
    <xf numFmtId="3" fontId="5" fillId="0" borderId="4" xfId="1" applyNumberFormat="1" applyFont="1" applyBorder="1" applyAlignment="1" applyProtection="1">
      <alignment horizontal="left" indent="1"/>
    </xf>
    <xf numFmtId="3" fontId="5" fillId="0" borderId="0" xfId="1" applyNumberFormat="1" applyFont="1" applyBorder="1" applyAlignment="1" applyProtection="1">
      <alignment horizontal="left" indent="2"/>
    </xf>
    <xf numFmtId="3" fontId="5" fillId="0" borderId="5" xfId="1" applyNumberFormat="1" applyFont="1" applyBorder="1" applyAlignment="1" applyProtection="1">
      <alignment horizontal="left" indent="2"/>
    </xf>
    <xf numFmtId="3" fontId="6" fillId="0" borderId="4" xfId="1" applyNumberFormat="1" applyFont="1" applyBorder="1" applyProtection="1"/>
    <xf numFmtId="3" fontId="6" fillId="0" borderId="0" xfId="1" applyNumberFormat="1" applyFont="1" applyProtection="1"/>
    <xf numFmtId="3" fontId="6" fillId="4" borderId="4" xfId="1" applyNumberFormat="1" applyFont="1" applyFill="1" applyBorder="1" applyProtection="1"/>
    <xf numFmtId="3" fontId="5" fillId="4" borderId="5" xfId="1" applyNumberFormat="1" applyFont="1" applyFill="1" applyBorder="1" applyAlignment="1" applyProtection="1">
      <alignment horizontal="left" indent="2"/>
    </xf>
    <xf numFmtId="3" fontId="5" fillId="0" borderId="0" xfId="1" applyNumberFormat="1" applyFont="1" applyAlignment="1" applyProtection="1">
      <alignment horizontal="left" indent="2"/>
    </xf>
    <xf numFmtId="3" fontId="5" fillId="0" borderId="0" xfId="1" applyNumberFormat="1" applyFont="1" applyAlignment="1" applyProtection="1">
      <alignment horizontal="left" indent="3"/>
    </xf>
    <xf numFmtId="3" fontId="6" fillId="2" borderId="6" xfId="1" applyNumberFormat="1" applyFont="1" applyFill="1" applyBorder="1" applyProtection="1"/>
    <xf numFmtId="3" fontId="5" fillId="0" borderId="0" xfId="1" applyNumberFormat="1" applyFont="1" applyBorder="1" applyAlignment="1" applyProtection="1">
      <alignment horizontal="left" indent="3"/>
    </xf>
    <xf numFmtId="3" fontId="5" fillId="0" borderId="5" xfId="1" applyNumberFormat="1" applyFont="1" applyBorder="1" applyAlignment="1" applyProtection="1">
      <alignment horizontal="left" indent="3"/>
    </xf>
    <xf numFmtId="3" fontId="5" fillId="0" borderId="5" xfId="1" applyNumberFormat="1" applyFont="1" applyBorder="1" applyAlignment="1" applyProtection="1">
      <alignment horizontal="left" indent="1"/>
    </xf>
    <xf numFmtId="3" fontId="5" fillId="0" borderId="4" xfId="1" applyNumberFormat="1" applyFont="1" applyBorder="1" applyProtection="1"/>
    <xf numFmtId="3" fontId="5" fillId="0" borderId="0" xfId="1" applyNumberFormat="1" applyFont="1" applyBorder="1" applyProtection="1"/>
    <xf numFmtId="3" fontId="5" fillId="0" borderId="5" xfId="1" applyNumberFormat="1" applyFont="1" applyBorder="1" applyProtection="1"/>
    <xf numFmtId="3" fontId="5" fillId="0" borderId="0" xfId="1" applyNumberFormat="1" applyFont="1" applyProtection="1"/>
    <xf numFmtId="3" fontId="9" fillId="0" borderId="0" xfId="1" applyNumberFormat="1" applyFont="1" applyBorder="1" applyAlignment="1">
      <alignment horizontal="left" indent="2"/>
    </xf>
    <xf numFmtId="3" fontId="9" fillId="0" borderId="5" xfId="1" applyNumberFormat="1" applyFont="1" applyBorder="1" applyAlignment="1">
      <alignment horizontal="left" indent="2"/>
    </xf>
    <xf numFmtId="3" fontId="5" fillId="0" borderId="0" xfId="1" applyNumberFormat="1" applyFont="1" applyAlignment="1">
      <alignment horizontal="center"/>
    </xf>
    <xf numFmtId="3" fontId="6" fillId="0" borderId="0" xfId="1" applyNumberFormat="1" applyFont="1" applyBorder="1" applyProtection="1"/>
    <xf numFmtId="3" fontId="6" fillId="4" borderId="5" xfId="1" applyNumberFormat="1" applyFont="1" applyFill="1" applyBorder="1" applyProtection="1"/>
    <xf numFmtId="3" fontId="5" fillId="0" borderId="0" xfId="1" applyNumberFormat="1" applyFont="1" applyBorder="1" applyAlignment="1" applyProtection="1">
      <alignment horizontal="left" indent="4"/>
    </xf>
    <xf numFmtId="3" fontId="6" fillId="4" borderId="2" xfId="1" applyNumberFormat="1" applyFont="1" applyFill="1" applyBorder="1" applyProtection="1"/>
    <xf numFmtId="3" fontId="5" fillId="0" borderId="4" xfId="1" applyNumberFormat="1" applyFont="1" applyBorder="1" applyAlignment="1" applyProtection="1">
      <alignment horizontal="left" indent="3"/>
    </xf>
    <xf numFmtId="3" fontId="5" fillId="0" borderId="5" xfId="1" applyNumberFormat="1" applyFont="1" applyBorder="1" applyAlignment="1" applyProtection="1">
      <alignment horizontal="left" indent="4"/>
    </xf>
    <xf numFmtId="3" fontId="5" fillId="0" borderId="4" xfId="1" applyNumberFormat="1" applyFont="1" applyBorder="1" applyAlignment="1" applyProtection="1">
      <alignment horizontal="left" indent="2"/>
    </xf>
    <xf numFmtId="3" fontId="5" fillId="0" borderId="2" xfId="1" applyNumberFormat="1" applyFont="1" applyBorder="1" applyAlignment="1" applyProtection="1">
      <alignment horizontal="left" indent="3"/>
    </xf>
    <xf numFmtId="3" fontId="6" fillId="0" borderId="0" xfId="1" applyNumberFormat="1" applyFont="1" applyBorder="1" applyAlignment="1" applyProtection="1">
      <alignment horizontal="left" indent="1"/>
    </xf>
    <xf numFmtId="3" fontId="8" fillId="5" borderId="0" xfId="1" applyNumberFormat="1" applyFont="1" applyFill="1" applyAlignment="1">
      <alignment horizontal="center"/>
    </xf>
    <xf numFmtId="3" fontId="8" fillId="5" borderId="0" xfId="1" applyNumberFormat="1" applyFont="1" applyFill="1" applyAlignment="1" applyProtection="1">
      <alignment horizontal="center"/>
    </xf>
    <xf numFmtId="0" fontId="0" fillId="0" borderId="6" xfId="0" applyBorder="1"/>
    <xf numFmtId="0" fontId="0" fillId="0" borderId="17" xfId="0" applyBorder="1"/>
    <xf numFmtId="3" fontId="6" fillId="0" borderId="5" xfId="1" applyNumberFormat="1" applyFont="1" applyBorder="1" applyAlignment="1" applyProtection="1">
      <alignment horizontal="left" indent="1"/>
    </xf>
    <xf numFmtId="3" fontId="5" fillId="8" borderId="0" xfId="1" applyNumberFormat="1" applyFont="1" applyFill="1" applyBorder="1" applyAlignment="1" applyProtection="1">
      <alignment horizontal="left" indent="3"/>
    </xf>
    <xf numFmtId="3" fontId="5" fillId="0" borderId="17" xfId="1" applyNumberFormat="1" applyFont="1" applyBorder="1" applyProtection="1"/>
    <xf numFmtId="3" fontId="6" fillId="0" borderId="17" xfId="1" applyNumberFormat="1" applyFont="1" applyBorder="1"/>
    <xf numFmtId="3" fontId="6" fillId="0" borderId="17" xfId="1" applyNumberFormat="1" applyFont="1" applyBorder="1" applyProtection="1"/>
    <xf numFmtId="3" fontId="5" fillId="0" borderId="0" xfId="1" applyNumberFormat="1" applyFont="1" applyFill="1" applyBorder="1" applyAlignment="1" applyProtection="1">
      <alignment horizontal="left" indent="1"/>
    </xf>
    <xf numFmtId="3" fontId="5" fillId="0" borderId="0" xfId="1" applyNumberFormat="1" applyFont="1" applyFill="1" applyBorder="1" applyAlignment="1">
      <alignment horizontal="left" indent="1"/>
    </xf>
    <xf numFmtId="0" fontId="18" fillId="0" borderId="39" xfId="49" applyFont="1" applyBorder="1" applyAlignment="1">
      <alignment vertical="center"/>
    </xf>
    <xf numFmtId="0" fontId="15" fillId="10" borderId="37" xfId="52" applyFont="1" applyFill="1" applyBorder="1" applyAlignment="1">
      <alignment horizontal="left" vertical="center" wrapText="1"/>
    </xf>
    <xf numFmtId="0" fontId="15" fillId="10" borderId="37" xfId="52" applyFont="1" applyFill="1" applyBorder="1" applyAlignment="1">
      <alignment horizontal="center" vertical="center" wrapText="1"/>
    </xf>
    <xf numFmtId="169" fontId="15" fillId="10" borderId="37" xfId="50" applyNumberFormat="1" applyFont="1" applyFill="1" applyBorder="1" applyAlignment="1">
      <alignment horizontal="center" vertical="center" wrapText="1"/>
    </xf>
    <xf numFmtId="164" fontId="15" fillId="10" borderId="37" xfId="51" applyNumberFormat="1" applyFont="1" applyFill="1" applyBorder="1" applyAlignment="1">
      <alignment horizontal="center" vertical="center" wrapText="1"/>
    </xf>
    <xf numFmtId="169" fontId="15" fillId="10" borderId="37" xfId="50" quotePrefix="1" applyNumberFormat="1" applyFont="1" applyFill="1" applyBorder="1" applyAlignment="1">
      <alignment horizontal="center" vertical="center" wrapText="1"/>
    </xf>
    <xf numFmtId="0" fontId="3" fillId="0" borderId="0" xfId="0" applyFont="1"/>
    <xf numFmtId="0" fontId="25" fillId="3" borderId="7" xfId="0" applyFont="1" applyFill="1" applyBorder="1" applyAlignment="1">
      <alignment horizontal="center" vertical="center"/>
    </xf>
    <xf numFmtId="0" fontId="3" fillId="6" borderId="12" xfId="0" applyFont="1" applyFill="1" applyBorder="1"/>
    <xf numFmtId="0" fontId="3" fillId="6" borderId="13" xfId="0" applyFont="1" applyFill="1" applyBorder="1"/>
    <xf numFmtId="0" fontId="27" fillId="7" borderId="7" xfId="3" applyFont="1" applyFill="1" applyBorder="1" applyAlignment="1">
      <alignment horizontal="center" vertical="center"/>
    </xf>
    <xf numFmtId="166" fontId="2" fillId="0" borderId="0" xfId="1" applyNumberFormat="1" applyFont="1" applyProtection="1"/>
    <xf numFmtId="166" fontId="2" fillId="0" borderId="0" xfId="1" applyNumberFormat="1" applyFont="1" applyBorder="1" applyProtection="1"/>
    <xf numFmtId="166" fontId="2" fillId="0" borderId="0" xfId="1" quotePrefix="1" applyNumberFormat="1" applyFont="1" applyBorder="1" applyProtection="1"/>
    <xf numFmtId="166" fontId="2" fillId="0" borderId="0" xfId="1" applyNumberFormat="1" applyFont="1" applyProtection="1">
      <protection locked="0"/>
    </xf>
    <xf numFmtId="166" fontId="25" fillId="3" borderId="1" xfId="1" applyNumberFormat="1" applyFont="1" applyFill="1" applyBorder="1" applyAlignment="1" applyProtection="1">
      <alignment horizontal="center"/>
    </xf>
    <xf numFmtId="166" fontId="25" fillId="3" borderId="23" xfId="1" applyNumberFormat="1" applyFont="1" applyFill="1" applyBorder="1" applyAlignment="1" applyProtection="1">
      <alignment horizontal="center"/>
    </xf>
    <xf numFmtId="166" fontId="25" fillId="3" borderId="22" xfId="1" applyNumberFormat="1" applyFont="1" applyFill="1" applyBorder="1" applyAlignment="1" applyProtection="1">
      <alignment horizontal="center"/>
    </xf>
    <xf numFmtId="166" fontId="29" fillId="0" borderId="0" xfId="1" applyNumberFormat="1" applyFont="1" applyAlignment="1" applyProtection="1">
      <alignment horizontal="center"/>
      <protection locked="0"/>
    </xf>
    <xf numFmtId="166" fontId="29" fillId="2" borderId="1" xfId="1" applyNumberFormat="1" applyFont="1" applyFill="1" applyBorder="1" applyProtection="1"/>
    <xf numFmtId="166" fontId="29" fillId="2" borderId="1" xfId="1" applyNumberFormat="1" applyFont="1" applyFill="1" applyBorder="1" applyProtection="1">
      <protection locked="0"/>
    </xf>
    <xf numFmtId="166" fontId="29" fillId="2" borderId="23" xfId="1" applyNumberFormat="1" applyFont="1" applyFill="1" applyBorder="1" applyProtection="1">
      <protection locked="0"/>
    </xf>
    <xf numFmtId="166" fontId="29" fillId="0" borderId="0" xfId="1" applyNumberFormat="1" applyFont="1" applyProtection="1">
      <protection locked="0"/>
    </xf>
    <xf numFmtId="166" fontId="29" fillId="0" borderId="5" xfId="1" applyNumberFormat="1" applyFont="1" applyBorder="1" applyProtection="1"/>
    <xf numFmtId="166" fontId="29" fillId="0" borderId="5" xfId="1" applyNumberFormat="1" applyFont="1" applyBorder="1" applyProtection="1">
      <protection locked="0"/>
    </xf>
    <xf numFmtId="166" fontId="29" fillId="0" borderId="25" xfId="1" applyNumberFormat="1" applyFont="1" applyBorder="1" applyProtection="1">
      <protection locked="0"/>
    </xf>
    <xf numFmtId="166" fontId="2" fillId="0" borderId="0" xfId="1" applyNumberFormat="1" applyFont="1" applyAlignment="1" applyProtection="1">
      <alignment horizontal="left" indent="1"/>
    </xf>
    <xf numFmtId="166" fontId="30" fillId="0" borderId="0" xfId="1" applyNumberFormat="1" applyFont="1" applyProtection="1">
      <protection locked="0"/>
    </xf>
    <xf numFmtId="166" fontId="30" fillId="0" borderId="21" xfId="1" applyNumberFormat="1" applyFont="1" applyBorder="1" applyProtection="1">
      <protection locked="0"/>
    </xf>
    <xf numFmtId="166" fontId="30" fillId="0" borderId="20" xfId="1" applyNumberFormat="1" applyFont="1" applyBorder="1" applyProtection="1">
      <protection locked="0"/>
    </xf>
    <xf numFmtId="166" fontId="30" fillId="0" borderId="0" xfId="1" applyNumberFormat="1" applyFont="1" applyBorder="1" applyProtection="1">
      <protection locked="0"/>
    </xf>
    <xf numFmtId="166" fontId="30" fillId="0" borderId="0" xfId="1" applyNumberFormat="1" applyFont="1" applyFill="1" applyProtection="1">
      <protection locked="0"/>
    </xf>
    <xf numFmtId="166" fontId="30" fillId="0" borderId="21" xfId="1" applyNumberFormat="1" applyFont="1" applyFill="1" applyBorder="1" applyProtection="1">
      <protection locked="0"/>
    </xf>
    <xf numFmtId="166" fontId="30" fillId="0" borderId="20" xfId="1" applyNumberFormat="1" applyFont="1" applyFill="1" applyBorder="1" applyProtection="1">
      <protection locked="0"/>
    </xf>
    <xf numFmtId="166" fontId="30" fillId="0" borderId="0" xfId="1" applyNumberFormat="1" applyFont="1" applyFill="1" applyBorder="1" applyProtection="1">
      <protection locked="0"/>
    </xf>
    <xf numFmtId="166" fontId="29" fillId="0" borderId="2" xfId="1" applyNumberFormat="1" applyFont="1" applyBorder="1" applyProtection="1"/>
    <xf numFmtId="166" fontId="29" fillId="0" borderId="2" xfId="1" applyNumberFormat="1" applyFont="1" applyBorder="1" applyProtection="1">
      <protection locked="0"/>
    </xf>
    <xf numFmtId="166" fontId="29" fillId="0" borderId="27" xfId="1" applyNumberFormat="1" applyFont="1" applyBorder="1" applyProtection="1">
      <protection locked="0"/>
    </xf>
    <xf numFmtId="166" fontId="31" fillId="0" borderId="2" xfId="1" applyNumberFormat="1" applyFont="1" applyBorder="1" applyProtection="1">
      <protection locked="0"/>
    </xf>
    <xf numFmtId="166" fontId="31" fillId="0" borderId="27" xfId="1" applyNumberFormat="1" applyFont="1" applyBorder="1" applyProtection="1">
      <protection locked="0"/>
    </xf>
    <xf numFmtId="166" fontId="31" fillId="0" borderId="26" xfId="1" applyNumberFormat="1" applyFont="1" applyBorder="1" applyProtection="1">
      <protection locked="0"/>
    </xf>
    <xf numFmtId="166" fontId="29" fillId="0" borderId="0" xfId="1" applyNumberFormat="1" applyFont="1" applyBorder="1" applyProtection="1"/>
    <xf numFmtId="166" fontId="29" fillId="0" borderId="0" xfId="1" applyNumberFormat="1" applyFont="1" applyBorder="1" applyProtection="1">
      <protection locked="0"/>
    </xf>
    <xf numFmtId="166" fontId="2" fillId="0" borderId="0" xfId="1" applyNumberFormat="1" applyFont="1" applyBorder="1" applyAlignment="1" applyProtection="1">
      <alignment horizontal="left" indent="1"/>
    </xf>
    <xf numFmtId="166" fontId="29" fillId="0" borderId="3" xfId="1" applyNumberFormat="1" applyFont="1" applyBorder="1" applyProtection="1"/>
    <xf numFmtId="166" fontId="31" fillId="0" borderId="3" xfId="1" applyNumberFormat="1" applyFont="1" applyBorder="1" applyProtection="1">
      <protection locked="0"/>
    </xf>
    <xf numFmtId="166" fontId="31" fillId="0" borderId="29" xfId="1" applyNumberFormat="1" applyFont="1" applyBorder="1" applyProtection="1">
      <protection locked="0"/>
    </xf>
    <xf numFmtId="166" fontId="31" fillId="0" borderId="28" xfId="1" applyNumberFormat="1" applyFont="1" applyBorder="1" applyProtection="1">
      <protection locked="0"/>
    </xf>
    <xf numFmtId="166" fontId="29" fillId="4" borderId="2" xfId="1" applyNumberFormat="1" applyFont="1" applyFill="1" applyBorder="1" applyProtection="1"/>
    <xf numFmtId="166" fontId="29" fillId="4" borderId="2" xfId="1" applyNumberFormat="1" applyFont="1" applyFill="1" applyBorder="1" applyProtection="1">
      <protection locked="0"/>
    </xf>
    <xf numFmtId="166" fontId="29" fillId="4" borderId="27" xfId="1" applyNumberFormat="1" applyFont="1" applyFill="1" applyBorder="1" applyProtection="1">
      <protection locked="0"/>
    </xf>
    <xf numFmtId="166" fontId="29" fillId="4" borderId="26" xfId="1" applyNumberFormat="1" applyFont="1" applyFill="1" applyBorder="1" applyProtection="1">
      <protection locked="0"/>
    </xf>
    <xf numFmtId="166" fontId="31" fillId="0" borderId="0" xfId="1" applyNumberFormat="1" applyFont="1" applyBorder="1" applyProtection="1">
      <protection locked="0"/>
    </xf>
    <xf numFmtId="166" fontId="31" fillId="0" borderId="21" xfId="1" applyNumberFormat="1" applyFont="1" applyBorder="1" applyProtection="1">
      <protection locked="0"/>
    </xf>
    <xf numFmtId="166" fontId="31" fillId="0" borderId="20" xfId="1" applyNumberFormat="1" applyFont="1" applyBorder="1" applyProtection="1">
      <protection locked="0"/>
    </xf>
    <xf numFmtId="166" fontId="29" fillId="0" borderId="4" xfId="1" applyNumberFormat="1" applyFont="1" applyBorder="1" applyProtection="1"/>
    <xf numFmtId="166" fontId="29" fillId="0" borderId="4" xfId="1" applyNumberFormat="1" applyFont="1" applyBorder="1" applyProtection="1">
      <protection locked="0"/>
    </xf>
    <xf numFmtId="166" fontId="29" fillId="0" borderId="31" xfId="1" applyNumberFormat="1" applyFont="1" applyBorder="1" applyProtection="1">
      <protection locked="0"/>
    </xf>
    <xf numFmtId="166" fontId="29" fillId="0" borderId="30" xfId="1" applyNumberFormat="1" applyFont="1" applyBorder="1" applyProtection="1">
      <protection locked="0"/>
    </xf>
    <xf numFmtId="166" fontId="29" fillId="0" borderId="0" xfId="1" applyNumberFormat="1" applyFont="1" applyProtection="1"/>
    <xf numFmtId="166" fontId="29" fillId="0" borderId="21" xfId="1" applyNumberFormat="1" applyFont="1" applyBorder="1" applyProtection="1">
      <protection locked="0"/>
    </xf>
    <xf numFmtId="166" fontId="29" fillId="0" borderId="20" xfId="1" applyNumberFormat="1" applyFont="1" applyBorder="1" applyProtection="1">
      <protection locked="0"/>
    </xf>
    <xf numFmtId="166" fontId="31" fillId="0" borderId="0" xfId="1" applyNumberFormat="1" applyFont="1" applyProtection="1">
      <protection locked="0"/>
    </xf>
    <xf numFmtId="166" fontId="2" fillId="0" borderId="0" xfId="1" applyNumberFormat="1" applyFont="1" applyAlignment="1" applyProtection="1">
      <alignment horizontal="left" indent="3"/>
    </xf>
    <xf numFmtId="166" fontId="29" fillId="4" borderId="4" xfId="1" applyNumberFormat="1" applyFont="1" applyFill="1" applyBorder="1" applyProtection="1"/>
    <xf numFmtId="166" fontId="29" fillId="4" borderId="4" xfId="1" applyNumberFormat="1" applyFont="1" applyFill="1" applyBorder="1" applyProtection="1">
      <protection locked="0"/>
    </xf>
    <xf numFmtId="166" fontId="29" fillId="4" borderId="31" xfId="1" applyNumberFormat="1" applyFont="1" applyFill="1" applyBorder="1" applyProtection="1">
      <protection locked="0"/>
    </xf>
    <xf numFmtId="166" fontId="29" fillId="4" borderId="30" xfId="1" applyNumberFormat="1" applyFont="1" applyFill="1" applyBorder="1" applyProtection="1">
      <protection locked="0"/>
    </xf>
    <xf numFmtId="166" fontId="29" fillId="4" borderId="5" xfId="1" applyNumberFormat="1" applyFont="1" applyFill="1" applyBorder="1" applyProtection="1"/>
    <xf numFmtId="166" fontId="31" fillId="4" borderId="5" xfId="1" applyNumberFormat="1" applyFont="1" applyFill="1" applyBorder="1" applyProtection="1">
      <protection locked="0"/>
    </xf>
    <xf numFmtId="166" fontId="31" fillId="4" borderId="25" xfId="1" applyNumberFormat="1" applyFont="1" applyFill="1" applyBorder="1" applyProtection="1">
      <protection locked="0"/>
    </xf>
    <xf numFmtId="166" fontId="31" fillId="4" borderId="24" xfId="1" applyNumberFormat="1" applyFont="1" applyFill="1" applyBorder="1" applyProtection="1">
      <protection locked="0"/>
    </xf>
    <xf numFmtId="166" fontId="29" fillId="0" borderId="5" xfId="1" applyNumberFormat="1" applyFont="1" applyFill="1" applyBorder="1" applyProtection="1"/>
    <xf numFmtId="166" fontId="29" fillId="0" borderId="5" xfId="1" applyNumberFormat="1" applyFont="1" applyFill="1" applyBorder="1" applyProtection="1">
      <protection locked="0"/>
    </xf>
    <xf numFmtId="166" fontId="29" fillId="0" borderId="25" xfId="1" applyNumberFormat="1" applyFont="1" applyFill="1" applyBorder="1" applyProtection="1">
      <protection locked="0"/>
    </xf>
    <xf numFmtId="166" fontId="29" fillId="0" borderId="24" xfId="1" applyNumberFormat="1" applyFont="1" applyFill="1" applyBorder="1" applyProtection="1">
      <protection locked="0"/>
    </xf>
    <xf numFmtId="166" fontId="29" fillId="0" borderId="0" xfId="1" applyNumberFormat="1" applyFont="1" applyFill="1" applyProtection="1">
      <protection locked="0"/>
    </xf>
    <xf numFmtId="166" fontId="2" fillId="0" borderId="0" xfId="1" applyNumberFormat="1" applyFont="1" applyBorder="1" applyProtection="1">
      <protection locked="0"/>
    </xf>
    <xf numFmtId="166" fontId="32" fillId="0" borderId="0" xfId="0" applyNumberFormat="1" applyFont="1"/>
    <xf numFmtId="166" fontId="33" fillId="4" borderId="4" xfId="1" applyNumberFormat="1" applyFont="1" applyFill="1" applyBorder="1" applyProtection="1">
      <protection locked="0"/>
    </xf>
    <xf numFmtId="166" fontId="33" fillId="4" borderId="31" xfId="1" applyNumberFormat="1" applyFont="1" applyFill="1" applyBorder="1" applyProtection="1">
      <protection locked="0"/>
    </xf>
    <xf numFmtId="166" fontId="33" fillId="4" borderId="30" xfId="1" applyNumberFormat="1" applyFont="1" applyFill="1" applyBorder="1" applyProtection="1">
      <protection locked="0"/>
    </xf>
    <xf numFmtId="166" fontId="29" fillId="0" borderId="0" xfId="1" applyNumberFormat="1" applyFont="1" applyBorder="1" applyAlignment="1" applyProtection="1">
      <alignment horizontal="left" indent="1"/>
    </xf>
    <xf numFmtId="166" fontId="33" fillId="0" borderId="0" xfId="1" applyNumberFormat="1" applyFont="1" applyBorder="1" applyProtection="1">
      <protection locked="0"/>
    </xf>
    <xf numFmtId="166" fontId="33" fillId="0" borderId="21" xfId="1" applyNumberFormat="1" applyFont="1" applyBorder="1" applyProtection="1">
      <protection locked="0"/>
    </xf>
    <xf numFmtId="166" fontId="33" fillId="0" borderId="20" xfId="1" applyNumberFormat="1" applyFont="1" applyBorder="1" applyProtection="1">
      <protection locked="0"/>
    </xf>
    <xf numFmtId="166" fontId="2" fillId="0" borderId="0" xfId="1" applyNumberFormat="1" applyFont="1" applyBorder="1" applyAlignment="1" applyProtection="1">
      <alignment horizontal="left" indent="2"/>
    </xf>
    <xf numFmtId="166" fontId="14" fillId="0" borderId="0" xfId="1" applyNumberFormat="1" applyFont="1" applyBorder="1" applyProtection="1">
      <protection locked="0"/>
    </xf>
    <xf numFmtId="166" fontId="14" fillId="0" borderId="21" xfId="1" applyNumberFormat="1" applyFont="1" applyBorder="1" applyProtection="1">
      <protection locked="0"/>
    </xf>
    <xf numFmtId="166" fontId="14" fillId="0" borderId="20" xfId="1" applyNumberFormat="1" applyFont="1" applyBorder="1" applyProtection="1">
      <protection locked="0"/>
    </xf>
    <xf numFmtId="166" fontId="33" fillId="4" borderId="4" xfId="2" applyNumberFormat="1" applyFont="1" applyFill="1" applyBorder="1" applyProtection="1">
      <protection locked="0"/>
    </xf>
    <xf numFmtId="166" fontId="33" fillId="4" borderId="31" xfId="2" applyNumberFormat="1" applyFont="1" applyFill="1" applyBorder="1" applyProtection="1">
      <protection locked="0"/>
    </xf>
    <xf numFmtId="166" fontId="33" fillId="4" borderId="30" xfId="2" applyNumberFormat="1" applyFont="1" applyFill="1" applyBorder="1" applyProtection="1">
      <protection locked="0"/>
    </xf>
    <xf numFmtId="166" fontId="14" fillId="0" borderId="0" xfId="2" applyNumberFormat="1" applyFont="1" applyBorder="1" applyAlignment="1" applyProtection="1">
      <alignment horizontal="center"/>
      <protection locked="0"/>
    </xf>
    <xf numFmtId="166" fontId="14" fillId="0" borderId="21" xfId="2" applyNumberFormat="1" applyFont="1" applyBorder="1" applyAlignment="1" applyProtection="1">
      <alignment horizontal="center"/>
      <protection locked="0"/>
    </xf>
    <xf numFmtId="166" fontId="14" fillId="0" borderId="20" xfId="2" applyNumberFormat="1" applyFont="1" applyBorder="1" applyAlignment="1" applyProtection="1">
      <alignment horizontal="center"/>
      <protection locked="0"/>
    </xf>
    <xf numFmtId="166" fontId="33" fillId="0" borderId="0" xfId="2" applyNumberFormat="1" applyFont="1" applyBorder="1" applyAlignment="1" applyProtection="1">
      <alignment horizontal="center"/>
      <protection locked="0"/>
    </xf>
    <xf numFmtId="166" fontId="33" fillId="0" borderId="21" xfId="2" applyNumberFormat="1" applyFont="1" applyBorder="1" applyAlignment="1" applyProtection="1">
      <alignment horizontal="center"/>
      <protection locked="0"/>
    </xf>
    <xf numFmtId="166" fontId="33" fillId="0" borderId="20" xfId="2" applyNumberFormat="1" applyFont="1" applyBorder="1" applyAlignment="1" applyProtection="1">
      <alignment horizontal="center"/>
      <protection locked="0"/>
    </xf>
    <xf numFmtId="166" fontId="33" fillId="0" borderId="5" xfId="1" applyNumberFormat="1" applyFont="1" applyBorder="1" applyProtection="1">
      <protection locked="0"/>
    </xf>
    <xf numFmtId="166" fontId="33" fillId="0" borderId="25" xfId="1" applyNumberFormat="1" applyFont="1" applyBorder="1" applyProtection="1">
      <protection locked="0"/>
    </xf>
    <xf numFmtId="166" fontId="33" fillId="0" borderId="24" xfId="1" applyNumberFormat="1" applyFont="1" applyBorder="1" applyProtection="1">
      <protection locked="0"/>
    </xf>
    <xf numFmtId="166" fontId="2" fillId="0" borderId="0" xfId="1" applyNumberFormat="1" applyFont="1" applyBorder="1" applyAlignment="1" applyProtection="1">
      <alignment horizontal="left" indent="3"/>
    </xf>
    <xf numFmtId="166" fontId="29" fillId="4" borderId="0" xfId="1" applyNumberFormat="1" applyFont="1" applyFill="1" applyBorder="1" applyProtection="1"/>
    <xf numFmtId="166" fontId="31" fillId="4" borderId="0" xfId="1" applyNumberFormat="1" applyFont="1" applyFill="1" applyBorder="1" applyProtection="1">
      <protection locked="0"/>
    </xf>
    <xf numFmtId="166" fontId="31" fillId="4" borderId="21" xfId="1" applyNumberFormat="1" applyFont="1" applyFill="1" applyBorder="1" applyProtection="1">
      <protection locked="0"/>
    </xf>
    <xf numFmtId="166" fontId="31" fillId="4" borderId="20" xfId="1" applyNumberFormat="1" applyFont="1" applyFill="1" applyBorder="1" applyProtection="1">
      <protection locked="0"/>
    </xf>
    <xf numFmtId="166" fontId="33" fillId="4" borderId="0" xfId="1" applyNumberFormat="1" applyFont="1" applyFill="1" applyBorder="1" applyProtection="1">
      <protection locked="0"/>
    </xf>
    <xf numFmtId="166" fontId="33" fillId="4" borderId="21" xfId="1" applyNumberFormat="1" applyFont="1" applyFill="1" applyBorder="1" applyProtection="1">
      <protection locked="0"/>
    </xf>
    <xf numFmtId="166" fontId="33" fillId="4" borderId="20" xfId="1" applyNumberFormat="1" applyFont="1" applyFill="1" applyBorder="1" applyProtection="1">
      <protection locked="0"/>
    </xf>
    <xf numFmtId="166" fontId="2" fillId="0" borderId="21" xfId="1" applyNumberFormat="1" applyFont="1" applyBorder="1" applyProtection="1">
      <protection locked="0"/>
    </xf>
    <xf numFmtId="166" fontId="2" fillId="0" borderId="20" xfId="1" applyNumberFormat="1" applyFont="1" applyBorder="1" applyProtection="1">
      <protection locked="0"/>
    </xf>
    <xf numFmtId="166" fontId="2" fillId="0" borderId="5" xfId="1" applyNumberFormat="1" applyFont="1" applyBorder="1" applyAlignment="1" applyProtection="1">
      <alignment horizontal="left" indent="1"/>
    </xf>
    <xf numFmtId="166" fontId="2" fillId="0" borderId="5" xfId="1" applyNumberFormat="1" applyFont="1" applyBorder="1" applyProtection="1">
      <protection locked="0"/>
    </xf>
    <xf numFmtId="166" fontId="2" fillId="0" borderId="25" xfId="1" applyNumberFormat="1" applyFont="1" applyBorder="1" applyProtection="1">
      <protection locked="0"/>
    </xf>
    <xf numFmtId="166" fontId="2" fillId="0" borderId="24" xfId="1" applyNumberFormat="1" applyFont="1" applyBorder="1" applyProtection="1">
      <protection locked="0"/>
    </xf>
    <xf numFmtId="166" fontId="29" fillId="0" borderId="4" xfId="1" applyNumberFormat="1" applyFont="1" applyFill="1" applyBorder="1" applyProtection="1"/>
    <xf numFmtId="166" fontId="29" fillId="0" borderId="4" xfId="1" applyNumberFormat="1" applyFont="1" applyFill="1" applyBorder="1" applyProtection="1">
      <protection locked="0"/>
    </xf>
    <xf numFmtId="166" fontId="29" fillId="0" borderId="31" xfId="1" applyNumberFormat="1" applyFont="1" applyFill="1" applyBorder="1" applyProtection="1">
      <protection locked="0"/>
    </xf>
    <xf numFmtId="166" fontId="29" fillId="0" borderId="30" xfId="1" applyNumberFormat="1" applyFont="1" applyFill="1" applyBorder="1" applyProtection="1">
      <protection locked="0"/>
    </xf>
    <xf numFmtId="166" fontId="2" fillId="0" borderId="0" xfId="1" applyNumberFormat="1" applyFont="1" applyFill="1" applyProtection="1">
      <protection locked="0"/>
    </xf>
    <xf numFmtId="166" fontId="2" fillId="0" borderId="0" xfId="1" applyNumberFormat="1" applyFont="1" applyFill="1" applyBorder="1" applyProtection="1">
      <protection locked="0"/>
    </xf>
    <xf numFmtId="166" fontId="2" fillId="0" borderId="20" xfId="1" applyNumberFormat="1" applyFont="1" applyFill="1" applyBorder="1" applyProtection="1">
      <protection locked="0"/>
    </xf>
    <xf numFmtId="166" fontId="14" fillId="0" borderId="0" xfId="1" applyNumberFormat="1" applyFont="1" applyFill="1" applyBorder="1" applyProtection="1">
      <protection locked="0"/>
    </xf>
    <xf numFmtId="166" fontId="30" fillId="0" borderId="0" xfId="2" applyNumberFormat="1" applyFont="1" applyBorder="1" applyProtection="1">
      <protection locked="0"/>
    </xf>
    <xf numFmtId="166" fontId="30" fillId="0" borderId="21" xfId="2" applyNumberFormat="1" applyFont="1" applyBorder="1" applyProtection="1">
      <protection locked="0"/>
    </xf>
    <xf numFmtId="166" fontId="30" fillId="0" borderId="20" xfId="2" applyNumberFormat="1" applyFont="1" applyBorder="1" applyProtection="1">
      <protection locked="0"/>
    </xf>
    <xf numFmtId="166" fontId="2" fillId="0" borderId="5" xfId="1" applyNumberFormat="1" applyFont="1" applyBorder="1" applyAlignment="1" applyProtection="1">
      <alignment horizontal="left" indent="2"/>
    </xf>
    <xf numFmtId="10" fontId="2" fillId="0" borderId="4" xfId="2" applyNumberFormat="1" applyFont="1" applyBorder="1" applyProtection="1"/>
    <xf numFmtId="10" fontId="2" fillId="0" borderId="4" xfId="2" applyNumberFormat="1" applyFont="1" applyBorder="1" applyAlignment="1" applyProtection="1">
      <alignment horizontal="center"/>
      <protection locked="0"/>
    </xf>
    <xf numFmtId="10" fontId="2" fillId="0" borderId="31" xfId="2" applyNumberFormat="1" applyFont="1" applyBorder="1" applyAlignment="1" applyProtection="1">
      <alignment horizontal="center"/>
      <protection locked="0"/>
    </xf>
    <xf numFmtId="10" fontId="2" fillId="0" borderId="30" xfId="2" applyNumberFormat="1" applyFont="1" applyBorder="1" applyAlignment="1" applyProtection="1">
      <alignment horizontal="center"/>
      <protection locked="0"/>
    </xf>
    <xf numFmtId="10" fontId="2" fillId="0" borderId="0" xfId="2" applyNumberFormat="1" applyFont="1" applyProtection="1">
      <protection locked="0"/>
    </xf>
    <xf numFmtId="10" fontId="2" fillId="0" borderId="0" xfId="2" applyNumberFormat="1" applyFont="1" applyBorder="1" applyProtection="1"/>
    <xf numFmtId="10" fontId="2" fillId="0" borderId="0" xfId="2" applyNumberFormat="1" applyFont="1" applyBorder="1" applyAlignment="1" applyProtection="1">
      <alignment horizontal="center"/>
      <protection locked="0"/>
    </xf>
    <xf numFmtId="10" fontId="2" fillId="0" borderId="21" xfId="2" applyNumberFormat="1" applyFont="1" applyBorder="1" applyAlignment="1" applyProtection="1">
      <alignment horizontal="center"/>
      <protection locked="0"/>
    </xf>
    <xf numFmtId="10" fontId="2" fillId="0" borderId="20" xfId="2" applyNumberFormat="1" applyFont="1" applyBorder="1" applyAlignment="1" applyProtection="1">
      <alignment horizontal="center"/>
      <protection locked="0"/>
    </xf>
    <xf numFmtId="10" fontId="29" fillId="4" borderId="4" xfId="2" applyNumberFormat="1" applyFont="1" applyFill="1" applyBorder="1" applyProtection="1"/>
    <xf numFmtId="10" fontId="29" fillId="4" borderId="4" xfId="2" applyNumberFormat="1" applyFont="1" applyFill="1" applyBorder="1" applyAlignment="1" applyProtection="1">
      <alignment horizontal="center"/>
      <protection locked="0"/>
    </xf>
    <xf numFmtId="10" fontId="29" fillId="4" borderId="31" xfId="2" applyNumberFormat="1" applyFont="1" applyFill="1" applyBorder="1" applyAlignment="1" applyProtection="1">
      <alignment horizontal="center"/>
      <protection locked="0"/>
    </xf>
    <xf numFmtId="10" fontId="29" fillId="4" borderId="30" xfId="2" applyNumberFormat="1" applyFont="1" applyFill="1" applyBorder="1" applyAlignment="1" applyProtection="1">
      <alignment horizontal="center"/>
      <protection locked="0"/>
    </xf>
    <xf numFmtId="10" fontId="29" fillId="0" borderId="0" xfId="2" applyNumberFormat="1" applyFont="1" applyProtection="1">
      <protection locked="0"/>
    </xf>
    <xf numFmtId="10" fontId="29" fillId="4" borderId="0" xfId="2" applyNumberFormat="1" applyFont="1" applyFill="1" applyBorder="1" applyProtection="1"/>
    <xf numFmtId="10" fontId="29" fillId="4" borderId="0" xfId="2" applyNumberFormat="1" applyFont="1" applyFill="1" applyBorder="1" applyAlignment="1" applyProtection="1">
      <alignment horizontal="center"/>
      <protection locked="0"/>
    </xf>
    <xf numFmtId="10" fontId="29" fillId="4" borderId="21" xfId="2" applyNumberFormat="1" applyFont="1" applyFill="1" applyBorder="1" applyAlignment="1" applyProtection="1">
      <alignment horizontal="center"/>
      <protection locked="0"/>
    </xf>
    <xf numFmtId="10" fontId="29" fillId="4" borderId="20" xfId="2" applyNumberFormat="1" applyFont="1" applyFill="1" applyBorder="1" applyAlignment="1" applyProtection="1">
      <alignment horizontal="center"/>
      <protection locked="0"/>
    </xf>
    <xf numFmtId="10" fontId="29" fillId="4" borderId="5" xfId="2" applyNumberFormat="1" applyFont="1" applyFill="1" applyBorder="1" applyProtection="1"/>
    <xf numFmtId="10" fontId="29" fillId="4" borderId="5" xfId="2" applyNumberFormat="1" applyFont="1" applyFill="1" applyBorder="1" applyAlignment="1" applyProtection="1">
      <alignment horizontal="center"/>
      <protection locked="0"/>
    </xf>
    <xf numFmtId="10" fontId="29" fillId="4" borderId="25" xfId="2" applyNumberFormat="1" applyFont="1" applyFill="1" applyBorder="1" applyAlignment="1" applyProtection="1">
      <alignment horizontal="center"/>
      <protection locked="0"/>
    </xf>
    <xf numFmtId="10" fontId="29" fillId="4" borderId="24" xfId="2" applyNumberFormat="1" applyFont="1" applyFill="1" applyBorder="1" applyAlignment="1" applyProtection="1">
      <alignment horizontal="center"/>
      <protection locked="0"/>
    </xf>
    <xf numFmtId="166" fontId="29" fillId="4" borderId="4" xfId="1" applyNumberFormat="1" applyFont="1" applyFill="1" applyBorder="1" applyAlignment="1" applyProtection="1">
      <alignment horizontal="center"/>
      <protection locked="0"/>
    </xf>
    <xf numFmtId="166" fontId="29" fillId="4" borderId="31" xfId="1" applyNumberFormat="1" applyFont="1" applyFill="1" applyBorder="1" applyAlignment="1" applyProtection="1">
      <alignment horizontal="center"/>
      <protection locked="0"/>
    </xf>
    <xf numFmtId="166" fontId="29" fillId="4" borderId="30" xfId="1" applyNumberFormat="1" applyFont="1" applyFill="1" applyBorder="1" applyAlignment="1" applyProtection="1">
      <alignment horizontal="center"/>
      <protection locked="0"/>
    </xf>
    <xf numFmtId="166" fontId="29" fillId="0" borderId="0" xfId="1" applyNumberFormat="1" applyFont="1" applyBorder="1" applyAlignment="1" applyProtection="1">
      <alignment horizontal="center"/>
      <protection locked="0"/>
    </xf>
    <xf numFmtId="166" fontId="29" fillId="0" borderId="21" xfId="1" applyNumberFormat="1" applyFont="1" applyBorder="1" applyAlignment="1" applyProtection="1">
      <alignment horizontal="center"/>
      <protection locked="0"/>
    </xf>
    <xf numFmtId="166" fontId="29" fillId="0" borderId="20" xfId="1" applyNumberFormat="1" applyFont="1" applyBorder="1" applyAlignment="1" applyProtection="1">
      <alignment horizontal="center"/>
      <protection locked="0"/>
    </xf>
    <xf numFmtId="166" fontId="33" fillId="0" borderId="0" xfId="1" applyNumberFormat="1" applyFont="1" applyBorder="1" applyAlignment="1" applyProtection="1">
      <alignment horizontal="center"/>
      <protection locked="0"/>
    </xf>
    <xf numFmtId="166" fontId="2" fillId="0" borderId="0" xfId="1" applyNumberFormat="1" applyFont="1" applyBorder="1" applyAlignment="1" applyProtection="1">
      <alignment horizontal="center"/>
      <protection locked="0"/>
    </xf>
    <xf numFmtId="166" fontId="2" fillId="0" borderId="21" xfId="1" applyNumberFormat="1" applyFont="1" applyBorder="1" applyAlignment="1" applyProtection="1">
      <alignment horizontal="center"/>
      <protection locked="0"/>
    </xf>
    <xf numFmtId="166" fontId="2" fillId="0" borderId="20" xfId="1" applyNumberFormat="1" applyFont="1" applyBorder="1" applyAlignment="1" applyProtection="1">
      <alignment horizontal="center"/>
      <protection locked="0"/>
    </xf>
    <xf numFmtId="166" fontId="14" fillId="0" borderId="0" xfId="1" applyNumberFormat="1" applyFont="1" applyBorder="1" applyAlignment="1" applyProtection="1">
      <alignment horizontal="center"/>
      <protection locked="0"/>
    </xf>
    <xf numFmtId="166" fontId="28" fillId="0" borderId="20" xfId="1" applyNumberFormat="1" applyFont="1" applyBorder="1" applyAlignment="1" applyProtection="1">
      <alignment horizontal="center"/>
      <protection locked="0"/>
    </xf>
    <xf numFmtId="166" fontId="14" fillId="0" borderId="20" xfId="1" applyNumberFormat="1" applyFont="1" applyBorder="1" applyAlignment="1" applyProtection="1">
      <alignment horizontal="center"/>
      <protection locked="0"/>
    </xf>
    <xf numFmtId="166" fontId="30" fillId="0" borderId="0" xfId="1" applyNumberFormat="1" applyFont="1" applyBorder="1" applyAlignment="1" applyProtection="1">
      <alignment horizontal="center"/>
      <protection locked="0"/>
    </xf>
    <xf numFmtId="166" fontId="30" fillId="0" borderId="21" xfId="1" applyNumberFormat="1" applyFont="1" applyBorder="1" applyAlignment="1" applyProtection="1">
      <alignment horizontal="center"/>
      <protection locked="0"/>
    </xf>
    <xf numFmtId="166" fontId="30" fillId="0" borderId="20" xfId="1" applyNumberFormat="1" applyFont="1" applyBorder="1" applyAlignment="1" applyProtection="1">
      <alignment horizontal="center"/>
      <protection locked="0"/>
    </xf>
    <xf numFmtId="166" fontId="33" fillId="4" borderId="4" xfId="1" applyNumberFormat="1" applyFont="1" applyFill="1" applyBorder="1" applyAlignment="1" applyProtection="1">
      <alignment horizontal="center"/>
      <protection locked="0"/>
    </xf>
    <xf numFmtId="166" fontId="33" fillId="0" borderId="21" xfId="1" applyNumberFormat="1" applyFont="1" applyBorder="1" applyAlignment="1" applyProtection="1">
      <alignment horizontal="center"/>
      <protection locked="0"/>
    </xf>
    <xf numFmtId="166" fontId="33" fillId="0" borderId="20" xfId="1" applyNumberFormat="1" applyFont="1" applyBorder="1" applyAlignment="1" applyProtection="1">
      <alignment horizontal="center"/>
      <protection locked="0"/>
    </xf>
    <xf numFmtId="166" fontId="14" fillId="0" borderId="21" xfId="1" applyNumberFormat="1" applyFont="1" applyBorder="1" applyAlignment="1" applyProtection="1">
      <alignment horizontal="center"/>
      <protection locked="0"/>
    </xf>
    <xf numFmtId="166" fontId="14" fillId="0" borderId="0" xfId="1" applyNumberFormat="1" applyFont="1" applyFill="1" applyBorder="1" applyAlignment="1" applyProtection="1">
      <alignment horizontal="center"/>
      <protection locked="0"/>
    </xf>
    <xf numFmtId="166" fontId="29" fillId="0" borderId="5" xfId="1" applyNumberFormat="1" applyFont="1" applyBorder="1" applyAlignment="1" applyProtection="1">
      <alignment horizontal="left" indent="1"/>
    </xf>
    <xf numFmtId="166" fontId="29" fillId="0" borderId="5" xfId="1" applyNumberFormat="1" applyFont="1" applyBorder="1" applyAlignment="1" applyProtection="1">
      <alignment horizontal="center"/>
      <protection locked="0"/>
    </xf>
    <xf numFmtId="166" fontId="29" fillId="0" borderId="25" xfId="1" applyNumberFormat="1" applyFont="1" applyBorder="1" applyAlignment="1" applyProtection="1">
      <alignment horizontal="center"/>
      <protection locked="0"/>
    </xf>
    <xf numFmtId="166" fontId="33" fillId="0" borderId="5" xfId="1" applyNumberFormat="1" applyFont="1" applyFill="1" applyBorder="1" applyAlignment="1" applyProtection="1">
      <alignment horizontal="center"/>
      <protection locked="0"/>
    </xf>
    <xf numFmtId="166" fontId="33" fillId="0" borderId="24" xfId="1" applyNumberFormat="1" applyFont="1" applyFill="1" applyBorder="1" applyAlignment="1" applyProtection="1">
      <alignment horizontal="center"/>
      <protection locked="0"/>
    </xf>
    <xf numFmtId="166" fontId="29" fillId="0" borderId="0" xfId="1" applyNumberFormat="1" applyFont="1" applyFill="1" applyBorder="1" applyProtection="1">
      <protection locked="0"/>
    </xf>
    <xf numFmtId="166" fontId="28" fillId="0" borderId="0" xfId="1" applyNumberFormat="1" applyFont="1" applyBorder="1" applyProtection="1">
      <protection locked="0"/>
    </xf>
    <xf numFmtId="166" fontId="30" fillId="0" borderId="43" xfId="1" applyNumberFormat="1" applyFont="1" applyBorder="1" applyProtection="1">
      <protection locked="0"/>
    </xf>
    <xf numFmtId="166" fontId="31" fillId="4" borderId="43" xfId="1" applyNumberFormat="1" applyFont="1" applyFill="1" applyBorder="1" applyProtection="1">
      <protection locked="0"/>
    </xf>
    <xf numFmtId="166" fontId="33" fillId="4" borderId="43" xfId="1" applyNumberFormat="1" applyFont="1" applyFill="1" applyBorder="1" applyProtection="1">
      <protection locked="0"/>
    </xf>
    <xf numFmtId="166" fontId="33" fillId="0" borderId="43" xfId="1" applyNumberFormat="1" applyFont="1" applyBorder="1" applyProtection="1">
      <protection locked="0"/>
    </xf>
    <xf numFmtId="166" fontId="14" fillId="0" borderId="43" xfId="1" applyNumberFormat="1" applyFont="1" applyBorder="1" applyProtection="1">
      <protection locked="0"/>
    </xf>
    <xf numFmtId="166" fontId="33" fillId="0" borderId="42" xfId="1" applyNumberFormat="1" applyFont="1" applyBorder="1" applyProtection="1">
      <protection locked="0"/>
    </xf>
    <xf numFmtId="166" fontId="29" fillId="4" borderId="44" xfId="1" applyNumberFormat="1" applyFont="1" applyFill="1" applyBorder="1" applyProtection="1">
      <protection locked="0"/>
    </xf>
    <xf numFmtId="166" fontId="14" fillId="0" borderId="42" xfId="1" applyNumberFormat="1" applyFont="1" applyBorder="1" applyProtection="1">
      <protection locked="0"/>
    </xf>
    <xf numFmtId="3" fontId="25" fillId="3" borderId="1" xfId="1" applyNumberFormat="1" applyFont="1" applyFill="1" applyBorder="1" applyAlignment="1" applyProtection="1">
      <alignment horizontal="center"/>
    </xf>
    <xf numFmtId="3" fontId="25" fillId="3" borderId="22" xfId="1" applyNumberFormat="1" applyFont="1" applyFill="1" applyBorder="1" applyAlignment="1" applyProtection="1">
      <alignment horizontal="center"/>
    </xf>
    <xf numFmtId="3" fontId="25" fillId="3" borderId="23" xfId="1" applyNumberFormat="1" applyFont="1" applyFill="1" applyBorder="1" applyAlignment="1" applyProtection="1">
      <alignment horizontal="center"/>
    </xf>
    <xf numFmtId="3" fontId="29" fillId="2" borderId="1" xfId="1" applyNumberFormat="1" applyFont="1" applyFill="1" applyBorder="1" applyProtection="1"/>
    <xf numFmtId="3" fontId="29" fillId="2" borderId="1" xfId="1" applyNumberFormat="1" applyFont="1" applyFill="1" applyBorder="1" applyProtection="1">
      <protection locked="0"/>
    </xf>
    <xf numFmtId="3" fontId="29" fillId="2" borderId="22" xfId="1" applyNumberFormat="1" applyFont="1" applyFill="1" applyBorder="1" applyProtection="1">
      <protection locked="0"/>
    </xf>
    <xf numFmtId="3" fontId="29" fillId="2" borderId="1" xfId="1" applyNumberFormat="1" applyFont="1" applyFill="1" applyBorder="1" applyAlignment="1" applyProtection="1">
      <alignment horizontal="right"/>
      <protection locked="0"/>
    </xf>
    <xf numFmtId="3" fontId="29" fillId="2" borderId="22" xfId="1" applyNumberFormat="1" applyFont="1" applyFill="1" applyBorder="1" applyAlignment="1" applyProtection="1">
      <alignment horizontal="right"/>
      <protection locked="0"/>
    </xf>
    <xf numFmtId="3" fontId="29" fillId="0" borderId="5" xfId="1" applyNumberFormat="1" applyFont="1" applyBorder="1" applyProtection="1"/>
    <xf numFmtId="3" fontId="29" fillId="0" borderId="5" xfId="1" applyNumberFormat="1" applyFont="1" applyBorder="1" applyProtection="1">
      <protection locked="0"/>
    </xf>
    <xf numFmtId="3" fontId="29" fillId="0" borderId="24" xfId="1" applyNumberFormat="1" applyFont="1" applyBorder="1" applyProtection="1">
      <protection locked="0"/>
    </xf>
    <xf numFmtId="3" fontId="29" fillId="0" borderId="5" xfId="1" applyNumberFormat="1" applyFont="1" applyBorder="1" applyAlignment="1" applyProtection="1">
      <alignment horizontal="right"/>
      <protection locked="0"/>
    </xf>
    <xf numFmtId="3" fontId="29" fillId="0" borderId="24" xfId="1" applyNumberFormat="1" applyFont="1" applyBorder="1" applyAlignment="1" applyProtection="1">
      <alignment horizontal="right"/>
      <protection locked="0"/>
    </xf>
    <xf numFmtId="3" fontId="2" fillId="0" borderId="0" xfId="1" applyNumberFormat="1" applyFont="1" applyAlignment="1" applyProtection="1">
      <alignment horizontal="left" indent="1"/>
    </xf>
    <xf numFmtId="3" fontId="30" fillId="0" borderId="0" xfId="1" applyNumberFormat="1" applyFont="1" applyProtection="1">
      <protection locked="0"/>
    </xf>
    <xf numFmtId="3" fontId="30" fillId="0" borderId="20" xfId="1" applyNumberFormat="1" applyFont="1" applyBorder="1" applyProtection="1">
      <protection locked="0"/>
    </xf>
    <xf numFmtId="3" fontId="30" fillId="0" borderId="0" xfId="1" applyNumberFormat="1" applyFont="1" applyBorder="1" applyProtection="1">
      <protection locked="0"/>
    </xf>
    <xf numFmtId="3" fontId="30" fillId="0" borderId="0" xfId="1" applyNumberFormat="1" applyFont="1" applyBorder="1" applyAlignment="1" applyProtection="1">
      <alignment horizontal="right"/>
      <protection locked="0"/>
    </xf>
    <xf numFmtId="3" fontId="30" fillId="0" borderId="21" xfId="1" applyNumberFormat="1" applyFont="1" applyBorder="1" applyAlignment="1" applyProtection="1">
      <alignment horizontal="right"/>
      <protection locked="0"/>
    </xf>
    <xf numFmtId="3" fontId="30" fillId="0" borderId="20" xfId="1" applyNumberFormat="1" applyFont="1" applyBorder="1" applyAlignment="1" applyProtection="1">
      <alignment horizontal="right"/>
      <protection locked="0"/>
    </xf>
    <xf numFmtId="3" fontId="29" fillId="0" borderId="2" xfId="1" applyNumberFormat="1" applyFont="1" applyBorder="1" applyProtection="1"/>
    <xf numFmtId="3" fontId="29" fillId="0" borderId="2" xfId="1" applyNumberFormat="1" applyFont="1" applyBorder="1" applyProtection="1">
      <protection locked="0"/>
    </xf>
    <xf numFmtId="3" fontId="29" fillId="0" borderId="26" xfId="1" applyNumberFormat="1" applyFont="1" applyBorder="1" applyProtection="1">
      <protection locked="0"/>
    </xf>
    <xf numFmtId="3" fontId="29" fillId="0" borderId="2" xfId="1" applyNumberFormat="1" applyFont="1" applyBorder="1" applyAlignment="1" applyProtection="1">
      <alignment horizontal="right"/>
      <protection locked="0"/>
    </xf>
    <xf numFmtId="3" fontId="29" fillId="0" borderId="26" xfId="1" applyNumberFormat="1" applyFont="1" applyBorder="1" applyAlignment="1" applyProtection="1">
      <alignment horizontal="right"/>
      <protection locked="0"/>
    </xf>
    <xf numFmtId="3" fontId="2" fillId="0" borderId="0" xfId="1" applyNumberFormat="1" applyFont="1" applyProtection="1">
      <protection locked="0"/>
    </xf>
    <xf numFmtId="3" fontId="2" fillId="0" borderId="20" xfId="1" applyNumberFormat="1" applyFont="1" applyBorder="1" applyProtection="1">
      <protection locked="0"/>
    </xf>
    <xf numFmtId="3" fontId="2" fillId="0" borderId="0" xfId="1" applyNumberFormat="1" applyFont="1" applyBorder="1" applyProtection="1">
      <protection locked="0"/>
    </xf>
    <xf numFmtId="3" fontId="2" fillId="0" borderId="0" xfId="1" applyNumberFormat="1" applyFont="1" applyBorder="1" applyAlignment="1" applyProtection="1">
      <alignment horizontal="right"/>
      <protection locked="0"/>
    </xf>
    <xf numFmtId="3" fontId="2" fillId="0" borderId="21" xfId="1" applyNumberFormat="1" applyFont="1" applyBorder="1" applyAlignment="1" applyProtection="1">
      <alignment horizontal="right"/>
      <protection locked="0"/>
    </xf>
    <xf numFmtId="3" fontId="2" fillId="0" borderId="20" xfId="1" applyNumberFormat="1" applyFont="1" applyBorder="1" applyAlignment="1" applyProtection="1">
      <alignment horizontal="right"/>
      <protection locked="0"/>
    </xf>
    <xf numFmtId="3" fontId="34" fillId="0" borderId="0" xfId="1" applyNumberFormat="1" applyFont="1" applyAlignment="1" applyProtection="1">
      <alignment horizontal="left" indent="2"/>
    </xf>
    <xf numFmtId="3" fontId="35" fillId="0" borderId="0" xfId="1" applyNumberFormat="1" applyFont="1" applyProtection="1">
      <protection locked="0"/>
    </xf>
    <xf numFmtId="3" fontId="35" fillId="0" borderId="20" xfId="1" applyNumberFormat="1" applyFont="1" applyBorder="1" applyProtection="1">
      <protection locked="0"/>
    </xf>
    <xf numFmtId="3" fontId="35" fillId="0" borderId="0" xfId="1" applyNumberFormat="1" applyFont="1" applyBorder="1" applyAlignment="1" applyProtection="1">
      <alignment horizontal="right"/>
      <protection locked="0"/>
    </xf>
    <xf numFmtId="3" fontId="35" fillId="0" borderId="21" xfId="1" applyNumberFormat="1" applyFont="1" applyBorder="1" applyAlignment="1" applyProtection="1">
      <alignment horizontal="right"/>
      <protection locked="0"/>
    </xf>
    <xf numFmtId="3" fontId="35" fillId="0" borderId="20" xfId="1" applyNumberFormat="1" applyFont="1" applyBorder="1" applyAlignment="1" applyProtection="1">
      <alignment horizontal="right"/>
      <protection locked="0"/>
    </xf>
    <xf numFmtId="3" fontId="2" fillId="0" borderId="0" xfId="1" applyNumberFormat="1" applyFont="1" applyBorder="1" applyAlignment="1" applyProtection="1">
      <alignment horizontal="left" indent="1"/>
    </xf>
    <xf numFmtId="3" fontId="30" fillId="0" borderId="0" xfId="1" applyNumberFormat="1" applyFont="1" applyFill="1" applyBorder="1" applyAlignment="1" applyProtection="1">
      <alignment horizontal="right"/>
      <protection locked="0"/>
    </xf>
    <xf numFmtId="3" fontId="29" fillId="0" borderId="3" xfId="1" applyNumberFormat="1" applyFont="1" applyBorder="1" applyProtection="1"/>
    <xf numFmtId="3" fontId="31" fillId="0" borderId="3" xfId="1" applyNumberFormat="1" applyFont="1" applyBorder="1" applyProtection="1">
      <protection locked="0"/>
    </xf>
    <xf numFmtId="3" fontId="31" fillId="0" borderId="28" xfId="1" applyNumberFormat="1" applyFont="1" applyBorder="1" applyProtection="1">
      <protection locked="0"/>
    </xf>
    <xf numFmtId="3" fontId="31" fillId="0" borderId="3" xfId="1" applyNumberFormat="1" applyFont="1" applyBorder="1" applyAlignment="1" applyProtection="1">
      <alignment horizontal="right"/>
      <protection locked="0"/>
    </xf>
    <xf numFmtId="3" fontId="31" fillId="0" borderId="29" xfId="1" applyNumberFormat="1" applyFont="1" applyBorder="1" applyAlignment="1" applyProtection="1">
      <alignment horizontal="right"/>
      <protection locked="0"/>
    </xf>
    <xf numFmtId="3" fontId="31" fillId="0" borderId="28" xfId="1" applyNumberFormat="1" applyFont="1" applyBorder="1" applyAlignment="1" applyProtection="1">
      <alignment horizontal="right"/>
      <protection locked="0"/>
    </xf>
    <xf numFmtId="3" fontId="2" fillId="0" borderId="0" xfId="1" applyNumberFormat="1" applyFont="1"/>
    <xf numFmtId="3" fontId="2" fillId="0" borderId="0" xfId="1" applyNumberFormat="1" applyFont="1" applyBorder="1"/>
    <xf numFmtId="3" fontId="2" fillId="0" borderId="17" xfId="1" applyNumberFormat="1" applyFont="1" applyBorder="1"/>
    <xf numFmtId="3" fontId="25" fillId="3" borderId="1" xfId="1" applyNumberFormat="1" applyFont="1" applyFill="1" applyBorder="1" applyAlignment="1">
      <alignment horizontal="center"/>
    </xf>
    <xf numFmtId="3" fontId="25" fillId="3" borderId="23" xfId="1" applyNumberFormat="1" applyFont="1" applyFill="1" applyBorder="1" applyAlignment="1">
      <alignment horizontal="center"/>
    </xf>
    <xf numFmtId="3" fontId="29" fillId="2" borderId="1" xfId="1" applyNumberFormat="1" applyFont="1" applyFill="1" applyBorder="1"/>
    <xf numFmtId="3" fontId="29" fillId="2" borderId="23" xfId="1" applyNumberFormat="1" applyFont="1" applyFill="1" applyBorder="1"/>
    <xf numFmtId="3" fontId="29" fillId="0" borderId="0" xfId="1" applyNumberFormat="1" applyFont="1"/>
    <xf numFmtId="3" fontId="29" fillId="0" borderId="5" xfId="1" applyNumberFormat="1" applyFont="1" applyBorder="1"/>
    <xf numFmtId="3" fontId="29" fillId="0" borderId="25" xfId="1" applyNumberFormat="1" applyFont="1" applyBorder="1"/>
    <xf numFmtId="3" fontId="2" fillId="0" borderId="0" xfId="1" applyNumberFormat="1" applyFont="1" applyAlignment="1">
      <alignment horizontal="left" indent="1"/>
    </xf>
    <xf numFmtId="3" fontId="30" fillId="0" borderId="0" xfId="1" applyNumberFormat="1" applyFont="1"/>
    <xf numFmtId="3" fontId="30" fillId="0" borderId="21" xfId="1" applyNumberFormat="1" applyFont="1" applyBorder="1"/>
    <xf numFmtId="3" fontId="30" fillId="0" borderId="0" xfId="1" applyNumberFormat="1" applyFont="1" applyBorder="1"/>
    <xf numFmtId="3" fontId="29" fillId="0" borderId="2" xfId="1" applyNumberFormat="1" applyFont="1" applyBorder="1"/>
    <xf numFmtId="3" fontId="29" fillId="0" borderId="27" xfId="1" applyNumberFormat="1" applyFont="1" applyBorder="1"/>
    <xf numFmtId="3" fontId="2" fillId="0" borderId="21" xfId="1" applyNumberFormat="1" applyFont="1" applyBorder="1"/>
    <xf numFmtId="3" fontId="2" fillId="0" borderId="0" xfId="1" applyNumberFormat="1" applyFont="1" applyBorder="1" applyAlignment="1">
      <alignment horizontal="left" indent="1"/>
    </xf>
    <xf numFmtId="3" fontId="29" fillId="0" borderId="3" xfId="1" applyNumberFormat="1" applyFont="1" applyBorder="1"/>
    <xf numFmtId="3" fontId="31" fillId="0" borderId="3" xfId="1" applyNumberFormat="1" applyFont="1" applyBorder="1"/>
    <xf numFmtId="3" fontId="31" fillId="0" borderId="29" xfId="1" applyNumberFormat="1" applyFont="1" applyBorder="1"/>
    <xf numFmtId="3" fontId="2" fillId="0" borderId="6" xfId="1" applyNumberFormat="1" applyFont="1" applyBorder="1"/>
    <xf numFmtId="3" fontId="29" fillId="2" borderId="1" xfId="1" applyNumberFormat="1" applyFont="1" applyFill="1" applyBorder="1" applyAlignment="1">
      <alignment horizontal="center"/>
    </xf>
    <xf numFmtId="3" fontId="29" fillId="2" borderId="23" xfId="1" applyNumberFormat="1" applyFont="1" applyFill="1" applyBorder="1" applyAlignment="1">
      <alignment horizontal="center"/>
    </xf>
    <xf numFmtId="3" fontId="29" fillId="4" borderId="0" xfId="1" applyNumberFormat="1" applyFont="1" applyFill="1" applyBorder="1"/>
    <xf numFmtId="3" fontId="29" fillId="4" borderId="21" xfId="1" applyNumberFormat="1" applyFont="1" applyFill="1" applyBorder="1"/>
    <xf numFmtId="3" fontId="2" fillId="4" borderId="0" xfId="1" applyNumberFormat="1" applyFont="1" applyFill="1" applyBorder="1" applyAlignment="1">
      <alignment horizontal="left" indent="2"/>
    </xf>
    <xf numFmtId="3" fontId="30" fillId="4" borderId="0" xfId="1" applyNumberFormat="1" applyFont="1" applyFill="1" applyBorder="1"/>
    <xf numFmtId="3" fontId="30" fillId="4" borderId="21" xfId="1" applyNumberFormat="1" applyFont="1" applyFill="1" applyBorder="1"/>
    <xf numFmtId="3" fontId="29" fillId="0" borderId="4" xfId="1" applyNumberFormat="1" applyFont="1" applyBorder="1"/>
    <xf numFmtId="3" fontId="29" fillId="0" borderId="31" xfId="1" applyNumberFormat="1" applyFont="1" applyBorder="1"/>
    <xf numFmtId="3" fontId="2" fillId="0" borderId="0" xfId="1" applyNumberFormat="1" applyFont="1" applyBorder="1" applyAlignment="1">
      <alignment horizontal="left" indent="2"/>
    </xf>
    <xf numFmtId="3" fontId="14" fillId="0" borderId="0" xfId="1" applyNumberFormat="1" applyFont="1" applyBorder="1" applyAlignment="1">
      <alignment horizontal="left" indent="2"/>
    </xf>
    <xf numFmtId="3" fontId="14" fillId="0" borderId="0" xfId="1" applyNumberFormat="1" applyFont="1" applyBorder="1"/>
    <xf numFmtId="3" fontId="14" fillId="0" borderId="21" xfId="1" applyNumberFormat="1" applyFont="1" applyBorder="1"/>
    <xf numFmtId="3" fontId="14" fillId="0" borderId="0" xfId="1" applyNumberFormat="1" applyFont="1"/>
    <xf numFmtId="3" fontId="30" fillId="0" borderId="5" xfId="1" applyNumberFormat="1" applyFont="1" applyBorder="1"/>
    <xf numFmtId="3" fontId="30" fillId="0" borderId="25" xfId="1" applyNumberFormat="1" applyFont="1" applyBorder="1"/>
    <xf numFmtId="3" fontId="30" fillId="0" borderId="5" xfId="1" applyNumberFormat="1" applyFont="1" applyFill="1" applyBorder="1"/>
    <xf numFmtId="3" fontId="30" fillId="0" borderId="25" xfId="1" applyNumberFormat="1" applyFont="1" applyFill="1" applyBorder="1"/>
    <xf numFmtId="3" fontId="36" fillId="0" borderId="4" xfId="1" applyNumberFormat="1" applyFont="1" applyFill="1" applyBorder="1" applyAlignment="1">
      <alignment horizontal="left" indent="1"/>
    </xf>
    <xf numFmtId="3" fontId="36" fillId="0" borderId="4" xfId="1" applyNumberFormat="1" applyFont="1" applyFill="1" applyBorder="1"/>
    <xf numFmtId="3" fontId="36" fillId="0" borderId="31" xfId="1" applyNumberFormat="1" applyFont="1" applyFill="1" applyBorder="1"/>
    <xf numFmtId="3" fontId="36" fillId="0" borderId="0" xfId="1" applyNumberFormat="1" applyFont="1" applyBorder="1" applyAlignment="1">
      <alignment horizontal="left" indent="2"/>
    </xf>
    <xf numFmtId="3" fontId="36" fillId="0" borderId="0" xfId="1" applyNumberFormat="1" applyFont="1" applyBorder="1"/>
    <xf numFmtId="3" fontId="36" fillId="0" borderId="21" xfId="1" applyNumberFormat="1" applyFont="1" applyBorder="1"/>
    <xf numFmtId="3" fontId="36" fillId="0" borderId="5" xfId="1" applyNumberFormat="1" applyFont="1" applyBorder="1"/>
    <xf numFmtId="3" fontId="36" fillId="0" borderId="25" xfId="1" applyNumberFormat="1" applyFont="1" applyBorder="1"/>
    <xf numFmtId="3" fontId="36" fillId="0" borderId="5" xfId="1" applyNumberFormat="1" applyFont="1" applyFill="1" applyBorder="1"/>
    <xf numFmtId="3" fontId="36" fillId="0" borderId="25" xfId="1" applyNumberFormat="1" applyFont="1" applyFill="1" applyBorder="1"/>
    <xf numFmtId="3" fontId="29" fillId="0" borderId="0" xfId="1" applyNumberFormat="1" applyFont="1" applyFill="1"/>
    <xf numFmtId="3" fontId="29" fillId="0" borderId="21" xfId="1" applyNumberFormat="1" applyFont="1" applyFill="1" applyBorder="1"/>
    <xf numFmtId="3" fontId="29" fillId="0" borderId="0" xfId="1" applyNumberFormat="1" applyFont="1" applyFill="1" applyBorder="1"/>
    <xf numFmtId="3" fontId="14" fillId="0" borderId="5" xfId="1" applyNumberFormat="1" applyFont="1" applyBorder="1" applyAlignment="1">
      <alignment horizontal="left" indent="2"/>
    </xf>
    <xf numFmtId="3" fontId="2" fillId="0" borderId="4" xfId="1" applyNumberFormat="1" applyFont="1" applyBorder="1" applyAlignment="1">
      <alignment horizontal="left" indent="1"/>
    </xf>
    <xf numFmtId="3" fontId="2" fillId="0" borderId="4" xfId="1" applyNumberFormat="1" applyFont="1" applyFill="1" applyBorder="1"/>
    <xf numFmtId="3" fontId="2" fillId="0" borderId="31" xfId="1" applyNumberFormat="1" applyFont="1" applyFill="1" applyBorder="1"/>
    <xf numFmtId="3" fontId="29" fillId="4" borderId="4" xfId="1" applyNumberFormat="1" applyFont="1" applyFill="1" applyBorder="1"/>
    <xf numFmtId="3" fontId="29" fillId="4" borderId="31" xfId="1" applyNumberFormat="1" applyFont="1" applyFill="1" applyBorder="1"/>
    <xf numFmtId="3" fontId="2" fillId="4" borderId="0" xfId="1" applyNumberFormat="1" applyFont="1" applyFill="1" applyBorder="1"/>
    <xf numFmtId="3" fontId="2" fillId="4" borderId="21" xfId="1" applyNumberFormat="1" applyFont="1" applyFill="1" applyBorder="1"/>
    <xf numFmtId="3" fontId="2" fillId="4" borderId="5" xfId="1" applyNumberFormat="1" applyFont="1" applyFill="1" applyBorder="1" applyAlignment="1">
      <alignment horizontal="left" indent="2"/>
    </xf>
    <xf numFmtId="3" fontId="2" fillId="4" borderId="5" xfId="1" applyNumberFormat="1" applyFont="1" applyFill="1" applyBorder="1"/>
    <xf numFmtId="3" fontId="2" fillId="4" borderId="25" xfId="1" applyNumberFormat="1" applyFont="1" applyFill="1" applyBorder="1"/>
    <xf numFmtId="3" fontId="33" fillId="0" borderId="4" xfId="1" applyNumberFormat="1" applyFont="1" applyBorder="1"/>
    <xf numFmtId="3" fontId="29" fillId="0" borderId="21" xfId="1" applyNumberFormat="1" applyFont="1" applyBorder="1"/>
    <xf numFmtId="3" fontId="33" fillId="0" borderId="0" xfId="1" applyNumberFormat="1" applyFont="1"/>
    <xf numFmtId="3" fontId="33" fillId="0" borderId="0" xfId="1" applyNumberFormat="1" applyFont="1" applyBorder="1"/>
    <xf numFmtId="3" fontId="29" fillId="0" borderId="0" xfId="1" applyNumberFormat="1" applyFont="1" applyBorder="1"/>
    <xf numFmtId="3" fontId="2" fillId="0" borderId="0" xfId="1" applyNumberFormat="1" applyFont="1" applyAlignment="1" applyProtection="1">
      <alignment horizontal="left" indent="3"/>
    </xf>
    <xf numFmtId="3" fontId="2" fillId="0" borderId="0" xfId="1" applyNumberFormat="1" applyFont="1" applyAlignment="1">
      <alignment horizontal="left" indent="2"/>
    </xf>
    <xf numFmtId="3" fontId="2" fillId="0" borderId="0" xfId="1" applyNumberFormat="1" applyFont="1" applyFill="1" applyAlignment="1" applyProtection="1">
      <alignment horizontal="left" indent="3"/>
    </xf>
    <xf numFmtId="3" fontId="30" fillId="0" borderId="0" xfId="1" applyNumberFormat="1" applyFont="1" applyFill="1"/>
    <xf numFmtId="3" fontId="30" fillId="0" borderId="21" xfId="1" applyNumberFormat="1" applyFont="1" applyFill="1" applyBorder="1"/>
    <xf numFmtId="3" fontId="30" fillId="0" borderId="0" xfId="1" applyNumberFormat="1" applyFont="1" applyFill="1" applyBorder="1"/>
    <xf numFmtId="3" fontId="2" fillId="0" borderId="4" xfId="1" applyNumberFormat="1" applyFont="1" applyBorder="1"/>
    <xf numFmtId="3" fontId="29" fillId="2" borderId="6" xfId="1" applyNumberFormat="1" applyFont="1" applyFill="1" applyBorder="1"/>
    <xf numFmtId="3" fontId="29" fillId="2" borderId="35" xfId="1" applyNumberFormat="1" applyFont="1" applyFill="1" applyBorder="1"/>
    <xf numFmtId="3" fontId="29" fillId="2" borderId="36" xfId="1" applyNumberFormat="1" applyFont="1" applyFill="1" applyBorder="1"/>
    <xf numFmtId="10" fontId="29" fillId="4" borderId="4" xfId="2" applyNumberFormat="1" applyFont="1" applyFill="1" applyBorder="1"/>
    <xf numFmtId="10" fontId="29" fillId="4" borderId="31" xfId="2" applyNumberFormat="1" applyFont="1" applyFill="1" applyBorder="1"/>
    <xf numFmtId="10" fontId="30" fillId="0" borderId="0" xfId="2" applyNumberFormat="1" applyFont="1" applyBorder="1"/>
    <xf numFmtId="10" fontId="30" fillId="0" borderId="21" xfId="2" applyNumberFormat="1" applyFont="1" applyBorder="1"/>
    <xf numFmtId="3" fontId="2" fillId="0" borderId="5" xfId="1" applyNumberFormat="1" applyFont="1" applyBorder="1" applyAlignment="1">
      <alignment horizontal="left" indent="2"/>
    </xf>
    <xf numFmtId="3" fontId="2" fillId="0" borderId="0" xfId="1" applyNumberFormat="1" applyFont="1" applyFill="1" applyBorder="1" applyAlignment="1">
      <alignment horizontal="left" indent="3"/>
    </xf>
    <xf numFmtId="3" fontId="2" fillId="0" borderId="0" xfId="1" applyNumberFormat="1" applyFont="1" applyFill="1" applyBorder="1"/>
    <xf numFmtId="3" fontId="2" fillId="0" borderId="21" xfId="1" applyNumberFormat="1" applyFont="1" applyFill="1" applyBorder="1"/>
    <xf numFmtId="3" fontId="2" fillId="0" borderId="0" xfId="1" applyNumberFormat="1" applyFont="1" applyBorder="1" applyAlignment="1">
      <alignment horizontal="left" indent="3"/>
    </xf>
    <xf numFmtId="3" fontId="2" fillId="0" borderId="5" xfId="1" applyNumberFormat="1" applyFont="1" applyBorder="1" applyAlignment="1">
      <alignment horizontal="left" indent="3"/>
    </xf>
    <xf numFmtId="3" fontId="2" fillId="0" borderId="5" xfId="1" applyNumberFormat="1" applyFont="1" applyBorder="1" applyAlignment="1">
      <alignment horizontal="left" indent="1"/>
    </xf>
    <xf numFmtId="3" fontId="2" fillId="0" borderId="5" xfId="1" applyNumberFormat="1" applyFont="1" applyBorder="1"/>
    <xf numFmtId="3" fontId="2" fillId="0" borderId="25" xfId="1" applyNumberFormat="1" applyFont="1" applyBorder="1"/>
    <xf numFmtId="9" fontId="30" fillId="0" borderId="0" xfId="2" applyFont="1" applyBorder="1"/>
    <xf numFmtId="9" fontId="30" fillId="0" borderId="21" xfId="2" applyFont="1" applyBorder="1"/>
    <xf numFmtId="164" fontId="2" fillId="0" borderId="4" xfId="2" applyNumberFormat="1" applyFont="1" applyBorder="1" applyAlignment="1">
      <alignment horizontal="center"/>
    </xf>
    <xf numFmtId="164" fontId="2" fillId="0" borderId="31" xfId="2" applyNumberFormat="1" applyFont="1" applyBorder="1" applyAlignment="1">
      <alignment horizontal="center"/>
    </xf>
    <xf numFmtId="164" fontId="2" fillId="0" borderId="0" xfId="2" applyNumberFormat="1" applyFont="1" applyBorder="1" applyAlignment="1">
      <alignment horizontal="center"/>
    </xf>
    <xf numFmtId="164" fontId="2" fillId="0" borderId="21" xfId="2" applyNumberFormat="1" applyFont="1" applyBorder="1" applyAlignment="1">
      <alignment horizontal="center"/>
    </xf>
    <xf numFmtId="164" fontId="2" fillId="0" borderId="5" xfId="2" applyNumberFormat="1" applyFont="1" applyBorder="1" applyAlignment="1">
      <alignment horizontal="center"/>
    </xf>
    <xf numFmtId="164" fontId="2" fillId="0" borderId="25" xfId="2" applyNumberFormat="1" applyFont="1" applyBorder="1" applyAlignment="1">
      <alignment horizontal="center"/>
    </xf>
    <xf numFmtId="164" fontId="29" fillId="4" borderId="4" xfId="2" applyNumberFormat="1" applyFont="1" applyFill="1" applyBorder="1" applyAlignment="1">
      <alignment horizontal="center"/>
    </xf>
    <xf numFmtId="164" fontId="29" fillId="4" borderId="31" xfId="2" applyNumberFormat="1" applyFont="1" applyFill="1" applyBorder="1" applyAlignment="1">
      <alignment horizontal="center"/>
    </xf>
    <xf numFmtId="165" fontId="14" fillId="0" borderId="0" xfId="1" applyNumberFormat="1" applyFont="1" applyBorder="1" applyAlignment="1">
      <alignment horizontal="center"/>
    </xf>
    <xf numFmtId="165" fontId="14" fillId="0" borderId="21" xfId="1" applyNumberFormat="1" applyFont="1" applyBorder="1" applyAlignment="1">
      <alignment horizontal="center"/>
    </xf>
    <xf numFmtId="3" fontId="37" fillId="0" borderId="21" xfId="1" applyNumberFormat="1" applyFont="1" applyBorder="1"/>
    <xf numFmtId="3" fontId="37" fillId="0" borderId="0" xfId="1" applyNumberFormat="1" applyFont="1"/>
    <xf numFmtId="3" fontId="37" fillId="0" borderId="0" xfId="1" applyNumberFormat="1" applyFont="1" applyBorder="1"/>
    <xf numFmtId="3" fontId="30" fillId="0" borderId="21" xfId="1" applyNumberFormat="1" applyFont="1" applyBorder="1" applyProtection="1">
      <protection locked="0"/>
    </xf>
    <xf numFmtId="3" fontId="2" fillId="0" borderId="0" xfId="1" applyNumberFormat="1" applyFont="1" applyProtection="1"/>
    <xf numFmtId="3" fontId="2" fillId="0" borderId="0" xfId="1" applyNumberFormat="1" applyFont="1" applyBorder="1" applyProtection="1"/>
    <xf numFmtId="164" fontId="2" fillId="0" borderId="0" xfId="2" applyNumberFormat="1" applyFont="1" applyBorder="1" applyProtection="1"/>
    <xf numFmtId="3" fontId="2" fillId="0" borderId="0" xfId="1" applyNumberFormat="1" applyFont="1" applyBorder="1" applyAlignment="1" applyProtection="1">
      <alignment horizontal="right"/>
    </xf>
    <xf numFmtId="4" fontId="2" fillId="0" borderId="0" xfId="1" applyNumberFormat="1" applyFont="1" applyBorder="1" applyAlignment="1" applyProtection="1">
      <alignment horizontal="right"/>
    </xf>
    <xf numFmtId="3" fontId="29" fillId="0" borderId="0" xfId="1" applyNumberFormat="1" applyFont="1" applyAlignment="1" applyProtection="1">
      <alignment horizontal="center"/>
      <protection locked="0"/>
    </xf>
    <xf numFmtId="3" fontId="29" fillId="0" borderId="0" xfId="1" applyNumberFormat="1" applyFont="1" applyProtection="1">
      <protection locked="0"/>
    </xf>
    <xf numFmtId="3" fontId="34" fillId="0" borderId="0" xfId="1" applyNumberFormat="1" applyFont="1" applyProtection="1">
      <protection locked="0"/>
    </xf>
    <xf numFmtId="3" fontId="2" fillId="0" borderId="6" xfId="1" applyNumberFormat="1" applyFont="1" applyBorder="1" applyProtection="1">
      <protection locked="0"/>
    </xf>
    <xf numFmtId="3" fontId="2" fillId="0" borderId="6" xfId="1" applyNumberFormat="1" applyFont="1" applyBorder="1" applyAlignment="1" applyProtection="1">
      <alignment horizontal="right"/>
      <protection locked="0"/>
    </xf>
    <xf numFmtId="3" fontId="2" fillId="0" borderId="17" xfId="1" applyNumberFormat="1" applyFont="1" applyBorder="1" applyProtection="1">
      <protection locked="0"/>
    </xf>
    <xf numFmtId="3" fontId="2" fillId="0" borderId="17" xfId="1" applyNumberFormat="1" applyFont="1" applyBorder="1" applyAlignment="1" applyProtection="1">
      <alignment horizontal="right"/>
      <protection locked="0"/>
    </xf>
    <xf numFmtId="3" fontId="29" fillId="2" borderId="1" xfId="1" applyNumberFormat="1" applyFont="1" applyFill="1" applyBorder="1" applyAlignment="1" applyProtection="1">
      <alignment horizontal="left"/>
    </xf>
    <xf numFmtId="3" fontId="29" fillId="2" borderId="1" xfId="1" applyNumberFormat="1" applyFont="1" applyFill="1" applyBorder="1" applyAlignment="1" applyProtection="1">
      <alignment horizontal="center"/>
    </xf>
    <xf numFmtId="3" fontId="29" fillId="2" borderId="22" xfId="1" applyNumberFormat="1" applyFont="1" applyFill="1" applyBorder="1" applyAlignment="1" applyProtection="1">
      <alignment horizontal="center"/>
    </xf>
    <xf numFmtId="3" fontId="29" fillId="2" borderId="1" xfId="1" applyNumberFormat="1" applyFont="1" applyFill="1" applyBorder="1" applyAlignment="1" applyProtection="1">
      <alignment horizontal="right"/>
    </xf>
    <xf numFmtId="3" fontId="29" fillId="2" borderId="23" xfId="1" applyNumberFormat="1" applyFont="1" applyFill="1" applyBorder="1" applyAlignment="1" applyProtection="1">
      <alignment horizontal="right"/>
    </xf>
    <xf numFmtId="3" fontId="29" fillId="2" borderId="22" xfId="1" applyNumberFormat="1" applyFont="1" applyFill="1" applyBorder="1" applyAlignment="1" applyProtection="1">
      <alignment horizontal="right"/>
    </xf>
    <xf numFmtId="3" fontId="29" fillId="4" borderId="0" xfId="1" applyNumberFormat="1" applyFont="1" applyFill="1" applyBorder="1" applyProtection="1"/>
    <xf numFmtId="3" fontId="29" fillId="4" borderId="0" xfId="1" applyNumberFormat="1" applyFont="1" applyFill="1" applyBorder="1" applyProtection="1">
      <protection locked="0"/>
    </xf>
    <xf numFmtId="3" fontId="29" fillId="4" borderId="20" xfId="1" applyNumberFormat="1" applyFont="1" applyFill="1" applyBorder="1" applyProtection="1">
      <protection locked="0"/>
    </xf>
    <xf numFmtId="3" fontId="33" fillId="4" borderId="0" xfId="1" applyNumberFormat="1" applyFont="1" applyFill="1" applyBorder="1" applyProtection="1">
      <protection locked="0"/>
    </xf>
    <xf numFmtId="3" fontId="33" fillId="4" borderId="0" xfId="1" applyNumberFormat="1" applyFont="1" applyFill="1" applyBorder="1" applyAlignment="1" applyProtection="1">
      <alignment horizontal="right"/>
      <protection locked="0"/>
    </xf>
    <xf numFmtId="3" fontId="33" fillId="4" borderId="21" xfId="1" applyNumberFormat="1" applyFont="1" applyFill="1" applyBorder="1" applyAlignment="1" applyProtection="1">
      <alignment horizontal="right"/>
      <protection locked="0"/>
    </xf>
    <xf numFmtId="3" fontId="33" fillId="4" borderId="20" xfId="1" applyNumberFormat="1" applyFont="1" applyFill="1" applyBorder="1" applyAlignment="1" applyProtection="1">
      <alignment horizontal="right"/>
      <protection locked="0"/>
    </xf>
    <xf numFmtId="3" fontId="2" fillId="4" borderId="0" xfId="1" applyNumberFormat="1" applyFont="1" applyFill="1" applyBorder="1" applyAlignment="1" applyProtection="1">
      <alignment horizontal="left" indent="2"/>
    </xf>
    <xf numFmtId="3" fontId="2" fillId="4" borderId="0" xfId="1" applyNumberFormat="1" applyFont="1" applyFill="1" applyBorder="1" applyProtection="1">
      <protection locked="0"/>
    </xf>
    <xf numFmtId="3" fontId="2" fillId="4" borderId="20" xfId="1" applyNumberFormat="1" applyFont="1" applyFill="1" applyBorder="1" applyProtection="1">
      <protection locked="0"/>
    </xf>
    <xf numFmtId="3" fontId="14" fillId="4" borderId="0" xfId="1" applyNumberFormat="1" applyFont="1" applyFill="1" applyBorder="1" applyProtection="1">
      <protection locked="0"/>
    </xf>
    <xf numFmtId="3" fontId="14" fillId="4" borderId="0" xfId="1" applyNumberFormat="1" applyFont="1" applyFill="1" applyBorder="1" applyAlignment="1" applyProtection="1">
      <alignment horizontal="right"/>
      <protection locked="0"/>
    </xf>
    <xf numFmtId="3" fontId="14" fillId="4" borderId="21" xfId="1" applyNumberFormat="1" applyFont="1" applyFill="1" applyBorder="1" applyAlignment="1" applyProtection="1">
      <alignment horizontal="right"/>
      <protection locked="0"/>
    </xf>
    <xf numFmtId="3" fontId="14" fillId="4" borderId="20" xfId="1" applyNumberFormat="1" applyFont="1" applyFill="1" applyBorder="1" applyAlignment="1" applyProtection="1">
      <alignment horizontal="right"/>
      <protection locked="0"/>
    </xf>
    <xf numFmtId="3" fontId="29" fillId="0" borderId="4" xfId="1" applyNumberFormat="1" applyFont="1" applyBorder="1" applyAlignment="1" applyProtection="1">
      <alignment horizontal="left" indent="1"/>
    </xf>
    <xf numFmtId="3" fontId="29" fillId="0" borderId="4" xfId="1" applyNumberFormat="1" applyFont="1" applyBorder="1" applyProtection="1">
      <protection locked="0"/>
    </xf>
    <xf numFmtId="3" fontId="29" fillId="0" borderId="30" xfId="1" applyNumberFormat="1" applyFont="1" applyBorder="1" applyProtection="1">
      <protection locked="0"/>
    </xf>
    <xf numFmtId="3" fontId="33" fillId="0" borderId="4" xfId="1" applyNumberFormat="1" applyFont="1" applyBorder="1" applyAlignment="1" applyProtection="1">
      <alignment horizontal="right"/>
      <protection locked="0"/>
    </xf>
    <xf numFmtId="3" fontId="33" fillId="0" borderId="31" xfId="1" applyNumberFormat="1" applyFont="1" applyBorder="1" applyAlignment="1" applyProtection="1">
      <alignment horizontal="right"/>
      <protection locked="0"/>
    </xf>
    <xf numFmtId="3" fontId="33" fillId="0" borderId="30" xfId="1" applyNumberFormat="1" applyFont="1" applyBorder="1" applyAlignment="1" applyProtection="1">
      <alignment horizontal="right"/>
      <protection locked="0"/>
    </xf>
    <xf numFmtId="3" fontId="2" fillId="0" borderId="0" xfId="1" applyNumberFormat="1" applyFont="1" applyBorder="1" applyAlignment="1" applyProtection="1">
      <alignment horizontal="left" indent="2"/>
    </xf>
    <xf numFmtId="3" fontId="30" fillId="0" borderId="5" xfId="1" applyNumberFormat="1" applyFont="1" applyBorder="1" applyProtection="1">
      <protection locked="0"/>
    </xf>
    <xf numFmtId="3" fontId="30" fillId="0" borderId="24" xfId="1" applyNumberFormat="1" applyFont="1" applyBorder="1" applyProtection="1">
      <protection locked="0"/>
    </xf>
    <xf numFmtId="3" fontId="30" fillId="0" borderId="5" xfId="1" applyNumberFormat="1" applyFont="1" applyBorder="1" applyAlignment="1" applyProtection="1">
      <alignment horizontal="right"/>
      <protection locked="0"/>
    </xf>
    <xf numFmtId="3" fontId="30" fillId="0" borderId="25" xfId="1" applyNumberFormat="1" applyFont="1" applyBorder="1" applyAlignment="1" applyProtection="1">
      <alignment horizontal="right"/>
      <protection locked="0"/>
    </xf>
    <xf numFmtId="3" fontId="30" fillId="0" borderId="24" xfId="1" applyNumberFormat="1" applyFont="1" applyBorder="1" applyAlignment="1" applyProtection="1">
      <alignment horizontal="right"/>
      <protection locked="0"/>
    </xf>
    <xf numFmtId="3" fontId="29" fillId="0" borderId="0" xfId="1" applyNumberFormat="1" applyFont="1" applyBorder="1" applyProtection="1">
      <protection locked="0"/>
    </xf>
    <xf numFmtId="3" fontId="29" fillId="0" borderId="20" xfId="1" applyNumberFormat="1" applyFont="1" applyBorder="1" applyProtection="1">
      <protection locked="0"/>
    </xf>
    <xf numFmtId="3" fontId="33" fillId="0" borderId="0" xfId="1" applyNumberFormat="1" applyFont="1" applyBorder="1" applyProtection="1">
      <protection locked="0"/>
    </xf>
    <xf numFmtId="3" fontId="33" fillId="0" borderId="0" xfId="1" applyNumberFormat="1" applyFont="1" applyBorder="1" applyAlignment="1" applyProtection="1">
      <alignment horizontal="right"/>
      <protection locked="0"/>
    </xf>
    <xf numFmtId="3" fontId="33" fillId="0" borderId="21" xfId="1" applyNumberFormat="1" applyFont="1" applyBorder="1" applyAlignment="1" applyProtection="1">
      <alignment horizontal="right"/>
      <protection locked="0"/>
    </xf>
    <xf numFmtId="3" fontId="33" fillId="0" borderId="20" xfId="1" applyNumberFormat="1" applyFont="1" applyBorder="1" applyAlignment="1" applyProtection="1">
      <alignment horizontal="right"/>
      <protection locked="0"/>
    </xf>
    <xf numFmtId="3" fontId="29" fillId="0" borderId="4" xfId="1" applyNumberFormat="1" applyFont="1" applyBorder="1" applyProtection="1"/>
    <xf numFmtId="3" fontId="29" fillId="0" borderId="4" xfId="1" applyNumberFormat="1" applyFont="1" applyBorder="1" applyAlignment="1" applyProtection="1">
      <alignment horizontal="right"/>
      <protection locked="0"/>
    </xf>
    <xf numFmtId="3" fontId="29" fillId="2" borderId="4" xfId="1" applyNumberFormat="1" applyFont="1" applyFill="1" applyBorder="1" applyProtection="1"/>
    <xf numFmtId="3" fontId="29" fillId="2" borderId="4" xfId="1" applyNumberFormat="1" applyFont="1" applyFill="1" applyBorder="1" applyProtection="1">
      <protection locked="0"/>
    </xf>
    <xf numFmtId="3" fontId="29" fillId="2" borderId="30" xfId="1" applyNumberFormat="1" applyFont="1" applyFill="1" applyBorder="1" applyProtection="1">
      <protection locked="0"/>
    </xf>
    <xf numFmtId="3" fontId="33" fillId="2" borderId="4" xfId="1" applyNumberFormat="1" applyFont="1" applyFill="1" applyBorder="1" applyProtection="1">
      <protection locked="0"/>
    </xf>
    <xf numFmtId="3" fontId="33" fillId="2" borderId="4" xfId="1" applyNumberFormat="1" applyFont="1" applyFill="1" applyBorder="1" applyAlignment="1" applyProtection="1">
      <alignment horizontal="right"/>
      <protection locked="0"/>
    </xf>
    <xf numFmtId="3" fontId="33" fillId="2" borderId="31" xfId="1" applyNumberFormat="1" applyFont="1" applyFill="1" applyBorder="1" applyAlignment="1" applyProtection="1">
      <alignment horizontal="right"/>
      <protection locked="0"/>
    </xf>
    <xf numFmtId="3" fontId="33" fillId="2" borderId="30" xfId="1" applyNumberFormat="1" applyFont="1" applyFill="1" applyBorder="1" applyAlignment="1" applyProtection="1">
      <alignment horizontal="right"/>
      <protection locked="0"/>
    </xf>
    <xf numFmtId="3" fontId="29" fillId="0" borderId="0" xfId="1" applyNumberFormat="1" applyFont="1" applyFill="1" applyProtection="1">
      <protection locked="0"/>
    </xf>
    <xf numFmtId="3" fontId="2" fillId="2" borderId="0" xfId="1" applyNumberFormat="1" applyFont="1" applyFill="1" applyBorder="1" applyAlignment="1" applyProtection="1">
      <alignment horizontal="left" indent="2"/>
    </xf>
    <xf numFmtId="3" fontId="2" fillId="2" borderId="0" xfId="1" applyNumberFormat="1" applyFont="1" applyFill="1" applyBorder="1" applyProtection="1">
      <protection locked="0"/>
    </xf>
    <xf numFmtId="3" fontId="2" fillId="2" borderId="20" xfId="1" applyNumberFormat="1" applyFont="1" applyFill="1" applyBorder="1" applyProtection="1">
      <protection locked="0"/>
    </xf>
    <xf numFmtId="3" fontId="2" fillId="2" borderId="0" xfId="1" applyNumberFormat="1" applyFont="1" applyFill="1" applyBorder="1" applyAlignment="1" applyProtection="1">
      <alignment horizontal="right"/>
      <protection locked="0"/>
    </xf>
    <xf numFmtId="3" fontId="2" fillId="2" borderId="21" xfId="1" applyNumberFormat="1" applyFont="1" applyFill="1" applyBorder="1" applyAlignment="1" applyProtection="1">
      <alignment horizontal="right"/>
      <protection locked="0"/>
    </xf>
    <xf numFmtId="3" fontId="2" fillId="2" borderId="20" xfId="1" applyNumberFormat="1" applyFont="1" applyFill="1" applyBorder="1" applyAlignment="1" applyProtection="1">
      <alignment horizontal="right"/>
      <protection locked="0"/>
    </xf>
    <xf numFmtId="3" fontId="2" fillId="0" borderId="0" xfId="1" applyNumberFormat="1" applyFont="1" applyFill="1" applyProtection="1">
      <protection locked="0"/>
    </xf>
    <xf numFmtId="3" fontId="2" fillId="0" borderId="4" xfId="1" applyNumberFormat="1" applyFont="1" applyBorder="1" applyAlignment="1" applyProtection="1">
      <alignment horizontal="left" indent="1"/>
    </xf>
    <xf numFmtId="3" fontId="2" fillId="0" borderId="4" xfId="1" applyNumberFormat="1" applyFont="1" applyBorder="1" applyProtection="1">
      <protection locked="0"/>
    </xf>
    <xf numFmtId="3" fontId="2" fillId="0" borderId="30" xfId="1" applyNumberFormat="1" applyFont="1" applyBorder="1" applyProtection="1">
      <protection locked="0"/>
    </xf>
    <xf numFmtId="3" fontId="2" fillId="0" borderId="4" xfId="1" applyNumberFormat="1" applyFont="1" applyBorder="1" applyAlignment="1" applyProtection="1">
      <alignment horizontal="right"/>
      <protection locked="0"/>
    </xf>
    <xf numFmtId="3" fontId="2" fillId="0" borderId="31" xfId="1" applyNumberFormat="1" applyFont="1" applyBorder="1" applyAlignment="1" applyProtection="1">
      <alignment horizontal="right"/>
      <protection locked="0"/>
    </xf>
    <xf numFmtId="3" fontId="2" fillId="0" borderId="30" xfId="1" applyNumberFormat="1" applyFont="1" applyBorder="1" applyAlignment="1" applyProtection="1">
      <alignment horizontal="right"/>
      <protection locked="0"/>
    </xf>
    <xf numFmtId="3" fontId="2" fillId="0" borderId="4" xfId="1" applyNumberFormat="1" applyFont="1" applyFill="1" applyBorder="1" applyAlignment="1" applyProtection="1">
      <alignment horizontal="left" indent="1"/>
    </xf>
    <xf numFmtId="3" fontId="2" fillId="0" borderId="4" xfId="1" applyNumberFormat="1" applyFont="1" applyFill="1" applyBorder="1" applyProtection="1">
      <protection locked="0"/>
    </xf>
    <xf numFmtId="3" fontId="2" fillId="0" borderId="30" xfId="1" applyNumberFormat="1" applyFont="1" applyFill="1" applyBorder="1" applyProtection="1">
      <protection locked="0"/>
    </xf>
    <xf numFmtId="3" fontId="2" fillId="0" borderId="4" xfId="1" applyNumberFormat="1" applyFont="1" applyFill="1" applyBorder="1" applyAlignment="1" applyProtection="1">
      <alignment horizontal="right"/>
      <protection locked="0"/>
    </xf>
    <xf numFmtId="3" fontId="2" fillId="0" borderId="31" xfId="1" applyNumberFormat="1" applyFont="1" applyFill="1" applyBorder="1" applyAlignment="1" applyProtection="1">
      <alignment horizontal="right"/>
      <protection locked="0"/>
    </xf>
    <xf numFmtId="3" fontId="2" fillId="0" borderId="30" xfId="1" applyNumberFormat="1" applyFont="1" applyFill="1" applyBorder="1" applyAlignment="1" applyProtection="1">
      <alignment horizontal="right"/>
      <protection locked="0"/>
    </xf>
    <xf numFmtId="3" fontId="30" fillId="0" borderId="18" xfId="1" applyNumberFormat="1" applyFont="1" applyBorder="1" applyProtection="1">
      <protection locked="0"/>
    </xf>
    <xf numFmtId="3" fontId="30" fillId="0" borderId="32" xfId="1" applyNumberFormat="1" applyFont="1" applyBorder="1" applyProtection="1">
      <protection locked="0"/>
    </xf>
    <xf numFmtId="3" fontId="30" fillId="0" borderId="18" xfId="1" applyNumberFormat="1" applyFont="1" applyBorder="1" applyAlignment="1" applyProtection="1">
      <alignment horizontal="right"/>
      <protection locked="0"/>
    </xf>
    <xf numFmtId="3" fontId="30" fillId="0" borderId="33" xfId="1" applyNumberFormat="1" applyFont="1" applyBorder="1" applyAlignment="1" applyProtection="1">
      <alignment horizontal="right"/>
      <protection locked="0"/>
    </xf>
    <xf numFmtId="3" fontId="30" fillId="0" borderId="32" xfId="1" applyNumberFormat="1" applyFont="1" applyBorder="1" applyAlignment="1" applyProtection="1">
      <alignment horizontal="right"/>
      <protection locked="0"/>
    </xf>
    <xf numFmtId="3" fontId="29" fillId="0" borderId="4" xfId="1" applyNumberFormat="1" applyFont="1" applyFill="1" applyBorder="1" applyProtection="1"/>
    <xf numFmtId="3" fontId="29" fillId="0" borderId="0" xfId="1" applyNumberFormat="1" applyFont="1" applyBorder="1" applyAlignment="1" applyProtection="1">
      <alignment horizontal="right"/>
      <protection locked="0"/>
    </xf>
    <xf numFmtId="3" fontId="29" fillId="0" borderId="21" xfId="1" applyNumberFormat="1" applyFont="1" applyBorder="1" applyAlignment="1" applyProtection="1">
      <alignment horizontal="right"/>
      <protection locked="0"/>
    </xf>
    <xf numFmtId="3" fontId="29" fillId="0" borderId="20" xfId="1" applyNumberFormat="1" applyFont="1" applyBorder="1" applyAlignment="1" applyProtection="1">
      <alignment horizontal="right"/>
      <protection locked="0"/>
    </xf>
    <xf numFmtId="3" fontId="30" fillId="0" borderId="21" xfId="1" applyNumberFormat="1" applyFont="1" applyFill="1" applyBorder="1" applyAlignment="1" applyProtection="1">
      <alignment horizontal="right"/>
      <protection locked="0"/>
    </xf>
    <xf numFmtId="3" fontId="30" fillId="0" borderId="20" xfId="1" applyNumberFormat="1" applyFont="1" applyFill="1" applyBorder="1" applyAlignment="1" applyProtection="1">
      <alignment horizontal="right"/>
      <protection locked="0"/>
    </xf>
    <xf numFmtId="3" fontId="29" fillId="0" borderId="4" xfId="1" applyNumberFormat="1" applyFont="1" applyFill="1" applyBorder="1" applyProtection="1">
      <protection locked="0"/>
    </xf>
    <xf numFmtId="3" fontId="29" fillId="0" borderId="30" xfId="1" applyNumberFormat="1" applyFont="1" applyFill="1" applyBorder="1" applyProtection="1">
      <protection locked="0"/>
    </xf>
    <xf numFmtId="3" fontId="29" fillId="0" borderId="4" xfId="1" applyNumberFormat="1" applyFont="1" applyFill="1" applyBorder="1" applyAlignment="1" applyProtection="1">
      <alignment horizontal="right"/>
      <protection locked="0"/>
    </xf>
    <xf numFmtId="3" fontId="29" fillId="0" borderId="31" xfId="1" applyNumberFormat="1" applyFont="1" applyFill="1" applyBorder="1" applyAlignment="1" applyProtection="1">
      <alignment horizontal="right"/>
      <protection locked="0"/>
    </xf>
    <xf numFmtId="3" fontId="29" fillId="0" borderId="30" xfId="1" applyNumberFormat="1" applyFont="1" applyFill="1" applyBorder="1" applyAlignment="1" applyProtection="1">
      <alignment horizontal="right"/>
      <protection locked="0"/>
    </xf>
    <xf numFmtId="3" fontId="2" fillId="0" borderId="0" xfId="1" applyNumberFormat="1" applyFont="1" applyFill="1" applyBorder="1" applyAlignment="1" applyProtection="1">
      <alignment horizontal="left" indent="2"/>
    </xf>
    <xf numFmtId="3" fontId="2" fillId="0" borderId="0" xfId="1" applyNumberFormat="1" applyFont="1" applyFill="1" applyBorder="1" applyProtection="1">
      <protection locked="0"/>
    </xf>
    <xf numFmtId="3" fontId="2" fillId="0" borderId="20" xfId="1" applyNumberFormat="1" applyFont="1" applyFill="1" applyBorder="1" applyProtection="1">
      <protection locked="0"/>
    </xf>
    <xf numFmtId="3" fontId="2" fillId="0" borderId="0" xfId="1" applyNumberFormat="1" applyFont="1" applyFill="1" applyBorder="1" applyAlignment="1" applyProtection="1">
      <alignment horizontal="right"/>
      <protection locked="0"/>
    </xf>
    <xf numFmtId="3" fontId="2" fillId="0" borderId="21" xfId="1" applyNumberFormat="1" applyFont="1" applyFill="1" applyBorder="1" applyAlignment="1" applyProtection="1">
      <alignment horizontal="right"/>
      <protection locked="0"/>
    </xf>
    <xf numFmtId="3" fontId="2" fillId="0" borderId="20" xfId="1" applyNumberFormat="1" applyFont="1" applyFill="1" applyBorder="1" applyAlignment="1" applyProtection="1">
      <alignment horizontal="right"/>
      <protection locked="0"/>
    </xf>
    <xf numFmtId="3" fontId="2" fillId="0" borderId="5" xfId="1" applyNumberFormat="1" applyFont="1" applyFill="1" applyBorder="1" applyProtection="1">
      <protection locked="0"/>
    </xf>
    <xf numFmtId="3" fontId="2" fillId="0" borderId="24" xfId="1" applyNumberFormat="1" applyFont="1" applyFill="1" applyBorder="1" applyProtection="1">
      <protection locked="0"/>
    </xf>
    <xf numFmtId="3" fontId="2" fillId="0" borderId="5" xfId="1" applyNumberFormat="1" applyFont="1" applyFill="1" applyBorder="1" applyAlignment="1" applyProtection="1">
      <alignment horizontal="right"/>
      <protection locked="0"/>
    </xf>
    <xf numFmtId="3" fontId="2" fillId="0" borderId="25" xfId="1" applyNumberFormat="1" applyFont="1" applyFill="1" applyBorder="1" applyAlignment="1" applyProtection="1">
      <alignment horizontal="right"/>
      <protection locked="0"/>
    </xf>
    <xf numFmtId="3" fontId="2" fillId="0" borderId="24" xfId="1" applyNumberFormat="1" applyFont="1" applyFill="1" applyBorder="1" applyAlignment="1" applyProtection="1">
      <alignment horizontal="right"/>
      <protection locked="0"/>
    </xf>
    <xf numFmtId="3" fontId="2" fillId="0" borderId="0" xfId="1" applyNumberFormat="1" applyFont="1" applyAlignment="1" applyProtection="1">
      <alignment horizontal="left" indent="2"/>
    </xf>
    <xf numFmtId="3" fontId="29" fillId="0" borderId="0" xfId="1" applyNumberFormat="1" applyFont="1" applyProtection="1"/>
    <xf numFmtId="3" fontId="29" fillId="4" borderId="4" xfId="1" applyNumberFormat="1" applyFont="1" applyFill="1" applyBorder="1" applyProtection="1"/>
    <xf numFmtId="3" fontId="29" fillId="4" borderId="4" xfId="1" applyNumberFormat="1" applyFont="1" applyFill="1" applyBorder="1" applyProtection="1">
      <protection locked="0"/>
    </xf>
    <xf numFmtId="3" fontId="29" fillId="4" borderId="30" xfId="1" applyNumberFormat="1" applyFont="1" applyFill="1" applyBorder="1" applyProtection="1">
      <protection locked="0"/>
    </xf>
    <xf numFmtId="3" fontId="29" fillId="4" borderId="4" xfId="1" applyNumberFormat="1" applyFont="1" applyFill="1" applyBorder="1" applyAlignment="1" applyProtection="1">
      <alignment horizontal="right"/>
      <protection locked="0"/>
    </xf>
    <xf numFmtId="3" fontId="29" fillId="4" borderId="31" xfId="1" applyNumberFormat="1" applyFont="1" applyFill="1" applyBorder="1" applyAlignment="1" applyProtection="1">
      <alignment horizontal="right"/>
      <protection locked="0"/>
    </xf>
    <xf numFmtId="3" fontId="29" fillId="4" borderId="30" xfId="1" applyNumberFormat="1" applyFont="1" applyFill="1" applyBorder="1" applyAlignment="1" applyProtection="1">
      <alignment horizontal="right"/>
      <protection locked="0"/>
    </xf>
    <xf numFmtId="3" fontId="2" fillId="4" borderId="0" xfId="1" applyNumberFormat="1" applyFont="1" applyFill="1" applyBorder="1" applyAlignment="1" applyProtection="1">
      <alignment horizontal="right"/>
      <protection locked="0"/>
    </xf>
    <xf numFmtId="3" fontId="2" fillId="4" borderId="21" xfId="1" applyNumberFormat="1" applyFont="1" applyFill="1" applyBorder="1" applyAlignment="1" applyProtection="1">
      <alignment horizontal="right"/>
      <protection locked="0"/>
    </xf>
    <xf numFmtId="3" fontId="2" fillId="4" borderId="20" xfId="1" applyNumberFormat="1" applyFont="1" applyFill="1" applyBorder="1" applyAlignment="1" applyProtection="1">
      <alignment horizontal="right"/>
      <protection locked="0"/>
    </xf>
    <xf numFmtId="3" fontId="33" fillId="4" borderId="4" xfId="1" applyNumberFormat="1" applyFont="1" applyFill="1" applyBorder="1" applyAlignment="1" applyProtection="1">
      <alignment horizontal="right"/>
      <protection locked="0"/>
    </xf>
    <xf numFmtId="3" fontId="33" fillId="4" borderId="31" xfId="1" applyNumberFormat="1" applyFont="1" applyFill="1" applyBorder="1" applyAlignment="1" applyProtection="1">
      <alignment horizontal="right"/>
      <protection locked="0"/>
    </xf>
    <xf numFmtId="3" fontId="33" fillId="4" borderId="30" xfId="1" applyNumberFormat="1" applyFont="1" applyFill="1" applyBorder="1" applyAlignment="1" applyProtection="1">
      <alignment horizontal="right"/>
      <protection locked="0"/>
    </xf>
    <xf numFmtId="3" fontId="29" fillId="2" borderId="6" xfId="1" applyNumberFormat="1" applyFont="1" applyFill="1" applyBorder="1" applyProtection="1"/>
    <xf numFmtId="3" fontId="29" fillId="2" borderId="6" xfId="1" applyNumberFormat="1" applyFont="1" applyFill="1" applyBorder="1" applyProtection="1">
      <protection locked="0"/>
    </xf>
    <xf numFmtId="3" fontId="29" fillId="2" borderId="34" xfId="1" applyNumberFormat="1" applyFont="1" applyFill="1" applyBorder="1" applyProtection="1">
      <protection locked="0"/>
    </xf>
    <xf numFmtId="3" fontId="29" fillId="2" borderId="6" xfId="1" applyNumberFormat="1" applyFont="1" applyFill="1" applyBorder="1" applyAlignment="1" applyProtection="1">
      <alignment horizontal="right"/>
      <protection locked="0"/>
    </xf>
    <xf numFmtId="3" fontId="29" fillId="2" borderId="35" xfId="1" applyNumberFormat="1" applyFont="1" applyFill="1" applyBorder="1" applyAlignment="1" applyProtection="1">
      <alignment horizontal="right"/>
      <protection locked="0"/>
    </xf>
    <xf numFmtId="3" fontId="29" fillId="2" borderId="34" xfId="1" applyNumberFormat="1" applyFont="1" applyFill="1" applyBorder="1" applyAlignment="1" applyProtection="1">
      <alignment horizontal="right"/>
      <protection locked="0"/>
    </xf>
    <xf numFmtId="3" fontId="2" fillId="0" borderId="5" xfId="1" applyNumberFormat="1" applyFont="1" applyBorder="1" applyAlignment="1" applyProtection="1">
      <alignment horizontal="left" indent="2"/>
    </xf>
    <xf numFmtId="3" fontId="30" fillId="0" borderId="25" xfId="1" applyNumberFormat="1" applyFont="1" applyFill="1" applyBorder="1" applyAlignment="1" applyProtection="1">
      <alignment horizontal="right"/>
      <protection locked="0"/>
    </xf>
    <xf numFmtId="3" fontId="30" fillId="0" borderId="24" xfId="1" applyNumberFormat="1" applyFont="1" applyFill="1" applyBorder="1" applyAlignment="1" applyProtection="1">
      <alignment horizontal="right"/>
      <protection locked="0"/>
    </xf>
    <xf numFmtId="3" fontId="30" fillId="0" borderId="5" xfId="1" applyNumberFormat="1" applyFont="1" applyFill="1" applyBorder="1" applyAlignment="1" applyProtection="1">
      <alignment horizontal="right"/>
      <protection locked="0"/>
    </xf>
    <xf numFmtId="10" fontId="29" fillId="4" borderId="4" xfId="2" applyNumberFormat="1" applyFont="1" applyFill="1" applyBorder="1" applyProtection="1">
      <protection locked="0"/>
    </xf>
    <xf numFmtId="10" fontId="29" fillId="4" borderId="30" xfId="2" applyNumberFormat="1" applyFont="1" applyFill="1" applyBorder="1" applyProtection="1">
      <protection locked="0"/>
    </xf>
    <xf numFmtId="10" fontId="29" fillId="4" borderId="4" xfId="2" applyNumberFormat="1" applyFont="1" applyFill="1" applyBorder="1" applyAlignment="1" applyProtection="1">
      <alignment horizontal="right"/>
      <protection locked="0"/>
    </xf>
    <xf numFmtId="10" fontId="29" fillId="4" borderId="31" xfId="2" applyNumberFormat="1" applyFont="1" applyFill="1" applyBorder="1" applyAlignment="1" applyProtection="1">
      <alignment horizontal="right"/>
      <protection locked="0"/>
    </xf>
    <xf numFmtId="10" fontId="29" fillId="4" borderId="30" xfId="2" applyNumberFormat="1" applyFont="1" applyFill="1" applyBorder="1" applyAlignment="1" applyProtection="1">
      <alignment horizontal="right"/>
      <protection locked="0"/>
    </xf>
    <xf numFmtId="10" fontId="30" fillId="0" borderId="0" xfId="2" applyNumberFormat="1" applyFont="1" applyBorder="1" applyProtection="1">
      <protection locked="0"/>
    </xf>
    <xf numFmtId="10" fontId="30" fillId="0" borderId="20" xfId="2" applyNumberFormat="1" applyFont="1" applyBorder="1" applyProtection="1">
      <protection locked="0"/>
    </xf>
    <xf numFmtId="10" fontId="30" fillId="0" borderId="0" xfId="2" applyNumberFormat="1" applyFont="1" applyBorder="1" applyAlignment="1" applyProtection="1">
      <alignment horizontal="right"/>
      <protection locked="0"/>
    </xf>
    <xf numFmtId="10" fontId="30" fillId="0" borderId="21" xfId="2" applyNumberFormat="1" applyFont="1" applyBorder="1" applyAlignment="1" applyProtection="1">
      <alignment horizontal="right"/>
      <protection locked="0"/>
    </xf>
    <xf numFmtId="10" fontId="30" fillId="0" borderId="20" xfId="2" applyNumberFormat="1" applyFont="1" applyBorder="1" applyAlignment="1" applyProtection="1">
      <alignment horizontal="right"/>
      <protection locked="0"/>
    </xf>
    <xf numFmtId="3" fontId="2" fillId="0" borderId="0" xfId="1" applyNumberFormat="1" applyFont="1" applyFill="1" applyBorder="1" applyAlignment="1" applyProtection="1">
      <alignment horizontal="left" indent="3"/>
    </xf>
    <xf numFmtId="3" fontId="30" fillId="0" borderId="0" xfId="1" applyNumberFormat="1" applyFont="1" applyFill="1" applyBorder="1" applyProtection="1">
      <protection locked="0"/>
    </xf>
    <xf numFmtId="3" fontId="30" fillId="0" borderId="20" xfId="1" applyNumberFormat="1" applyFont="1" applyFill="1" applyBorder="1" applyProtection="1">
      <protection locked="0"/>
    </xf>
    <xf numFmtId="3" fontId="2" fillId="0" borderId="5" xfId="1" applyNumberFormat="1" applyFont="1" applyBorder="1" applyAlignment="1" applyProtection="1">
      <alignment horizontal="left" indent="1"/>
    </xf>
    <xf numFmtId="3" fontId="29" fillId="2" borderId="4" xfId="1" applyNumberFormat="1" applyFont="1" applyFill="1" applyBorder="1" applyAlignment="1" applyProtection="1">
      <alignment horizontal="right"/>
      <protection locked="0"/>
    </xf>
    <xf numFmtId="3" fontId="29" fillId="2" borderId="31" xfId="1" applyNumberFormat="1" applyFont="1" applyFill="1" applyBorder="1" applyAlignment="1" applyProtection="1">
      <alignment horizontal="right"/>
      <protection locked="0"/>
    </xf>
    <xf numFmtId="3" fontId="29" fillId="2" borderId="30" xfId="1" applyNumberFormat="1" applyFont="1" applyFill="1" applyBorder="1" applyAlignment="1" applyProtection="1">
      <alignment horizontal="right"/>
      <protection locked="0"/>
    </xf>
    <xf numFmtId="3" fontId="2" fillId="2" borderId="0" xfId="1" applyNumberFormat="1" applyFont="1" applyFill="1" applyBorder="1" applyAlignment="1" applyProtection="1">
      <alignment horizontal="left" indent="3"/>
    </xf>
    <xf numFmtId="3" fontId="14" fillId="2" borderId="0" xfId="1" applyNumberFormat="1" applyFont="1" applyFill="1" applyBorder="1" applyProtection="1">
      <protection locked="0"/>
    </xf>
    <xf numFmtId="3" fontId="14" fillId="2" borderId="20" xfId="1" applyNumberFormat="1" applyFont="1" applyFill="1" applyBorder="1" applyProtection="1">
      <protection locked="0"/>
    </xf>
    <xf numFmtId="3" fontId="14" fillId="2" borderId="0" xfId="1" applyNumberFormat="1" applyFont="1" applyFill="1" applyBorder="1" applyAlignment="1" applyProtection="1">
      <alignment horizontal="right"/>
      <protection locked="0"/>
    </xf>
    <xf numFmtId="3" fontId="14" fillId="2" borderId="21" xfId="1" applyNumberFormat="1" applyFont="1" applyFill="1" applyBorder="1" applyAlignment="1" applyProtection="1">
      <alignment horizontal="right"/>
      <protection locked="0"/>
    </xf>
    <xf numFmtId="3" fontId="14" fillId="2" borderId="20" xfId="1" applyNumberFormat="1" applyFont="1" applyFill="1" applyBorder="1" applyAlignment="1" applyProtection="1">
      <alignment horizontal="right"/>
      <protection locked="0"/>
    </xf>
    <xf numFmtId="3" fontId="2" fillId="2" borderId="5" xfId="1" applyNumberFormat="1" applyFont="1" applyFill="1" applyBorder="1" applyAlignment="1" applyProtection="1">
      <alignment horizontal="left" indent="3"/>
    </xf>
    <xf numFmtId="3" fontId="14" fillId="2" borderId="5" xfId="1" applyNumberFormat="1" applyFont="1" applyFill="1" applyBorder="1" applyProtection="1">
      <protection locked="0"/>
    </xf>
    <xf numFmtId="3" fontId="14" fillId="2" borderId="24" xfId="1" applyNumberFormat="1" applyFont="1" applyFill="1" applyBorder="1" applyProtection="1">
      <protection locked="0"/>
    </xf>
    <xf numFmtId="3" fontId="14" fillId="2" borderId="5" xfId="1" applyNumberFormat="1" applyFont="1" applyFill="1" applyBorder="1" applyAlignment="1" applyProtection="1">
      <alignment horizontal="right"/>
      <protection locked="0"/>
    </xf>
    <xf numFmtId="3" fontId="14" fillId="2" borderId="25" xfId="1" applyNumberFormat="1" applyFont="1" applyFill="1" applyBorder="1" applyAlignment="1" applyProtection="1">
      <alignment horizontal="right"/>
      <protection locked="0"/>
    </xf>
    <xf numFmtId="3" fontId="14" fillId="2" borderId="24" xfId="1" applyNumberFormat="1" applyFont="1" applyFill="1" applyBorder="1" applyAlignment="1" applyProtection="1">
      <alignment horizontal="right"/>
      <protection locked="0"/>
    </xf>
    <xf numFmtId="3" fontId="14" fillId="0" borderId="0" xfId="1" applyNumberFormat="1" applyFont="1" applyBorder="1" applyProtection="1">
      <protection locked="0"/>
    </xf>
    <xf numFmtId="3" fontId="14" fillId="0" borderId="20" xfId="1" applyNumberFormat="1" applyFont="1" applyBorder="1" applyProtection="1">
      <protection locked="0"/>
    </xf>
    <xf numFmtId="3" fontId="14" fillId="0" borderId="0" xfId="1" applyNumberFormat="1" applyFont="1" applyBorder="1" applyAlignment="1" applyProtection="1">
      <alignment horizontal="right"/>
      <protection locked="0"/>
    </xf>
    <xf numFmtId="3" fontId="14" fillId="0" borderId="21" xfId="1" applyNumberFormat="1" applyFont="1" applyBorder="1" applyAlignment="1" applyProtection="1">
      <alignment horizontal="right"/>
      <protection locked="0"/>
    </xf>
    <xf numFmtId="3" fontId="14" fillId="0" borderId="20" xfId="1" applyNumberFormat="1" applyFont="1" applyBorder="1" applyAlignment="1" applyProtection="1">
      <alignment horizontal="right"/>
      <protection locked="0"/>
    </xf>
    <xf numFmtId="3" fontId="14" fillId="0" borderId="5" xfId="1" applyNumberFormat="1" applyFont="1" applyBorder="1" applyProtection="1">
      <protection locked="0"/>
    </xf>
    <xf numFmtId="3" fontId="14" fillId="0" borderId="24" xfId="1" applyNumberFormat="1" applyFont="1" applyBorder="1" applyProtection="1">
      <protection locked="0"/>
    </xf>
    <xf numFmtId="3" fontId="14" fillId="0" borderId="5" xfId="1" applyNumberFormat="1" applyFont="1" applyBorder="1" applyAlignment="1" applyProtection="1">
      <alignment horizontal="right"/>
      <protection locked="0"/>
    </xf>
    <xf numFmtId="3" fontId="14" fillId="0" borderId="25" xfId="1" applyNumberFormat="1" applyFont="1" applyBorder="1" applyAlignment="1" applyProtection="1">
      <alignment horizontal="right"/>
      <protection locked="0"/>
    </xf>
    <xf numFmtId="3" fontId="14" fillId="0" borderId="24" xfId="1" applyNumberFormat="1" applyFont="1" applyBorder="1" applyAlignment="1" applyProtection="1">
      <alignment horizontal="right"/>
      <protection locked="0"/>
    </xf>
    <xf numFmtId="3" fontId="2" fillId="0" borderId="5" xfId="1" applyNumberFormat="1" applyFont="1" applyBorder="1" applyProtection="1">
      <protection locked="0"/>
    </xf>
    <xf numFmtId="3" fontId="2" fillId="0" borderId="24" xfId="1" applyNumberFormat="1" applyFont="1" applyBorder="1" applyProtection="1">
      <protection locked="0"/>
    </xf>
    <xf numFmtId="3" fontId="2" fillId="0" borderId="5" xfId="1" applyNumberFormat="1" applyFont="1" applyBorder="1" applyAlignment="1" applyProtection="1">
      <alignment horizontal="right"/>
      <protection locked="0"/>
    </xf>
    <xf numFmtId="3" fontId="2" fillId="0" borderId="25" xfId="1" applyNumberFormat="1" applyFont="1" applyBorder="1" applyAlignment="1" applyProtection="1">
      <alignment horizontal="right"/>
      <protection locked="0"/>
    </xf>
    <xf numFmtId="3" fontId="2" fillId="0" borderId="24" xfId="1" applyNumberFormat="1" applyFont="1" applyBorder="1" applyAlignment="1" applyProtection="1">
      <alignment horizontal="right"/>
      <protection locked="0"/>
    </xf>
    <xf numFmtId="3" fontId="2" fillId="0" borderId="0" xfId="1" applyNumberFormat="1" applyFont="1" applyFill="1" applyBorder="1" applyAlignment="1" applyProtection="1">
      <alignment horizontal="left" indent="1"/>
    </xf>
    <xf numFmtId="9" fontId="30" fillId="0" borderId="0" xfId="2" applyFont="1" applyBorder="1" applyProtection="1">
      <protection locked="0"/>
    </xf>
    <xf numFmtId="9" fontId="30" fillId="0" borderId="20" xfId="2" applyFont="1" applyBorder="1" applyProtection="1">
      <protection locked="0"/>
    </xf>
    <xf numFmtId="9" fontId="30" fillId="0" borderId="0" xfId="2" applyFont="1" applyBorder="1" applyAlignment="1" applyProtection="1">
      <alignment horizontal="right"/>
      <protection locked="0"/>
    </xf>
    <xf numFmtId="9" fontId="30" fillId="0" borderId="21" xfId="2" applyFont="1" applyBorder="1" applyAlignment="1" applyProtection="1">
      <alignment horizontal="right"/>
      <protection locked="0"/>
    </xf>
    <xf numFmtId="9" fontId="30" fillId="0" borderId="20" xfId="2" applyFont="1" applyBorder="1" applyAlignment="1" applyProtection="1">
      <alignment horizontal="right"/>
      <protection locked="0"/>
    </xf>
    <xf numFmtId="3" fontId="2" fillId="0" borderId="0" xfId="1" applyNumberFormat="1" applyFont="1" applyBorder="1" applyAlignment="1" applyProtection="1">
      <alignment horizontal="left" indent="3"/>
    </xf>
    <xf numFmtId="3" fontId="2" fillId="0" borderId="4" xfId="1" applyNumberFormat="1" applyFont="1" applyBorder="1" applyProtection="1"/>
    <xf numFmtId="164" fontId="2" fillId="0" borderId="4" xfId="2" applyNumberFormat="1" applyFont="1" applyBorder="1" applyAlignment="1" applyProtection="1">
      <alignment horizontal="center"/>
      <protection locked="0"/>
    </xf>
    <xf numFmtId="164" fontId="2" fillId="0" borderId="30" xfId="2" applyNumberFormat="1" applyFont="1" applyBorder="1" applyAlignment="1" applyProtection="1">
      <alignment horizontal="center"/>
      <protection locked="0"/>
    </xf>
    <xf numFmtId="164" fontId="2" fillId="0" borderId="4" xfId="2" applyNumberFormat="1" applyFont="1" applyBorder="1" applyAlignment="1" applyProtection="1">
      <alignment horizontal="right"/>
      <protection locked="0"/>
    </xf>
    <xf numFmtId="164" fontId="2" fillId="0" borderId="31" xfId="2" applyNumberFormat="1" applyFont="1" applyBorder="1" applyAlignment="1" applyProtection="1">
      <alignment horizontal="right"/>
      <protection locked="0"/>
    </xf>
    <xf numFmtId="164" fontId="2" fillId="0" borderId="30" xfId="2" applyNumberFormat="1" applyFont="1" applyBorder="1" applyAlignment="1" applyProtection="1">
      <alignment horizontal="right"/>
      <protection locked="0"/>
    </xf>
    <xf numFmtId="164" fontId="2" fillId="0" borderId="0" xfId="2" applyNumberFormat="1" applyFont="1" applyBorder="1" applyAlignment="1" applyProtection="1">
      <alignment horizontal="center"/>
      <protection locked="0"/>
    </xf>
    <xf numFmtId="164" fontId="2" fillId="0" borderId="20" xfId="2" applyNumberFormat="1" applyFont="1" applyBorder="1" applyAlignment="1" applyProtection="1">
      <alignment horizontal="center"/>
      <protection locked="0"/>
    </xf>
    <xf numFmtId="164" fontId="2" fillId="0" borderId="0" xfId="2" applyNumberFormat="1" applyFont="1" applyBorder="1" applyAlignment="1" applyProtection="1">
      <alignment horizontal="right"/>
      <protection locked="0"/>
    </xf>
    <xf numFmtId="164" fontId="2" fillId="0" borderId="21" xfId="2" applyNumberFormat="1" applyFont="1" applyBorder="1" applyAlignment="1" applyProtection="1">
      <alignment horizontal="right"/>
      <protection locked="0"/>
    </xf>
    <xf numFmtId="164" fontId="2" fillId="0" borderId="20" xfId="2" applyNumberFormat="1" applyFont="1" applyBorder="1" applyAlignment="1" applyProtection="1">
      <alignment horizontal="right"/>
      <protection locked="0"/>
    </xf>
    <xf numFmtId="3" fontId="2" fillId="0" borderId="5" xfId="1" applyNumberFormat="1" applyFont="1" applyBorder="1" applyProtection="1"/>
    <xf numFmtId="164" fontId="2" fillId="0" borderId="5" xfId="2" applyNumberFormat="1" applyFont="1" applyBorder="1" applyAlignment="1" applyProtection="1">
      <alignment horizontal="center"/>
      <protection locked="0"/>
    </xf>
    <xf numFmtId="164" fontId="2" fillId="0" borderId="24" xfId="2" applyNumberFormat="1" applyFont="1" applyBorder="1" applyAlignment="1" applyProtection="1">
      <alignment horizontal="center"/>
      <protection locked="0"/>
    </xf>
    <xf numFmtId="164" fontId="2" fillId="0" borderId="5" xfId="2" applyNumberFormat="1" applyFont="1" applyBorder="1" applyAlignment="1" applyProtection="1">
      <alignment horizontal="right"/>
      <protection locked="0"/>
    </xf>
    <xf numFmtId="164" fontId="2" fillId="0" borderId="25" xfId="2" applyNumberFormat="1" applyFont="1" applyBorder="1" applyAlignment="1" applyProtection="1">
      <alignment horizontal="right"/>
      <protection locked="0"/>
    </xf>
    <xf numFmtId="164" fontId="2" fillId="0" borderId="24" xfId="2" applyNumberFormat="1" applyFont="1" applyBorder="1" applyAlignment="1" applyProtection="1">
      <alignment horizontal="right"/>
      <protection locked="0"/>
    </xf>
    <xf numFmtId="164" fontId="29" fillId="4" borderId="4" xfId="2" applyNumberFormat="1" applyFont="1" applyFill="1" applyBorder="1" applyAlignment="1" applyProtection="1">
      <alignment horizontal="center"/>
      <protection locked="0"/>
    </xf>
    <xf numFmtId="164" fontId="29" fillId="4" borderId="30" xfId="2" applyNumberFormat="1" applyFont="1" applyFill="1" applyBorder="1" applyAlignment="1" applyProtection="1">
      <alignment horizontal="center"/>
      <protection locked="0"/>
    </xf>
    <xf numFmtId="164" fontId="29" fillId="4" borderId="4" xfId="2" applyNumberFormat="1" applyFont="1" applyFill="1" applyBorder="1" applyAlignment="1" applyProtection="1">
      <alignment horizontal="right"/>
      <protection locked="0"/>
    </xf>
    <xf numFmtId="164" fontId="29" fillId="4" borderId="31" xfId="2" applyNumberFormat="1" applyFont="1" applyFill="1" applyBorder="1" applyAlignment="1" applyProtection="1">
      <alignment horizontal="right"/>
      <protection locked="0"/>
    </xf>
    <xf numFmtId="164" fontId="29" fillId="4" borderId="30" xfId="2" applyNumberFormat="1" applyFont="1" applyFill="1" applyBorder="1" applyAlignment="1" applyProtection="1">
      <alignment horizontal="right"/>
      <protection locked="0"/>
    </xf>
    <xf numFmtId="165" fontId="33" fillId="4" borderId="4" xfId="1" applyNumberFormat="1" applyFont="1" applyFill="1" applyBorder="1" applyAlignment="1" applyProtection="1">
      <alignment horizontal="center"/>
      <protection locked="0"/>
    </xf>
    <xf numFmtId="165" fontId="33" fillId="4" borderId="30" xfId="1" applyNumberFormat="1" applyFont="1" applyFill="1" applyBorder="1" applyAlignment="1" applyProtection="1">
      <alignment horizontal="center"/>
      <protection locked="0"/>
    </xf>
    <xf numFmtId="165" fontId="33" fillId="4" borderId="4" xfId="1" applyNumberFormat="1" applyFont="1" applyFill="1" applyBorder="1" applyAlignment="1" applyProtection="1">
      <alignment horizontal="right"/>
      <protection locked="0"/>
    </xf>
    <xf numFmtId="165" fontId="33" fillId="4" borderId="31" xfId="1" applyNumberFormat="1" applyFont="1" applyFill="1" applyBorder="1" applyAlignment="1" applyProtection="1">
      <alignment horizontal="right"/>
      <protection locked="0"/>
    </xf>
    <xf numFmtId="165" fontId="33" fillId="4" borderId="30" xfId="1" applyNumberFormat="1" applyFont="1" applyFill="1" applyBorder="1" applyAlignment="1" applyProtection="1">
      <alignment horizontal="right"/>
      <protection locked="0"/>
    </xf>
    <xf numFmtId="165" fontId="14" fillId="0" borderId="0" xfId="1" applyNumberFormat="1" applyFont="1" applyBorder="1" applyAlignment="1" applyProtection="1">
      <alignment horizontal="center"/>
      <protection locked="0"/>
    </xf>
    <xf numFmtId="165" fontId="14" fillId="0" borderId="20" xfId="1" applyNumberFormat="1" applyFont="1" applyBorder="1" applyAlignment="1" applyProtection="1">
      <alignment horizontal="center"/>
      <protection locked="0"/>
    </xf>
    <xf numFmtId="165" fontId="14" fillId="0" borderId="0" xfId="1" applyNumberFormat="1" applyFont="1" applyBorder="1" applyAlignment="1" applyProtection="1">
      <alignment horizontal="right"/>
      <protection locked="0"/>
    </xf>
    <xf numFmtId="165" fontId="14" fillId="0" borderId="21" xfId="1" applyNumberFormat="1" applyFont="1" applyBorder="1" applyAlignment="1" applyProtection="1">
      <alignment horizontal="right"/>
      <protection locked="0"/>
    </xf>
    <xf numFmtId="165" fontId="14" fillId="0" borderId="20" xfId="1" applyNumberFormat="1" applyFont="1" applyBorder="1" applyAlignment="1" applyProtection="1">
      <alignment horizontal="right"/>
      <protection locked="0"/>
    </xf>
    <xf numFmtId="3" fontId="29" fillId="4" borderId="21" xfId="1" applyNumberFormat="1" applyFont="1" applyFill="1" applyBorder="1" applyProtection="1">
      <protection locked="0"/>
    </xf>
    <xf numFmtId="3" fontId="30" fillId="0" borderId="25" xfId="1" applyNumberFormat="1" applyFont="1" applyBorder="1" applyProtection="1">
      <protection locked="0"/>
    </xf>
    <xf numFmtId="3" fontId="29" fillId="4" borderId="2" xfId="1" applyNumberFormat="1" applyFont="1" applyFill="1" applyBorder="1" applyProtection="1"/>
    <xf numFmtId="3" fontId="29" fillId="4" borderId="2" xfId="1" applyNumberFormat="1" applyFont="1" applyFill="1" applyBorder="1" applyProtection="1">
      <protection locked="0"/>
    </xf>
    <xf numFmtId="3" fontId="29" fillId="4" borderId="27" xfId="1" applyNumberFormat="1" applyFont="1" applyFill="1" applyBorder="1" applyProtection="1">
      <protection locked="0"/>
    </xf>
    <xf numFmtId="3" fontId="29" fillId="4" borderId="26" xfId="1" applyNumberFormat="1" applyFont="1" applyFill="1" applyBorder="1" applyProtection="1">
      <protection locked="0"/>
    </xf>
    <xf numFmtId="3" fontId="31" fillId="0" borderId="0" xfId="1" applyNumberFormat="1" applyFont="1" applyProtection="1">
      <protection locked="0"/>
    </xf>
    <xf numFmtId="3" fontId="29" fillId="4" borderId="31" xfId="1" applyNumberFormat="1" applyFont="1" applyFill="1" applyBorder="1" applyProtection="1">
      <protection locked="0"/>
    </xf>
    <xf numFmtId="3" fontId="29" fillId="4" borderId="5" xfId="1" applyNumberFormat="1" applyFont="1" applyFill="1" applyBorder="1" applyProtection="1"/>
    <xf numFmtId="3" fontId="31" fillId="4" borderId="5" xfId="1" applyNumberFormat="1" applyFont="1" applyFill="1" applyBorder="1" applyProtection="1">
      <protection locked="0"/>
    </xf>
    <xf numFmtId="3" fontId="31" fillId="4" borderId="25" xfId="1" applyNumberFormat="1" applyFont="1" applyFill="1" applyBorder="1" applyProtection="1">
      <protection locked="0"/>
    </xf>
    <xf numFmtId="3" fontId="31" fillId="4" borderId="24" xfId="1" applyNumberFormat="1" applyFont="1" applyFill="1" applyBorder="1" applyProtection="1">
      <protection locked="0"/>
    </xf>
    <xf numFmtId="3" fontId="31" fillId="4" borderId="4" xfId="1" applyNumberFormat="1" applyFont="1" applyFill="1" applyBorder="1" applyProtection="1">
      <protection locked="0"/>
    </xf>
    <xf numFmtId="3" fontId="31" fillId="4" borderId="31" xfId="1" applyNumberFormat="1" applyFont="1" applyFill="1" applyBorder="1" applyProtection="1">
      <protection locked="0"/>
    </xf>
    <xf numFmtId="3" fontId="31" fillId="4" borderId="30" xfId="1" applyNumberFormat="1" applyFont="1" applyFill="1" applyBorder="1" applyProtection="1">
      <protection locked="0"/>
    </xf>
    <xf numFmtId="9" fontId="30" fillId="0" borderId="21" xfId="2" applyFont="1" applyBorder="1" applyProtection="1">
      <protection locked="0"/>
    </xf>
    <xf numFmtId="3" fontId="29" fillId="0" borderId="21" xfId="1" applyNumberFormat="1" applyFont="1" applyBorder="1" applyProtection="1">
      <protection locked="0"/>
    </xf>
    <xf numFmtId="3" fontId="29" fillId="4" borderId="0" xfId="1" applyNumberFormat="1" applyFont="1" applyFill="1" applyBorder="1" applyAlignment="1" applyProtection="1">
      <alignment horizontal="right"/>
      <protection locked="0"/>
    </xf>
    <xf numFmtId="3" fontId="29" fillId="4" borderId="21" xfId="1" applyNumberFormat="1" applyFont="1" applyFill="1" applyBorder="1" applyAlignment="1" applyProtection="1">
      <alignment horizontal="right"/>
      <protection locked="0"/>
    </xf>
    <xf numFmtId="3" fontId="29" fillId="4" borderId="20" xfId="1" applyNumberFormat="1" applyFont="1" applyFill="1" applyBorder="1" applyAlignment="1" applyProtection="1">
      <alignment horizontal="right"/>
      <protection locked="0"/>
    </xf>
    <xf numFmtId="3" fontId="14" fillId="0" borderId="0" xfId="1" applyNumberFormat="1" applyFont="1" applyFill="1" applyBorder="1" applyAlignment="1" applyProtection="1">
      <alignment horizontal="right"/>
      <protection locked="0"/>
    </xf>
    <xf numFmtId="3" fontId="25" fillId="3" borderId="6" xfId="1" applyNumberFormat="1" applyFont="1" applyFill="1" applyBorder="1" applyAlignment="1" applyProtection="1">
      <alignment horizontal="center"/>
    </xf>
    <xf numFmtId="3" fontId="25" fillId="3" borderId="35" xfId="1" applyNumberFormat="1" applyFont="1" applyFill="1" applyBorder="1" applyAlignment="1" applyProtection="1">
      <alignment horizontal="center"/>
    </xf>
    <xf numFmtId="3" fontId="25" fillId="3" borderId="34" xfId="1" applyNumberFormat="1" applyFont="1" applyFill="1" applyBorder="1" applyAlignment="1" applyProtection="1">
      <alignment horizontal="center"/>
    </xf>
    <xf numFmtId="3" fontId="29" fillId="2" borderId="2" xfId="1" applyNumberFormat="1" applyFont="1" applyFill="1" applyBorder="1" applyProtection="1"/>
    <xf numFmtId="3" fontId="29" fillId="2" borderId="2" xfId="1" applyNumberFormat="1" applyFont="1" applyFill="1" applyBorder="1" applyProtection="1">
      <protection locked="0"/>
    </xf>
    <xf numFmtId="3" fontId="29" fillId="2" borderId="27" xfId="1" applyNumberFormat="1" applyFont="1" applyFill="1" applyBorder="1" applyProtection="1">
      <protection locked="0"/>
    </xf>
    <xf numFmtId="3" fontId="29" fillId="2" borderId="26" xfId="1" applyNumberFormat="1" applyFont="1" applyFill="1" applyBorder="1" applyProtection="1">
      <protection locked="0"/>
    </xf>
    <xf numFmtId="3" fontId="31" fillId="4" borderId="2" xfId="1" applyNumberFormat="1" applyFont="1" applyFill="1" applyBorder="1" applyProtection="1">
      <protection locked="0"/>
    </xf>
    <xf numFmtId="3" fontId="31" fillId="4" borderId="27" xfId="1" applyNumberFormat="1" applyFont="1" applyFill="1" applyBorder="1" applyProtection="1">
      <protection locked="0"/>
    </xf>
    <xf numFmtId="3" fontId="31" fillId="4" borderId="26" xfId="1" applyNumberFormat="1" applyFont="1" applyFill="1" applyBorder="1" applyProtection="1">
      <protection locked="0"/>
    </xf>
    <xf numFmtId="3" fontId="29" fillId="0" borderId="0" xfId="1" applyNumberFormat="1" applyFont="1" applyBorder="1" applyProtection="1"/>
    <xf numFmtId="3" fontId="31" fillId="0" borderId="21" xfId="1" applyNumberFormat="1" applyFont="1" applyBorder="1" applyProtection="1">
      <protection locked="0"/>
    </xf>
    <xf numFmtId="3" fontId="31" fillId="0" borderId="20" xfId="1" applyNumberFormat="1" applyFont="1" applyBorder="1" applyProtection="1">
      <protection locked="0"/>
    </xf>
    <xf numFmtId="3" fontId="31" fillId="0" borderId="0" xfId="1" applyNumberFormat="1" applyFont="1" applyBorder="1" applyProtection="1">
      <protection locked="0"/>
    </xf>
    <xf numFmtId="3" fontId="31" fillId="0" borderId="0" xfId="1" applyNumberFormat="1" applyFont="1" applyFill="1" applyBorder="1" applyProtection="1">
      <protection locked="0"/>
    </xf>
    <xf numFmtId="170" fontId="17" fillId="10" borderId="37" xfId="50" applyNumberFormat="1" applyFont="1" applyFill="1" applyBorder="1" applyAlignment="1">
      <alignment horizontal="center" vertical="center" wrapText="1"/>
    </xf>
    <xf numFmtId="0" fontId="15" fillId="10" borderId="41" xfId="52" applyFont="1" applyFill="1" applyBorder="1" applyAlignment="1">
      <alignment horizontal="left" vertical="center" wrapText="1"/>
    </xf>
    <xf numFmtId="0" fontId="15" fillId="10" borderId="41" xfId="52" applyFont="1" applyFill="1" applyBorder="1" applyAlignment="1">
      <alignment horizontal="center" vertical="center" wrapText="1"/>
    </xf>
    <xf numFmtId="169" fontId="15" fillId="10" borderId="41" xfId="50" quotePrefix="1" applyNumberFormat="1" applyFont="1" applyFill="1" applyBorder="1" applyAlignment="1">
      <alignment horizontal="center" vertical="center" wrapText="1"/>
    </xf>
    <xf numFmtId="170" fontId="17" fillId="10" borderId="41" xfId="50" applyNumberFormat="1" applyFont="1" applyFill="1" applyBorder="1" applyAlignment="1">
      <alignment horizontal="center" vertical="center" wrapText="1"/>
    </xf>
    <xf numFmtId="164" fontId="15" fillId="10" borderId="41" xfId="51" applyNumberFormat="1" applyFont="1" applyFill="1" applyBorder="1" applyAlignment="1">
      <alignment horizontal="center" vertical="center" wrapText="1"/>
    </xf>
    <xf numFmtId="0" fontId="15" fillId="10" borderId="46" xfId="52" applyFont="1" applyFill="1" applyBorder="1" applyAlignment="1">
      <alignment horizontal="center" vertical="center" wrapText="1"/>
    </xf>
    <xf numFmtId="169" fontId="15" fillId="10" borderId="46" xfId="50" quotePrefix="1" applyNumberFormat="1" applyFont="1" applyFill="1" applyBorder="1" applyAlignment="1">
      <alignment horizontal="center" vertical="center" wrapText="1"/>
    </xf>
    <xf numFmtId="170" fontId="17" fillId="10" borderId="46" xfId="50" applyNumberFormat="1" applyFont="1" applyFill="1" applyBorder="1" applyAlignment="1">
      <alignment horizontal="center" vertical="center" wrapText="1"/>
    </xf>
    <xf numFmtId="164" fontId="15" fillId="10" borderId="47" xfId="51" applyNumberFormat="1" applyFont="1" applyFill="1" applyBorder="1" applyAlignment="1">
      <alignment horizontal="center" vertical="center" wrapText="1"/>
    </xf>
    <xf numFmtId="169" fontId="15" fillId="10" borderId="41" xfId="50" applyNumberFormat="1" applyFont="1" applyFill="1" applyBorder="1" applyAlignment="1">
      <alignment horizontal="center" vertical="center" wrapText="1"/>
    </xf>
    <xf numFmtId="0" fontId="15" fillId="10" borderId="38" xfId="52" applyFont="1" applyFill="1" applyBorder="1" applyAlignment="1">
      <alignment horizontal="left" vertical="center" wrapText="1"/>
    </xf>
    <xf numFmtId="0" fontId="15" fillId="10" borderId="38" xfId="52" applyFont="1" applyFill="1" applyBorder="1" applyAlignment="1">
      <alignment horizontal="center" vertical="center" wrapText="1"/>
    </xf>
    <xf numFmtId="169" fontId="15" fillId="10" borderId="38" xfId="50" quotePrefix="1" applyNumberFormat="1" applyFont="1" applyFill="1" applyBorder="1" applyAlignment="1">
      <alignment horizontal="center" vertical="center" wrapText="1"/>
    </xf>
    <xf numFmtId="170" fontId="17" fillId="10" borderId="38" xfId="50" applyNumberFormat="1" applyFont="1" applyFill="1" applyBorder="1" applyAlignment="1">
      <alignment horizontal="center" vertical="center" wrapText="1"/>
    </xf>
    <xf numFmtId="164" fontId="15" fillId="10" borderId="38" xfId="51" applyNumberFormat="1" applyFont="1" applyFill="1" applyBorder="1" applyAlignment="1">
      <alignment horizontal="center" vertical="center" wrapText="1"/>
    </xf>
    <xf numFmtId="169" fontId="15" fillId="10" borderId="38" xfId="50" applyNumberFormat="1" applyFont="1" applyFill="1" applyBorder="1" applyAlignment="1">
      <alignment horizontal="center" vertical="center" wrapText="1"/>
    </xf>
    <xf numFmtId="169" fontId="15" fillId="10" borderId="48" xfId="50" applyNumberFormat="1" applyFont="1" applyFill="1" applyBorder="1" applyAlignment="1">
      <alignment horizontal="center" vertical="center" wrapText="1"/>
    </xf>
    <xf numFmtId="170" fontId="16" fillId="10" borderId="41" xfId="50" applyNumberFormat="1" applyFont="1" applyFill="1" applyBorder="1" applyAlignment="1">
      <alignment horizontal="center" vertical="center" wrapText="1"/>
    </xf>
    <xf numFmtId="164" fontId="16" fillId="10" borderId="41" xfId="51" applyNumberFormat="1" applyFont="1" applyFill="1" applyBorder="1" applyAlignment="1">
      <alignment horizontal="center" vertical="center" wrapText="1"/>
    </xf>
    <xf numFmtId="3" fontId="1" fillId="0" borderId="0" xfId="1" applyNumberFormat="1" applyFont="1" applyProtection="1">
      <protection locked="0"/>
    </xf>
    <xf numFmtId="3" fontId="1" fillId="0" borderId="0" xfId="1" applyNumberFormat="1" applyFont="1" applyBorder="1" applyAlignment="1" applyProtection="1">
      <alignment horizontal="right"/>
      <protection locked="0"/>
    </xf>
    <xf numFmtId="3" fontId="1" fillId="0" borderId="20" xfId="1" applyNumberFormat="1" applyFont="1" applyBorder="1" applyAlignment="1" applyProtection="1">
      <alignment horizontal="right"/>
      <protection locked="0"/>
    </xf>
    <xf numFmtId="3" fontId="2" fillId="11" borderId="17" xfId="1" applyNumberFormat="1" applyFont="1" applyFill="1" applyBorder="1" applyAlignment="1" applyProtection="1">
      <alignment horizontal="right"/>
      <protection locked="0"/>
    </xf>
    <xf numFmtId="3" fontId="2" fillId="11" borderId="0" xfId="1" applyNumberFormat="1" applyFont="1" applyFill="1" applyBorder="1" applyProtection="1">
      <protection locked="0"/>
    </xf>
    <xf numFmtId="3" fontId="2" fillId="11" borderId="17" xfId="1" applyNumberFormat="1" applyFont="1" applyFill="1" applyBorder="1" applyProtection="1">
      <protection locked="0"/>
    </xf>
    <xf numFmtId="3" fontId="40" fillId="0" borderId="0" xfId="1" applyNumberFormat="1" applyFont="1" applyBorder="1" applyAlignment="1" applyProtection="1">
      <alignment horizontal="right"/>
      <protection locked="0"/>
    </xf>
    <xf numFmtId="3" fontId="40" fillId="0" borderId="20" xfId="1" applyNumberFormat="1" applyFont="1" applyBorder="1" applyAlignment="1" applyProtection="1">
      <alignment horizontal="right"/>
      <protection locked="0"/>
    </xf>
    <xf numFmtId="3" fontId="1" fillId="0" borderId="0" xfId="1" applyNumberFormat="1" applyFont="1" applyAlignment="1">
      <alignment horizontal="left" indent="1"/>
    </xf>
    <xf numFmtId="166" fontId="28" fillId="12" borderId="20" xfId="1" applyNumberFormat="1" applyFont="1" applyFill="1" applyBorder="1" applyProtection="1">
      <protection locked="0"/>
    </xf>
    <xf numFmtId="3" fontId="29" fillId="0" borderId="4" xfId="1" applyNumberFormat="1" applyFont="1" applyFill="1" applyBorder="1"/>
    <xf numFmtId="165" fontId="33" fillId="4" borderId="0" xfId="1" applyNumberFormat="1" applyFont="1" applyFill="1" applyBorder="1" applyAlignment="1">
      <alignment horizontal="center"/>
    </xf>
    <xf numFmtId="165" fontId="33" fillId="4" borderId="21" xfId="1" applyNumberFormat="1" applyFont="1" applyFill="1" applyBorder="1" applyAlignment="1">
      <alignment horizontal="center"/>
    </xf>
    <xf numFmtId="3" fontId="29" fillId="0" borderId="0" xfId="1" applyNumberFormat="1" applyFont="1" applyBorder="1" applyAlignment="1">
      <alignment horizontal="center"/>
    </xf>
    <xf numFmtId="3" fontId="36" fillId="0" borderId="0" xfId="1" applyNumberFormat="1" applyFont="1" applyFill="1" applyBorder="1"/>
    <xf numFmtId="3" fontId="1" fillId="0" borderId="0" xfId="1" applyNumberFormat="1" applyFont="1" applyProtection="1"/>
    <xf numFmtId="3" fontId="1" fillId="0" borderId="0" xfId="1" applyNumberFormat="1" applyFont="1" applyBorder="1" applyProtection="1"/>
    <xf numFmtId="3" fontId="1" fillId="0" borderId="0" xfId="1" applyNumberFormat="1" applyFont="1" applyBorder="1" applyAlignment="1" applyProtection="1">
      <alignment horizontal="left" indent="1"/>
    </xf>
    <xf numFmtId="3" fontId="1" fillId="0" borderId="0" xfId="1" applyNumberFormat="1" applyFont="1" applyBorder="1" applyProtection="1">
      <protection locked="0"/>
    </xf>
    <xf numFmtId="3" fontId="1" fillId="0" borderId="0" xfId="1" applyNumberFormat="1" applyFont="1" applyAlignment="1" applyProtection="1">
      <alignment horizontal="left" indent="3"/>
    </xf>
    <xf numFmtId="3" fontId="1" fillId="0" borderId="21" xfId="1" applyNumberFormat="1" applyFont="1" applyBorder="1" applyProtection="1">
      <protection locked="0"/>
    </xf>
    <xf numFmtId="3" fontId="1" fillId="0" borderId="20" xfId="1" applyNumberFormat="1" applyFont="1" applyBorder="1" applyProtection="1">
      <protection locked="0"/>
    </xf>
    <xf numFmtId="3" fontId="1" fillId="0" borderId="0" xfId="1" applyNumberFormat="1" applyFont="1" applyBorder="1" applyAlignment="1" applyProtection="1">
      <alignment horizontal="left" indent="3"/>
    </xf>
    <xf numFmtId="3" fontId="1" fillId="0" borderId="5" xfId="1" applyNumberFormat="1" applyFont="1" applyBorder="1" applyAlignment="1" applyProtection="1">
      <alignment horizontal="left" indent="1"/>
    </xf>
    <xf numFmtId="3" fontId="1" fillId="0" borderId="5" xfId="1" applyNumberFormat="1" applyFont="1" applyBorder="1" applyProtection="1">
      <protection locked="0"/>
    </xf>
    <xf numFmtId="3" fontId="1" fillId="0" borderId="25" xfId="1" applyNumberFormat="1" applyFont="1" applyBorder="1" applyProtection="1">
      <protection locked="0"/>
    </xf>
    <xf numFmtId="3" fontId="1" fillId="0" borderId="24" xfId="1" applyNumberFormat="1" applyFont="1" applyBorder="1" applyProtection="1">
      <protection locked="0"/>
    </xf>
    <xf numFmtId="3" fontId="1" fillId="0" borderId="0" xfId="1" applyNumberFormat="1" applyFont="1" applyBorder="1" applyAlignment="1" applyProtection="1">
      <alignment horizontal="left" indent="2"/>
    </xf>
    <xf numFmtId="3" fontId="1" fillId="0" borderId="5" xfId="1" applyNumberFormat="1" applyFont="1" applyBorder="1" applyAlignment="1" applyProtection="1">
      <alignment horizontal="left" indent="2"/>
    </xf>
    <xf numFmtId="166" fontId="1" fillId="0" borderId="0" xfId="1" applyNumberFormat="1" applyFont="1" applyBorder="1" applyAlignment="1" applyProtection="1">
      <alignment horizontal="left" indent="2"/>
    </xf>
    <xf numFmtId="0" fontId="14" fillId="0" borderId="0" xfId="4" applyAlignment="1">
      <alignment vertical="center"/>
    </xf>
    <xf numFmtId="0" fontId="19" fillId="0" borderId="0" xfId="49" applyFont="1" applyAlignment="1">
      <alignment horizontal="center" vertical="center"/>
    </xf>
    <xf numFmtId="0" fontId="20" fillId="0" borderId="0" xfId="49" applyFont="1" applyAlignment="1">
      <alignment vertical="center"/>
    </xf>
    <xf numFmtId="0" fontId="19" fillId="0" borderId="0" xfId="49" applyFont="1" applyAlignment="1">
      <alignment vertical="center"/>
    </xf>
    <xf numFmtId="3" fontId="19" fillId="0" borderId="0" xfId="49" applyNumberFormat="1" applyFont="1" applyAlignment="1">
      <alignment vertical="center"/>
    </xf>
    <xf numFmtId="0" fontId="21" fillId="0" borderId="0" xfId="49" applyFont="1" applyAlignment="1">
      <alignment horizontal="center" vertical="center"/>
    </xf>
    <xf numFmtId="0" fontId="22" fillId="9" borderId="0" xfId="52" applyFont="1" applyFill="1" applyAlignment="1">
      <alignment horizontal="center" vertical="center" wrapText="1"/>
    </xf>
    <xf numFmtId="0" fontId="22" fillId="9" borderId="0" xfId="52" applyFont="1" applyFill="1" applyAlignment="1">
      <alignment horizontal="center" vertical="center"/>
    </xf>
    <xf numFmtId="0" fontId="23" fillId="9" borderId="0" xfId="49" applyFont="1" applyFill="1" applyAlignment="1">
      <alignment horizontal="center" vertical="center" wrapText="1"/>
    </xf>
    <xf numFmtId="0" fontId="26" fillId="0" borderId="0" xfId="0" applyFont="1" applyAlignment="1">
      <alignment horizontal="right"/>
    </xf>
    <xf numFmtId="14" fontId="26" fillId="0" borderId="0" xfId="0" applyNumberFormat="1" applyFont="1" applyAlignment="1">
      <alignment horizontal="left"/>
    </xf>
    <xf numFmtId="166" fontId="1" fillId="0" borderId="0" xfId="1" applyNumberFormat="1" applyFont="1" applyBorder="1" applyAlignment="1" applyProtection="1">
      <alignment horizontal="left" indent="1"/>
    </xf>
    <xf numFmtId="3" fontId="1" fillId="0" borderId="0" xfId="1" applyNumberFormat="1" applyFont="1" applyBorder="1"/>
    <xf numFmtId="0" fontId="25" fillId="3" borderId="22" xfId="1" applyNumberFormat="1" applyFont="1" applyFill="1" applyBorder="1" applyAlignment="1" applyProtection="1">
      <alignment horizontal="center"/>
    </xf>
    <xf numFmtId="43" fontId="30" fillId="0" borderId="20" xfId="2" applyNumberFormat="1" applyFont="1" applyBorder="1" applyProtection="1">
      <protection locked="0"/>
    </xf>
    <xf numFmtId="43" fontId="30" fillId="0" borderId="20" xfId="1" applyFont="1" applyBorder="1" applyAlignment="1" applyProtection="1">
      <alignment horizontal="right"/>
      <protection locked="0"/>
    </xf>
    <xf numFmtId="43" fontId="30" fillId="0" borderId="0" xfId="1" applyFont="1" applyBorder="1" applyAlignment="1" applyProtection="1">
      <alignment horizontal="right"/>
      <protection locked="0"/>
    </xf>
    <xf numFmtId="43" fontId="14" fillId="4" borderId="0" xfId="1" applyFont="1" applyFill="1" applyBorder="1" applyAlignment="1" applyProtection="1">
      <alignment horizontal="right"/>
      <protection locked="0"/>
    </xf>
    <xf numFmtId="43" fontId="2" fillId="0" borderId="0" xfId="1" applyFont="1" applyBorder="1" applyAlignment="1" applyProtection="1">
      <alignment horizontal="right"/>
      <protection locked="0"/>
    </xf>
    <xf numFmtId="43" fontId="14" fillId="2" borderId="5" xfId="1" applyFont="1" applyFill="1" applyBorder="1" applyAlignment="1" applyProtection="1">
      <alignment horizontal="right"/>
      <protection locked="0"/>
    </xf>
    <xf numFmtId="43" fontId="2" fillId="0" borderId="5" xfId="1" applyFont="1" applyBorder="1" applyAlignment="1" applyProtection="1">
      <alignment horizontal="right"/>
      <protection locked="0"/>
    </xf>
    <xf numFmtId="43" fontId="30" fillId="0" borderId="0" xfId="1" applyFont="1" applyFill="1" applyBorder="1" applyAlignment="1" applyProtection="1">
      <alignment horizontal="right"/>
      <protection locked="0"/>
    </xf>
    <xf numFmtId="43" fontId="30" fillId="0" borderId="0" xfId="1" applyFont="1" applyBorder="1"/>
    <xf numFmtId="3" fontId="14" fillId="0" borderId="5" xfId="1" applyNumberFormat="1" applyFont="1" applyFill="1" applyBorder="1"/>
    <xf numFmtId="3" fontId="14" fillId="0" borderId="4" xfId="1" applyNumberFormat="1" applyFont="1" applyFill="1" applyBorder="1"/>
    <xf numFmtId="43" fontId="30" fillId="0" borderId="0" xfId="1" applyFont="1" applyFill="1" applyBorder="1"/>
    <xf numFmtId="166" fontId="14" fillId="0" borderId="20" xfId="1" applyNumberFormat="1" applyFont="1" applyFill="1" applyBorder="1" applyProtection="1">
      <protection locked="0"/>
    </xf>
    <xf numFmtId="166" fontId="2" fillId="0" borderId="0" xfId="1" applyNumberFormat="1" applyFont="1" applyFill="1" applyProtection="1"/>
    <xf numFmtId="3" fontId="33" fillId="0" borderId="0" xfId="1" applyNumberFormat="1" applyFont="1" applyFill="1" applyBorder="1" applyAlignment="1" applyProtection="1">
      <alignment horizontal="right"/>
      <protection locked="0"/>
    </xf>
    <xf numFmtId="166" fontId="14" fillId="2" borderId="5" xfId="1" applyNumberFormat="1" applyFont="1" applyFill="1" applyBorder="1" applyAlignment="1" applyProtection="1">
      <alignment horizontal="right"/>
      <protection locked="0"/>
    </xf>
    <xf numFmtId="3" fontId="31" fillId="0" borderId="24" xfId="1" applyNumberFormat="1" applyFont="1" applyFill="1" applyBorder="1" applyProtection="1">
      <protection locked="0"/>
    </xf>
    <xf numFmtId="166" fontId="2" fillId="0" borderId="0" xfId="1" applyNumberFormat="1" applyFont="1" applyFill="1" applyBorder="1" applyProtection="1"/>
    <xf numFmtId="166" fontId="33" fillId="0" borderId="20" xfId="1" applyNumberFormat="1" applyFont="1" applyFill="1" applyBorder="1" applyAlignment="1" applyProtection="1">
      <alignment horizontal="center"/>
      <protection locked="0"/>
    </xf>
    <xf numFmtId="3" fontId="2" fillId="0" borderId="0" xfId="1" applyNumberFormat="1" applyFont="1" applyFill="1" applyProtection="1"/>
    <xf numFmtId="166" fontId="29" fillId="0" borderId="26" xfId="1" applyNumberFormat="1" applyFont="1" applyFill="1" applyBorder="1" applyProtection="1">
      <protection locked="0"/>
    </xf>
    <xf numFmtId="166" fontId="30" fillId="0" borderId="0" xfId="1" applyNumberFormat="1" applyFont="1" applyFill="1" applyBorder="1"/>
    <xf numFmtId="3" fontId="29" fillId="0" borderId="20" xfId="1" applyNumberFormat="1" applyFont="1" applyFill="1" applyBorder="1" applyProtection="1">
      <protection locked="0"/>
    </xf>
    <xf numFmtId="3" fontId="1" fillId="4" borderId="0" xfId="1" applyNumberFormat="1" applyFont="1" applyFill="1" applyBorder="1" applyAlignment="1" applyProtection="1">
      <alignment horizontal="left" indent="2"/>
    </xf>
    <xf numFmtId="3" fontId="1" fillId="2" borderId="0" xfId="1" applyNumberFormat="1" applyFont="1" applyFill="1" applyBorder="1" applyAlignment="1" applyProtection="1">
      <alignment horizontal="left" indent="2"/>
    </xf>
    <xf numFmtId="3" fontId="33" fillId="0" borderId="19" xfId="1" applyNumberFormat="1" applyFont="1" applyBorder="1" applyAlignment="1" applyProtection="1">
      <alignment horizontal="right"/>
      <protection locked="0"/>
    </xf>
    <xf numFmtId="3" fontId="29" fillId="0" borderId="19" xfId="1" applyNumberFormat="1" applyFont="1" applyBorder="1" applyAlignment="1" applyProtection="1">
      <alignment horizontal="right"/>
      <protection locked="0"/>
    </xf>
    <xf numFmtId="3" fontId="2" fillId="0" borderId="32" xfId="1" applyNumberFormat="1" applyFont="1" applyFill="1" applyBorder="1" applyAlignment="1" applyProtection="1">
      <alignment horizontal="right"/>
      <protection locked="0"/>
    </xf>
    <xf numFmtId="3" fontId="2" fillId="0" borderId="18" xfId="1" applyNumberFormat="1" applyFont="1" applyFill="1" applyBorder="1" applyAlignment="1" applyProtection="1">
      <alignment horizontal="right"/>
      <protection locked="0"/>
    </xf>
    <xf numFmtId="164" fontId="29" fillId="0" borderId="4" xfId="2" applyNumberFormat="1" applyFont="1" applyFill="1" applyBorder="1" applyAlignment="1" applyProtection="1">
      <alignment horizontal="right"/>
      <protection locked="0"/>
    </xf>
    <xf numFmtId="3" fontId="2" fillId="0" borderId="17" xfId="1" applyNumberFormat="1" applyFont="1" applyFill="1" applyBorder="1" applyAlignment="1" applyProtection="1">
      <alignment horizontal="right"/>
    </xf>
    <xf numFmtId="166" fontId="30" fillId="0" borderId="0" xfId="1" applyNumberFormat="1" applyFont="1" applyBorder="1"/>
    <xf numFmtId="3" fontId="1" fillId="0" borderId="0" xfId="1" applyNumberFormat="1" applyFont="1" applyFill="1" applyProtection="1"/>
    <xf numFmtId="3" fontId="1" fillId="0" borderId="0" xfId="1" applyNumberFormat="1" applyFont="1" applyFill="1" applyBorder="1" applyProtection="1"/>
    <xf numFmtId="166" fontId="30" fillId="0" borderId="20" xfId="1" applyNumberFormat="1" applyFont="1" applyBorder="1" applyAlignment="1" applyProtection="1">
      <alignment horizontal="right"/>
      <protection locked="0"/>
    </xf>
    <xf numFmtId="3" fontId="29" fillId="0" borderId="0" xfId="1" applyNumberFormat="1" applyFont="1" applyFill="1" applyBorder="1" applyAlignment="1" applyProtection="1">
      <alignment horizontal="right"/>
      <protection locked="0"/>
    </xf>
    <xf numFmtId="3" fontId="29" fillId="0" borderId="26" xfId="1" applyNumberFormat="1" applyFont="1" applyFill="1" applyBorder="1" applyAlignment="1" applyProtection="1">
      <alignment horizontal="right"/>
      <protection locked="0"/>
    </xf>
    <xf numFmtId="3" fontId="2" fillId="4" borderId="17" xfId="1" applyNumberFormat="1" applyFont="1" applyFill="1" applyBorder="1" applyAlignment="1" applyProtection="1">
      <alignment horizontal="right"/>
      <protection locked="0"/>
    </xf>
    <xf numFmtId="3" fontId="2" fillId="0" borderId="0" xfId="1" applyNumberFormat="1" applyFont="1" applyFill="1" applyBorder="1" applyProtection="1"/>
    <xf numFmtId="3" fontId="2" fillId="0" borderId="17" xfId="1" applyNumberFormat="1" applyFont="1" applyFill="1" applyBorder="1" applyProtection="1"/>
    <xf numFmtId="3" fontId="2" fillId="0" borderId="0" xfId="1" applyNumberFormat="1" applyFont="1" applyFill="1"/>
    <xf numFmtId="3" fontId="2" fillId="0" borderId="17" xfId="1" applyNumberFormat="1" applyFont="1" applyFill="1" applyBorder="1"/>
    <xf numFmtId="166" fontId="30" fillId="0" borderId="49" xfId="1" applyNumberFormat="1" applyFont="1" applyBorder="1" applyProtection="1">
      <protection locked="0"/>
    </xf>
    <xf numFmtId="166" fontId="31" fillId="0" borderId="50" xfId="1" applyNumberFormat="1" applyFont="1" applyBorder="1" applyProtection="1">
      <protection locked="0"/>
    </xf>
    <xf numFmtId="166" fontId="31" fillId="0" borderId="51" xfId="1" applyNumberFormat="1" applyFont="1" applyBorder="1" applyProtection="1">
      <protection locked="0"/>
    </xf>
    <xf numFmtId="166" fontId="30" fillId="0" borderId="49" xfId="1" applyNumberFormat="1" applyFont="1" applyFill="1" applyBorder="1" applyProtection="1">
      <protection locked="0"/>
    </xf>
    <xf numFmtId="0" fontId="37" fillId="0" borderId="0" xfId="4" applyFont="1" applyAlignment="1">
      <alignment horizontal="center" vertical="center"/>
    </xf>
    <xf numFmtId="0" fontId="14" fillId="0" borderId="0" xfId="4" applyAlignment="1">
      <alignment horizontal="center" vertical="center"/>
    </xf>
    <xf numFmtId="170" fontId="17" fillId="0" borderId="37" xfId="50" applyNumberFormat="1" applyFont="1" applyFill="1" applyBorder="1" applyAlignment="1">
      <alignment horizontal="center" vertical="center" wrapText="1"/>
    </xf>
    <xf numFmtId="170" fontId="17" fillId="0" borderId="41" xfId="50" applyNumberFormat="1" applyFont="1" applyFill="1" applyBorder="1" applyAlignment="1">
      <alignment horizontal="center" vertical="center" wrapText="1"/>
    </xf>
    <xf numFmtId="170" fontId="17" fillId="0" borderId="46" xfId="50" applyNumberFormat="1" applyFont="1" applyFill="1" applyBorder="1" applyAlignment="1">
      <alignment horizontal="center" vertical="center" wrapText="1"/>
    </xf>
    <xf numFmtId="0" fontId="14" fillId="8" borderId="0" xfId="4" applyFill="1" applyAlignment="1">
      <alignment vertical="center"/>
    </xf>
    <xf numFmtId="3" fontId="28" fillId="0" borderId="0" xfId="1" applyNumberFormat="1" applyFont="1" applyFill="1" applyProtection="1"/>
    <xf numFmtId="10" fontId="15" fillId="10" borderId="37" xfId="53" applyNumberFormat="1" applyFont="1" applyFill="1" applyBorder="1" applyAlignment="1">
      <alignment horizontal="center" vertical="center" wrapText="1"/>
    </xf>
    <xf numFmtId="3" fontId="33" fillId="0" borderId="4" xfId="1" applyNumberFormat="1" applyFont="1" applyFill="1" applyBorder="1" applyAlignment="1" applyProtection="1">
      <alignment horizontal="right"/>
      <protection locked="0"/>
    </xf>
    <xf numFmtId="3" fontId="35" fillId="0" borderId="20" xfId="1" applyNumberFormat="1" applyFont="1" applyFill="1" applyBorder="1" applyAlignment="1" applyProtection="1">
      <alignment horizontal="right"/>
      <protection locked="0"/>
    </xf>
    <xf numFmtId="166" fontId="2" fillId="12" borderId="0" xfId="1" applyNumberFormat="1" applyFont="1" applyFill="1" applyBorder="1" applyAlignment="1" applyProtection="1">
      <alignment horizontal="left" indent="1"/>
    </xf>
    <xf numFmtId="166" fontId="29" fillId="0" borderId="20" xfId="1" applyNumberFormat="1" applyFont="1" applyFill="1" applyBorder="1" applyProtection="1">
      <protection locked="0"/>
    </xf>
    <xf numFmtId="0" fontId="15" fillId="10" borderId="45" xfId="52" applyFont="1" applyFill="1" applyBorder="1" applyAlignment="1">
      <alignment horizontal="left" vertical="center" wrapText="1"/>
    </xf>
    <xf numFmtId="3" fontId="1" fillId="0" borderId="19" xfId="1" applyNumberFormat="1" applyFont="1" applyBorder="1" applyAlignment="1" applyProtection="1">
      <alignment horizontal="left" indent="2"/>
    </xf>
    <xf numFmtId="3" fontId="30" fillId="0" borderId="19" xfId="1" applyNumberFormat="1" applyFont="1" applyBorder="1" applyProtection="1">
      <protection locked="0"/>
    </xf>
    <xf numFmtId="3" fontId="30" fillId="0" borderId="53" xfId="1" applyNumberFormat="1" applyFont="1" applyBorder="1" applyProtection="1">
      <protection locked="0"/>
    </xf>
    <xf numFmtId="3" fontId="30" fillId="0" borderId="19" xfId="1" applyNumberFormat="1" applyFont="1" applyBorder="1" applyAlignment="1" applyProtection="1">
      <alignment horizontal="right"/>
      <protection locked="0"/>
    </xf>
    <xf numFmtId="3" fontId="30" fillId="0" borderId="54" xfId="1" applyNumberFormat="1" applyFont="1" applyBorder="1" applyAlignment="1" applyProtection="1">
      <alignment horizontal="right"/>
      <protection locked="0"/>
    </xf>
    <xf numFmtId="3" fontId="30" fillId="0" borderId="53" xfId="1" applyNumberFormat="1" applyFont="1" applyBorder="1" applyAlignment="1" applyProtection="1">
      <alignment horizontal="right"/>
      <protection locked="0"/>
    </xf>
    <xf numFmtId="43" fontId="14" fillId="12" borderId="5" xfId="1" applyFont="1" applyFill="1" applyBorder="1" applyAlignment="1" applyProtection="1">
      <alignment horizontal="right"/>
      <protection locked="0"/>
    </xf>
    <xf numFmtId="3" fontId="1" fillId="0" borderId="4" xfId="1" applyNumberFormat="1" applyFont="1" applyBorder="1" applyAlignment="1">
      <alignment horizontal="left" indent="1"/>
    </xf>
    <xf numFmtId="3" fontId="30" fillId="0" borderId="4" xfId="1" applyNumberFormat="1" applyFont="1" applyBorder="1"/>
    <xf numFmtId="3" fontId="30" fillId="0" borderId="31" xfId="1" applyNumberFormat="1" applyFont="1" applyBorder="1"/>
    <xf numFmtId="3" fontId="31" fillId="4" borderId="55" xfId="1" applyNumberFormat="1" applyFont="1" applyFill="1" applyBorder="1" applyProtection="1">
      <protection locked="0"/>
    </xf>
    <xf numFmtId="0" fontId="15" fillId="10" borderId="45" xfId="52" applyFont="1" applyFill="1" applyBorder="1" applyAlignment="1">
      <alignment horizontal="center" vertical="center" wrapText="1"/>
    </xf>
    <xf numFmtId="166" fontId="1" fillId="0" borderId="0" xfId="1" applyNumberFormat="1" applyFont="1" applyAlignment="1" applyProtection="1">
      <alignment horizontal="left" indent="1"/>
    </xf>
    <xf numFmtId="10" fontId="5" fillId="13" borderId="52" xfId="99" applyNumberFormat="1" applyFont="1" applyFill="1" applyBorder="1" applyAlignment="1">
      <alignment vertical="center" wrapText="1"/>
    </xf>
    <xf numFmtId="10" fontId="5" fillId="13" borderId="0" xfId="99" applyNumberFormat="1" applyFont="1" applyFill="1" applyBorder="1" applyAlignment="1">
      <alignment vertical="center" wrapText="1"/>
    </xf>
    <xf numFmtId="166" fontId="31" fillId="0" borderId="20" xfId="1" applyNumberFormat="1" applyFont="1" applyFill="1" applyBorder="1" applyProtection="1">
      <protection locked="0"/>
    </xf>
    <xf numFmtId="166" fontId="33" fillId="0" borderId="5" xfId="1" applyNumberFormat="1" applyFont="1" applyFill="1" applyBorder="1" applyProtection="1">
      <protection locked="0"/>
    </xf>
    <xf numFmtId="3" fontId="1" fillId="0" borderId="24" xfId="1" applyNumberFormat="1" applyFont="1" applyFill="1" applyBorder="1" applyProtection="1">
      <protection locked="0"/>
    </xf>
    <xf numFmtId="0" fontId="14" fillId="0" borderId="0" xfId="4" applyAlignment="1">
      <alignment horizontal="right" vertical="center"/>
    </xf>
    <xf numFmtId="0" fontId="14" fillId="8" borderId="0" xfId="4" applyFill="1" applyAlignment="1">
      <alignment horizontal="right" vertical="center"/>
    </xf>
    <xf numFmtId="0" fontId="21" fillId="0" borderId="0" xfId="4" applyFont="1" applyAlignment="1">
      <alignment vertical="center"/>
    </xf>
    <xf numFmtId="0" fontId="15" fillId="0" borderId="38" xfId="52" applyFont="1" applyBorder="1" applyAlignment="1">
      <alignment horizontal="center" vertical="center" wrapText="1"/>
    </xf>
    <xf numFmtId="3" fontId="14" fillId="0" borderId="0" xfId="4" applyNumberFormat="1" applyAlignment="1">
      <alignment vertical="center"/>
    </xf>
    <xf numFmtId="3" fontId="42" fillId="0" borderId="0" xfId="4" applyNumberFormat="1" applyFont="1" applyAlignment="1">
      <alignment horizontal="right" vertical="center"/>
    </xf>
    <xf numFmtId="3" fontId="17" fillId="0" borderId="37" xfId="50" applyNumberFormat="1" applyFont="1" applyBorder="1" applyAlignment="1">
      <alignment horizontal="center" vertical="center" wrapText="1"/>
    </xf>
    <xf numFmtId="164" fontId="15" fillId="0" borderId="37" xfId="51" applyNumberFormat="1" applyFont="1" applyBorder="1" applyAlignment="1">
      <alignment horizontal="center" vertical="center" wrapText="1"/>
    </xf>
    <xf numFmtId="169" fontId="15" fillId="0" borderId="37" xfId="50" applyNumberFormat="1" applyFont="1" applyBorder="1" applyAlignment="1">
      <alignment horizontal="center" vertical="center" wrapText="1"/>
    </xf>
    <xf numFmtId="0" fontId="25" fillId="6" borderId="8" xfId="3" applyFont="1" applyFill="1" applyBorder="1" applyAlignment="1">
      <alignment horizontal="center" vertical="center"/>
    </xf>
    <xf numFmtId="0" fontId="25" fillId="6" borderId="9" xfId="3" applyFont="1" applyFill="1" applyBorder="1" applyAlignment="1">
      <alignment horizontal="center" vertical="center"/>
    </xf>
    <xf numFmtId="0" fontId="25" fillId="6" borderId="10" xfId="3" applyFont="1" applyFill="1" applyBorder="1" applyAlignment="1">
      <alignment horizontal="center" vertical="center"/>
    </xf>
    <xf numFmtId="0" fontId="25" fillId="6" borderId="11" xfId="3" applyFont="1" applyFill="1" applyBorder="1" applyAlignment="1">
      <alignment horizontal="center" vertical="center"/>
    </xf>
    <xf numFmtId="0" fontId="25" fillId="3" borderId="14" xfId="3" applyFont="1" applyFill="1" applyBorder="1" applyAlignment="1">
      <alignment horizontal="center" vertical="center"/>
    </xf>
    <xf numFmtId="0" fontId="25" fillId="3" borderId="15" xfId="3" applyFont="1" applyFill="1" applyBorder="1" applyAlignment="1">
      <alignment horizontal="center" vertical="center"/>
    </xf>
    <xf numFmtId="0" fontId="25" fillId="3" borderId="16" xfId="3" applyFont="1" applyFill="1" applyBorder="1" applyAlignment="1">
      <alignment horizontal="center" vertical="center"/>
    </xf>
    <xf numFmtId="166" fontId="2" fillId="0" borderId="0" xfId="1" applyNumberFormat="1" applyFont="1" applyBorder="1" applyAlignment="1" applyProtection="1">
      <alignment horizontal="center"/>
      <protection locked="0"/>
    </xf>
    <xf numFmtId="0" fontId="16" fillId="10" borderId="40" xfId="49" applyFont="1" applyFill="1" applyBorder="1" applyAlignment="1">
      <alignment horizontal="center" vertical="center" wrapText="1"/>
    </xf>
    <xf numFmtId="0" fontId="16" fillId="10" borderId="41" xfId="52" applyFont="1" applyFill="1" applyBorder="1" applyAlignment="1">
      <alignment horizontal="left" vertical="center" wrapText="1"/>
    </xf>
    <xf numFmtId="0" fontId="16" fillId="10" borderId="0" xfId="49" applyFont="1" applyFill="1" applyAlignment="1">
      <alignment horizontal="center" vertical="center" wrapText="1"/>
    </xf>
  </cellXfs>
  <cellStyles count="100">
    <cellStyle name="Comma" xfId="1" builtinId="3"/>
    <cellStyle name="Comma 2" xfId="98" xr:uid="{ABB6400B-F944-4B0C-946A-82A277F3965C}"/>
    <cellStyle name="Hyperlink" xfId="3" builtinId="8"/>
    <cellStyle name="Normal" xfId="0" builtinId="0"/>
    <cellStyle name="Normal 2" xfId="4" xr:uid="{00000000-0005-0000-0000-000002000000}"/>
    <cellStyle name="Normal 2 2" xfId="49" xr:uid="{00000000-0005-0000-0000-000003000000}"/>
    <cellStyle name="Normal_DESEMPENHO_MAR09 2" xfId="52" xr:uid="{00000000-0005-0000-0000-000004000000}"/>
    <cellStyle name="Percent" xfId="2" builtinId="5"/>
    <cellStyle name="Percent 2" xfId="99" xr:uid="{95AE6D4C-3D68-4CB6-8910-644E7696E197}"/>
    <cellStyle name="Porcentagem 10" xfId="28" xr:uid="{00000000-0005-0000-0000-000006000000}"/>
    <cellStyle name="Porcentagem 10 2" xfId="51" xr:uid="{00000000-0005-0000-0000-000007000000}"/>
    <cellStyle name="Porcentagem 12" xfId="53" xr:uid="{00000000-0005-0000-0000-000008000000}"/>
    <cellStyle name="Porcentagem 2" xfId="6" xr:uid="{00000000-0005-0000-0000-000009000000}"/>
    <cellStyle name="Porcentagem 2 2" xfId="8" xr:uid="{00000000-0005-0000-0000-00000A000000}"/>
    <cellStyle name="Porcentagem 3" xfId="9" xr:uid="{00000000-0005-0000-0000-00000B000000}"/>
    <cellStyle name="Porcentagem 4" xfId="10" xr:uid="{00000000-0005-0000-0000-00000C000000}"/>
    <cellStyle name="Porcentagem 4 2" xfId="11" xr:uid="{00000000-0005-0000-0000-00000D000000}"/>
    <cellStyle name="Porcentagem 5" xfId="12" xr:uid="{00000000-0005-0000-0000-00000E000000}"/>
    <cellStyle name="Porcentagem 5 2" xfId="13" xr:uid="{00000000-0005-0000-0000-00000F000000}"/>
    <cellStyle name="Porcentagem 6" xfId="14" xr:uid="{00000000-0005-0000-0000-000010000000}"/>
    <cellStyle name="Porcentagem 7" xfId="15" xr:uid="{00000000-0005-0000-0000-000011000000}"/>
    <cellStyle name="Porcentagem 8" xfId="25" xr:uid="{00000000-0005-0000-0000-000012000000}"/>
    <cellStyle name="Porcentagem 9" xfId="30" xr:uid="{00000000-0005-0000-0000-000013000000}"/>
    <cellStyle name="Separador de milhares 2" xfId="16" xr:uid="{00000000-0005-0000-0000-000014000000}"/>
    <cellStyle name="Separador de milhares 2 2" xfId="17" xr:uid="{00000000-0005-0000-0000-000015000000}"/>
    <cellStyle name="Separador de milhares 2 2 2" xfId="32" xr:uid="{00000000-0005-0000-0000-000016000000}"/>
    <cellStyle name="Separador de milhares 2 2 2 2" xfId="80" xr:uid="{00000000-0005-0000-0000-000017000000}"/>
    <cellStyle name="Separador de milhares 2 2 2 3" xfId="58" xr:uid="{00000000-0005-0000-0000-000016000000}"/>
    <cellStyle name="Separador de milhares 2 3" xfId="31" xr:uid="{00000000-0005-0000-0000-000017000000}"/>
    <cellStyle name="Separador de milhares 2 3 2" xfId="79" xr:uid="{00000000-0005-0000-0000-000019000000}"/>
    <cellStyle name="Separador de milhares 2 3 3" xfId="57" xr:uid="{00000000-0005-0000-0000-000018000000}"/>
    <cellStyle name="Separador de milhares 3" xfId="18" xr:uid="{00000000-0005-0000-0000-000018000000}"/>
    <cellStyle name="Separador de milhares 3 2" xfId="19" xr:uid="{00000000-0005-0000-0000-000019000000}"/>
    <cellStyle name="Separador de milhares 3 2 2" xfId="34" xr:uid="{00000000-0005-0000-0000-00001A000000}"/>
    <cellStyle name="Separador de milhares 3 2 2 2" xfId="82" xr:uid="{00000000-0005-0000-0000-00001D000000}"/>
    <cellStyle name="Separador de milhares 3 2 2 3" xfId="60" xr:uid="{00000000-0005-0000-0000-00001C000000}"/>
    <cellStyle name="Separador de milhares 3 3" xfId="33" xr:uid="{00000000-0005-0000-0000-00001B000000}"/>
    <cellStyle name="Separador de milhares 3 3 2" xfId="81" xr:uid="{00000000-0005-0000-0000-00001F000000}"/>
    <cellStyle name="Separador de milhares 3 3 3" xfId="59" xr:uid="{00000000-0005-0000-0000-00001E000000}"/>
    <cellStyle name="Separador de milhares 4" xfId="20" xr:uid="{00000000-0005-0000-0000-00001C000000}"/>
    <cellStyle name="Separador de milhares 4 2" xfId="35" xr:uid="{00000000-0005-0000-0000-00001D000000}"/>
    <cellStyle name="Separador de milhares 4 2 2" xfId="83" xr:uid="{00000000-0005-0000-0000-000022000000}"/>
    <cellStyle name="Separador de milhares 4 2 3" xfId="61" xr:uid="{00000000-0005-0000-0000-000021000000}"/>
    <cellStyle name="Separador de milhares 5" xfId="21" xr:uid="{00000000-0005-0000-0000-00001E000000}"/>
    <cellStyle name="Separador de milhares 5 2" xfId="5" xr:uid="{00000000-0005-0000-0000-00001F000000}"/>
    <cellStyle name="Separador de milhares 5 2 2" xfId="27" xr:uid="{00000000-0005-0000-0000-000020000000}"/>
    <cellStyle name="Separador de milhares 5 2 2 2" xfId="50" xr:uid="{00000000-0005-0000-0000-000021000000}"/>
    <cellStyle name="Separador de milhares 5 2 2 2 2" xfId="97" xr:uid="{00000000-0005-0000-0000-000027000000}"/>
    <cellStyle name="Separador de milhares 5 2 2 2 3" xfId="75" xr:uid="{00000000-0005-0000-0000-000026000000}"/>
    <cellStyle name="Separador de milhares 5 2 2 3" xfId="77" xr:uid="{00000000-0005-0000-0000-000028000000}"/>
    <cellStyle name="Separador de milhares 5 2 2 4" xfId="55" xr:uid="{00000000-0005-0000-0000-000025000000}"/>
    <cellStyle name="Separador de milhares 5 2 3" xfId="36" xr:uid="{00000000-0005-0000-0000-000022000000}"/>
    <cellStyle name="Separador de milhares 5 2 3 2" xfId="84" xr:uid="{00000000-0005-0000-0000-00002A000000}"/>
    <cellStyle name="Separador de milhares 5 2 3 3" xfId="62" xr:uid="{00000000-0005-0000-0000-000029000000}"/>
    <cellStyle name="Separador de milhares 5 3" xfId="37" xr:uid="{00000000-0005-0000-0000-000023000000}"/>
    <cellStyle name="Separador de milhares 5 3 2" xfId="85" xr:uid="{00000000-0005-0000-0000-00002C000000}"/>
    <cellStyle name="Separador de milhares 5 3 3" xfId="63" xr:uid="{00000000-0005-0000-0000-00002B000000}"/>
    <cellStyle name="Separador de milhares 6" xfId="22" xr:uid="{00000000-0005-0000-0000-000024000000}"/>
    <cellStyle name="Separador de milhares 6 2" xfId="23" xr:uid="{00000000-0005-0000-0000-000025000000}"/>
    <cellStyle name="Separador de milhares 6 2 2" xfId="40" xr:uid="{00000000-0005-0000-0000-000026000000}"/>
    <cellStyle name="Separador de milhares 6 2 2 2" xfId="88" xr:uid="{00000000-0005-0000-0000-000030000000}"/>
    <cellStyle name="Separador de milhares 6 2 2 3" xfId="66" xr:uid="{00000000-0005-0000-0000-00002F000000}"/>
    <cellStyle name="Separador de milhares 6 2 3" xfId="39" xr:uid="{00000000-0005-0000-0000-000027000000}"/>
    <cellStyle name="Separador de milhares 6 2 3 2" xfId="87" xr:uid="{00000000-0005-0000-0000-000032000000}"/>
    <cellStyle name="Separador de milhares 6 2 3 3" xfId="65" xr:uid="{00000000-0005-0000-0000-000031000000}"/>
    <cellStyle name="Separador de milhares 6 3" xfId="38" xr:uid="{00000000-0005-0000-0000-000028000000}"/>
    <cellStyle name="Separador de milhares 6 3 2" xfId="86" xr:uid="{00000000-0005-0000-0000-000034000000}"/>
    <cellStyle name="Separador de milhares 6 3 3" xfId="64" xr:uid="{00000000-0005-0000-0000-000033000000}"/>
    <cellStyle name="Vírgula 2" xfId="7" xr:uid="{00000000-0005-0000-0000-00002A000000}"/>
    <cellStyle name="Vírgula 2 2" xfId="42" xr:uid="{00000000-0005-0000-0000-00002B000000}"/>
    <cellStyle name="Vírgula 2 2 2" xfId="90" xr:uid="{00000000-0005-0000-0000-000038000000}"/>
    <cellStyle name="Vírgula 2 2 3" xfId="68" xr:uid="{00000000-0005-0000-0000-000037000000}"/>
    <cellStyle name="Vírgula 2 3" xfId="43" xr:uid="{00000000-0005-0000-0000-00002C000000}"/>
    <cellStyle name="Vírgula 2 3 2" xfId="91" xr:uid="{00000000-0005-0000-0000-00003A000000}"/>
    <cellStyle name="Vírgula 2 3 3" xfId="69" xr:uid="{00000000-0005-0000-0000-000039000000}"/>
    <cellStyle name="Vírgula 2 4" xfId="41" xr:uid="{00000000-0005-0000-0000-00002D000000}"/>
    <cellStyle name="Vírgula 2 4 2" xfId="89" xr:uid="{00000000-0005-0000-0000-00003C000000}"/>
    <cellStyle name="Vírgula 2 4 3" xfId="67" xr:uid="{00000000-0005-0000-0000-00003B000000}"/>
    <cellStyle name="Vírgula 3" xfId="24" xr:uid="{00000000-0005-0000-0000-00002E000000}"/>
    <cellStyle name="Vírgula 3 2" xfId="44" xr:uid="{00000000-0005-0000-0000-00002F000000}"/>
    <cellStyle name="Vírgula 3 2 2" xfId="92" xr:uid="{00000000-0005-0000-0000-00003F000000}"/>
    <cellStyle name="Vírgula 3 2 3" xfId="70" xr:uid="{00000000-0005-0000-0000-00003E000000}"/>
    <cellStyle name="Vírgula 4" xfId="26" xr:uid="{00000000-0005-0000-0000-000030000000}"/>
    <cellStyle name="Vírgula 4 2" xfId="45" xr:uid="{00000000-0005-0000-0000-000031000000}"/>
    <cellStyle name="Vírgula 4 2 2" xfId="93" xr:uid="{00000000-0005-0000-0000-000042000000}"/>
    <cellStyle name="Vírgula 4 2 3" xfId="71" xr:uid="{00000000-0005-0000-0000-000041000000}"/>
    <cellStyle name="Vírgula 5" xfId="46" xr:uid="{00000000-0005-0000-0000-000032000000}"/>
    <cellStyle name="Vírgula 5 2" xfId="29" xr:uid="{00000000-0005-0000-0000-000033000000}"/>
    <cellStyle name="Vírgula 5 2 2" xfId="78" xr:uid="{00000000-0005-0000-0000-000045000000}"/>
    <cellStyle name="Vírgula 5 2 3" xfId="56" xr:uid="{00000000-0005-0000-0000-000044000000}"/>
    <cellStyle name="Vírgula 5 3" xfId="94" xr:uid="{00000000-0005-0000-0000-000046000000}"/>
    <cellStyle name="Vírgula 5 4" xfId="72" xr:uid="{00000000-0005-0000-0000-000043000000}"/>
    <cellStyle name="Vírgula 6" xfId="47" xr:uid="{00000000-0005-0000-0000-000034000000}"/>
    <cellStyle name="Vírgula 6 2" xfId="95" xr:uid="{00000000-0005-0000-0000-000048000000}"/>
    <cellStyle name="Vírgula 6 3" xfId="73" xr:uid="{00000000-0005-0000-0000-000047000000}"/>
    <cellStyle name="Vírgula 7" xfId="48" xr:uid="{00000000-0005-0000-0000-000035000000}"/>
    <cellStyle name="Vírgula 7 2" xfId="96" xr:uid="{00000000-0005-0000-0000-00004A000000}"/>
    <cellStyle name="Vírgula 7 3" xfId="74" xr:uid="{00000000-0005-0000-0000-000049000000}"/>
    <cellStyle name="Vírgula 8" xfId="76" xr:uid="{00000000-0005-0000-0000-00004B000000}"/>
    <cellStyle name="Vírgula 9" xfId="54" xr:uid="{00000000-0005-0000-0000-00007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Language!$AG$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Cover!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Cover!A1"/></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Cover!A1"/></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Cover!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638175</xdr:colOff>
          <xdr:row>4</xdr:row>
          <xdr:rowOff>161924</xdr:rowOff>
        </xdr:from>
        <xdr:to>
          <xdr:col>1</xdr:col>
          <xdr:colOff>1358175</xdr:colOff>
          <xdr:row>6</xdr:row>
          <xdr:rowOff>162224</xdr:rowOff>
        </xdr:to>
        <xdr:grpSp>
          <xdr:nvGrpSpPr>
            <xdr:cNvPr id="3" name="Grupo 2" descr="Selecionar idioma&#10;Select language" title="Language">
              <a:extLst>
                <a:ext uri="{FF2B5EF4-FFF2-40B4-BE49-F238E27FC236}">
                  <a16:creationId xmlns:a16="http://schemas.microsoft.com/office/drawing/2014/main" id="{00000000-0008-0000-0100-000003000000}"/>
                </a:ext>
              </a:extLst>
            </xdr:cNvPr>
            <xdr:cNvGrpSpPr/>
          </xdr:nvGrpSpPr>
          <xdr:grpSpPr>
            <a:xfrm>
              <a:off x="1041587" y="1319865"/>
              <a:ext cx="720000" cy="642771"/>
              <a:chOff x="1323976" y="733423"/>
              <a:chExt cx="1028699" cy="514353"/>
            </a:xfrm>
            <a:noFill/>
          </xdr:grpSpPr>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1323976" y="733423"/>
                <a:ext cx="1019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Português</a:t>
                </a:r>
              </a:p>
            </xdr:txBody>
          </xdr:sp>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1333500" y="1038226"/>
                <a:ext cx="1019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English</a:t>
                </a:r>
              </a:p>
            </xdr:txBody>
          </xdr:sp>
        </xdr:grpSp>
        <xdr:clientData/>
      </xdr:twoCellAnchor>
    </mc:Choice>
    <mc:Fallback/>
  </mc:AlternateContent>
  <xdr:twoCellAnchor editAs="oneCell">
    <xdr:from>
      <xdr:col>0</xdr:col>
      <xdr:colOff>0</xdr:colOff>
      <xdr:row>0</xdr:row>
      <xdr:rowOff>0</xdr:rowOff>
    </xdr:from>
    <xdr:to>
      <xdr:col>2</xdr:col>
      <xdr:colOff>1457325</xdr:colOff>
      <xdr:row>1</xdr:row>
      <xdr:rowOff>223097</xdr:rowOff>
    </xdr:to>
    <xdr:pic>
      <xdr:nvPicPr>
        <xdr:cNvPr id="6" name="Imagem 5" descr="Logomarca TPI - Positivo Horizontal.jp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886200" cy="546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45</xdr:col>
      <xdr:colOff>512329</xdr:colOff>
      <xdr:row>3</xdr:row>
      <xdr:rowOff>33158</xdr:rowOff>
    </xdr:to>
    <xdr:pic>
      <xdr:nvPicPr>
        <xdr:cNvPr id="3" name="Imagem 2" descr="Logomarca TPI - Positivo Horizontal.jpg">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3886200" cy="546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3877395</xdr:colOff>
      <xdr:row>3</xdr:row>
      <xdr:rowOff>43242</xdr:rowOff>
    </xdr:to>
    <xdr:pic>
      <xdr:nvPicPr>
        <xdr:cNvPr id="2" name="Imagem 1" descr="Logomarca TPI - Positivo Horizontal.jpg">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3886200" cy="546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838200</xdr:colOff>
      <xdr:row>3</xdr:row>
      <xdr:rowOff>34278</xdr:rowOff>
    </xdr:to>
    <xdr:pic>
      <xdr:nvPicPr>
        <xdr:cNvPr id="4" name="Imagem 3" descr="Logomarca TPI - Positivo Horizontal.jpg">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3886200" cy="546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45</xdr:col>
      <xdr:colOff>592137</xdr:colOff>
      <xdr:row>3</xdr:row>
      <xdr:rowOff>88066</xdr:rowOff>
    </xdr:to>
    <xdr:pic>
      <xdr:nvPicPr>
        <xdr:cNvPr id="2" name="Imagem 1" descr="Logomarca TPI - Positivo Horizontal.jpg">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3886200" cy="573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353"/>
  <sheetViews>
    <sheetView showGridLines="0" zoomScale="80" zoomScaleNormal="80" workbookViewId="0">
      <pane ySplit="5" topLeftCell="A217" activePane="bottomLeft" state="frozen"/>
      <selection pane="bottomLeft" activeCell="B228" sqref="B228"/>
    </sheetView>
  </sheetViews>
  <sheetFormatPr defaultRowHeight="14.5" x14ac:dyDescent="0.35"/>
  <cols>
    <col min="1" max="3" width="45.7265625" style="5" customWidth="1"/>
    <col min="4" max="4" width="3.7265625" customWidth="1"/>
    <col min="5" max="7" width="45.7265625" style="5" customWidth="1"/>
    <col min="8" max="8" width="3.7265625" customWidth="1"/>
    <col min="9" max="11" width="45.7265625" style="54" customWidth="1"/>
    <col min="12" max="12" width="3.7265625" customWidth="1"/>
    <col min="13" max="15" width="45.7265625" style="54" customWidth="1"/>
    <col min="16" max="16" width="3.7265625" customWidth="1"/>
    <col min="17" max="19" width="45.7265625" style="54" customWidth="1"/>
    <col min="20" max="20" width="3.7265625" customWidth="1"/>
    <col min="21" max="23" width="45.7265625" style="54" customWidth="1"/>
    <col min="24" max="24" width="3.7265625" customWidth="1"/>
    <col min="25" max="27" width="45.7265625" style="54" customWidth="1"/>
    <col min="28" max="28" width="3.7265625" customWidth="1"/>
    <col min="29" max="31" width="45.7265625" style="54" customWidth="1"/>
    <col min="32" max="32" width="3.7265625" customWidth="1"/>
  </cols>
  <sheetData>
    <row r="1" spans="1:76" x14ac:dyDescent="0.35">
      <c r="A1" s="57" t="s">
        <v>125</v>
      </c>
      <c r="B1" s="57" t="s">
        <v>126</v>
      </c>
      <c r="C1" s="57" t="str">
        <f>IF($AG$1=1,B1,A1)</f>
        <v>Português</v>
      </c>
      <c r="E1" s="57" t="s">
        <v>125</v>
      </c>
      <c r="F1" s="57" t="s">
        <v>126</v>
      </c>
      <c r="G1" s="57" t="str">
        <f>IF($AG$1=1,F1,E1)</f>
        <v>Português</v>
      </c>
      <c r="I1" s="57" t="s">
        <v>125</v>
      </c>
      <c r="J1" s="57" t="s">
        <v>126</v>
      </c>
      <c r="K1" s="57" t="str">
        <f>IF($AG$1=1,J1,I1)</f>
        <v>Português</v>
      </c>
      <c r="M1" s="57" t="s">
        <v>125</v>
      </c>
      <c r="N1" s="57" t="s">
        <v>126</v>
      </c>
      <c r="O1" s="57" t="str">
        <f>IF($AG$1=1,N1,M1)</f>
        <v>Português</v>
      </c>
      <c r="Q1" s="57" t="s">
        <v>125</v>
      </c>
      <c r="R1" s="57" t="s">
        <v>126</v>
      </c>
      <c r="S1" s="57" t="str">
        <f>IF($AG$1=1,R1,Q1)</f>
        <v>Português</v>
      </c>
      <c r="U1" s="57" t="s">
        <v>125</v>
      </c>
      <c r="V1" s="57" t="s">
        <v>126</v>
      </c>
      <c r="W1" s="57" t="str">
        <f>IF($AG$1=1,V1,U1)</f>
        <v>Português</v>
      </c>
      <c r="Y1" s="57" t="s">
        <v>125</v>
      </c>
      <c r="Z1" s="57" t="s">
        <v>126</v>
      </c>
      <c r="AA1" s="57" t="str">
        <f>IF($AG$1=1,Z1,Y1)</f>
        <v>Português</v>
      </c>
      <c r="AC1" s="57" t="s">
        <v>125</v>
      </c>
      <c r="AD1" s="57" t="s">
        <v>126</v>
      </c>
      <c r="AE1" s="57" t="str">
        <f>IF($AG$1=1,AD1,AC1)</f>
        <v>Português</v>
      </c>
      <c r="AG1" s="68">
        <v>1</v>
      </c>
    </row>
    <row r="2" spans="1:76" x14ac:dyDescent="0.35">
      <c r="C2" s="67" t="str">
        <f>C5</f>
        <v>CONCESSÕES RODOVIÁRIAS: Check</v>
      </c>
      <c r="G2" s="67" t="str">
        <f>G5</f>
        <v>ENERGIA: Check</v>
      </c>
      <c r="K2" s="67" t="e">
        <f>K5</f>
        <v>#REF!</v>
      </c>
      <c r="O2" s="67" t="e">
        <f>O5</f>
        <v>#REF!</v>
      </c>
      <c r="S2" s="67" t="e">
        <f>S5</f>
        <v>#REF!</v>
      </c>
      <c r="W2" s="67" t="str">
        <f t="shared" ref="W2" si="0">W5</f>
        <v>CONTROLADORA</v>
      </c>
      <c r="AA2" s="67" t="str">
        <f t="shared" ref="AA2" si="1">AA5</f>
        <v>CONSOLIDAÇÃO PROPORCIONAL: Check</v>
      </c>
      <c r="AE2" s="67" t="s">
        <v>583</v>
      </c>
    </row>
    <row r="3" spans="1:76" x14ac:dyDescent="0.35">
      <c r="AE3" s="54" t="str">
        <f>IF(Language!$AG$1=1,"Var. %",IF(Language!$AG$1=2,"% Change","Check"))</f>
        <v>Var. %</v>
      </c>
    </row>
    <row r="4" spans="1:76" x14ac:dyDescent="0.35">
      <c r="AE4" s="54" t="str">
        <f>IF(Language!$AG$1=1,"VENCIMENTO",IF(Language!$AG$1=2,"MATURITY","Check"))</f>
        <v>VENCIMENTO</v>
      </c>
    </row>
    <row r="5" spans="1:76" x14ac:dyDescent="0.35">
      <c r="A5" s="1" t="str">
        <f>CONCATENATE("TOLL ROADS: ",IF((SUM('Toll Roads'!$6:$6)-SUM('Toll Roads'!$37:$37))=0,"Ok","Check"))</f>
        <v>TOLL ROADS: Check</v>
      </c>
      <c r="B5" s="1" t="str">
        <f>CONCATENATE("CONCESSÕES RODOVIÁRIAS: ",IF((SUM('Toll Roads'!$6:$6)-SUM('Toll Roads'!$37:$37))=0,"Ok","Check"))</f>
        <v>CONCESSÕES RODOVIÁRIAS: Check</v>
      </c>
      <c r="C5" s="1" t="str">
        <f t="shared" ref="C5:C43" si="2">IF($AG$1=1,B5,A5)</f>
        <v>CONCESSÕES RODOVIÁRIAS: Check</v>
      </c>
      <c r="E5" s="1" t="str">
        <f>CONCATENATE("ENERGY: ",IF((SUM(Energy!$6:$6)-SUM(Energy!$25:$25))=0,"Ok","Check"))</f>
        <v>ENERGY: Check</v>
      </c>
      <c r="F5" s="1" t="str">
        <f>CONCATENATE("ENERGIA: ",IF((SUM(Energy!$6:$6)-SUM(Energy!$25:$25))=0,"Ok","Check"))</f>
        <v>ENERGIA: Check</v>
      </c>
      <c r="G5" s="1" t="str">
        <f t="shared" ref="G5:G39" si="3">IF($AG$1=1,F5,E5)</f>
        <v>ENERGIA: Check</v>
      </c>
      <c r="I5" s="28" t="e">
        <f>CONCATENATE("PORTS: ",IF((SUM(#REF!)-SUM(#REF!))=0,"Ok","Check"))</f>
        <v>#REF!</v>
      </c>
      <c r="J5" s="28" t="e">
        <f>CONCATENATE("PORTOS: ",IF((SUM(#REF!)-SUM(#REF!))=0,"Ok","Check"))</f>
        <v>#REF!</v>
      </c>
      <c r="K5" s="28" t="e">
        <f t="shared" ref="K5:K37" si="4">IF($AG$1=1,J5,I5)</f>
        <v>#REF!</v>
      </c>
      <c r="M5" s="28" t="e">
        <f>CONCATENATE("CABOTAGE: ",IF((SUM(#REF!)-SUM(#REF!))=0,"Ok","Check"))</f>
        <v>#REF!</v>
      </c>
      <c r="N5" s="28" t="e">
        <f>CONCATENATE("CABOTAGEM: ",IF((SUM(#REF!)-SUM(#REF!))=0,"Ok","Check"))</f>
        <v>#REF!</v>
      </c>
      <c r="O5" s="28" t="e">
        <f t="shared" ref="O5:O37" si="5">IF($AG$1=1,N5,M5)</f>
        <v>#REF!</v>
      </c>
      <c r="Q5" s="28" t="e">
        <f>CONCATENATE("AIRPORTS: ",IF((SUM(#REF!)-SUM(#REF!))=0,"Ok","Check"))</f>
        <v>#REF!</v>
      </c>
      <c r="R5" s="28" t="e">
        <f>CONCATENATE("AEROPORTOS: ",IF((SUM(#REF!)-SUM(#REF!))=0,"Ok","Check"))</f>
        <v>#REF!</v>
      </c>
      <c r="S5" s="28" t="e">
        <f t="shared" ref="S5:S36" si="6">IF($AG$1=1,R5,Q5)</f>
        <v>#REF!</v>
      </c>
      <c r="U5" s="28" t="s">
        <v>386</v>
      </c>
      <c r="V5" s="28" t="s">
        <v>430</v>
      </c>
      <c r="W5" s="28" t="str">
        <f t="shared" ref="W5:W26" si="7">IF($AG$1=1,V5,U5)</f>
        <v>CONTROLADORA</v>
      </c>
      <c r="Y5" s="28" t="str">
        <f>CONCATENATE("CONSOLIDATED: COMPANY STAKE: ",IF((SUM(Consolidated!$6:$6)-SUM(Consolidated!$30:$30))=0,"Ok","Check"))</f>
        <v>CONSOLIDATED: COMPANY STAKE: Check</v>
      </c>
      <c r="Z5" s="28" t="str">
        <f>CONCATENATE("CONSOLIDAÇÃO PROPORCIONAL: ",IF((SUM(Consolidated!$6:$6)-SUM(Consolidated!$30:$30))=0,"Ok","Check"))</f>
        <v>CONSOLIDAÇÃO PROPORCIONAL: Check</v>
      </c>
      <c r="AA5" s="28" t="str">
        <f t="shared" ref="AA5:AA39" si="8">IF($AG$1=1,Z5,Y5)</f>
        <v>CONSOLIDAÇÃO PROPORCIONAL: Check</v>
      </c>
      <c r="AC5" s="28" t="s">
        <v>537</v>
      </c>
      <c r="AD5" s="28" t="s">
        <v>536</v>
      </c>
      <c r="AE5" s="28" t="str">
        <f t="shared" ref="AE5:AE20" si="9">IF($AG$1=1,AD5,AC5)</f>
        <v>DÍVIDA BRUTA</v>
      </c>
      <c r="AG5" s="1" t="s">
        <v>18</v>
      </c>
      <c r="AH5" s="1" t="s">
        <v>19</v>
      </c>
      <c r="AI5" s="1" t="s">
        <v>20</v>
      </c>
      <c r="AJ5" s="1" t="s">
        <v>21</v>
      </c>
      <c r="AK5" s="1" t="s">
        <v>22</v>
      </c>
      <c r="AL5" s="1" t="s">
        <v>23</v>
      </c>
      <c r="AM5" s="1" t="s">
        <v>24</v>
      </c>
      <c r="AN5" s="1" t="s">
        <v>25</v>
      </c>
      <c r="AO5" s="1" t="s">
        <v>26</v>
      </c>
      <c r="AP5" s="1" t="s">
        <v>27</v>
      </c>
      <c r="AQ5" s="1" t="s">
        <v>235</v>
      </c>
      <c r="AR5" s="1" t="s">
        <v>236</v>
      </c>
      <c r="AS5" s="1" t="s">
        <v>237</v>
      </c>
      <c r="AT5" s="1" t="s">
        <v>238</v>
      </c>
      <c r="AU5" s="1" t="s">
        <v>239</v>
      </c>
      <c r="AV5" s="1" t="s">
        <v>240</v>
      </c>
      <c r="AW5" s="1" t="s">
        <v>241</v>
      </c>
      <c r="AX5" s="1" t="s">
        <v>242</v>
      </c>
      <c r="AY5" s="1" t="s">
        <v>243</v>
      </c>
      <c r="AZ5" s="1" t="s">
        <v>244</v>
      </c>
      <c r="BA5" s="1" t="s">
        <v>245</v>
      </c>
      <c r="BB5" s="1" t="s">
        <v>246</v>
      </c>
      <c r="BC5" s="1" t="s">
        <v>247</v>
      </c>
      <c r="BD5" s="1" t="s">
        <v>248</v>
      </c>
      <c r="BE5" s="1" t="s">
        <v>249</v>
      </c>
      <c r="BF5" s="1" t="s">
        <v>250</v>
      </c>
      <c r="BG5" s="1" t="s">
        <v>251</v>
      </c>
      <c r="BH5" s="1" t="s">
        <v>252</v>
      </c>
      <c r="BI5" s="1" t="s">
        <v>253</v>
      </c>
      <c r="BJ5" s="1" t="s">
        <v>254</v>
      </c>
      <c r="BK5" s="1" t="s">
        <v>255</v>
      </c>
      <c r="BL5" s="1" t="s">
        <v>256</v>
      </c>
      <c r="BM5" s="1" t="s">
        <v>257</v>
      </c>
      <c r="BN5" s="1" t="s">
        <v>258</v>
      </c>
      <c r="BO5" s="1" t="s">
        <v>259</v>
      </c>
      <c r="BP5" s="1" t="s">
        <v>260</v>
      </c>
      <c r="BQ5" s="1" t="s">
        <v>261</v>
      </c>
      <c r="BR5" s="1" t="s">
        <v>262</v>
      </c>
      <c r="BS5" s="1" t="s">
        <v>263</v>
      </c>
      <c r="BT5" s="1" t="s">
        <v>264</v>
      </c>
      <c r="BU5" s="1" t="s">
        <v>265</v>
      </c>
      <c r="BV5" s="1" t="s">
        <v>266</v>
      </c>
      <c r="BW5" s="1" t="s">
        <v>267</v>
      </c>
      <c r="BX5" s="1" t="s">
        <v>268</v>
      </c>
    </row>
    <row r="6" spans="1:76" x14ac:dyDescent="0.35">
      <c r="A6" s="21" t="s">
        <v>1</v>
      </c>
      <c r="B6" s="21" t="s">
        <v>139</v>
      </c>
      <c r="C6" s="21" t="str">
        <f t="shared" si="2"/>
        <v>ATIVO TOTAL</v>
      </c>
      <c r="E6" s="21" t="s">
        <v>1</v>
      </c>
      <c r="F6" s="21" t="s">
        <v>139</v>
      </c>
      <c r="G6" s="21" t="str">
        <f t="shared" si="3"/>
        <v>ATIVO TOTAL</v>
      </c>
      <c r="I6" s="29" t="s">
        <v>1</v>
      </c>
      <c r="J6" s="29" t="s">
        <v>139</v>
      </c>
      <c r="K6" s="29" t="str">
        <f t="shared" si="4"/>
        <v>ATIVO TOTAL</v>
      </c>
      <c r="M6" s="29" t="s">
        <v>1</v>
      </c>
      <c r="N6" s="29" t="s">
        <v>139</v>
      </c>
      <c r="O6" s="29" t="str">
        <f t="shared" si="5"/>
        <v>ATIVO TOTAL</v>
      </c>
      <c r="Q6" s="29" t="s">
        <v>1</v>
      </c>
      <c r="R6" s="29" t="s">
        <v>139</v>
      </c>
      <c r="S6" s="29" t="str">
        <f t="shared" si="6"/>
        <v>ATIVO TOTAL</v>
      </c>
      <c r="U6" s="47" t="s">
        <v>61</v>
      </c>
      <c r="V6" s="47" t="s">
        <v>179</v>
      </c>
      <c r="W6" s="47" t="str">
        <f t="shared" si="7"/>
        <v>DRE</v>
      </c>
      <c r="Y6" s="21" t="s">
        <v>1</v>
      </c>
      <c r="Z6" s="29" t="s">
        <v>139</v>
      </c>
      <c r="AA6" s="29" t="str">
        <f t="shared" si="8"/>
        <v>ATIVO TOTAL</v>
      </c>
      <c r="AC6" s="29" t="s">
        <v>538</v>
      </c>
      <c r="AD6" s="29" t="s">
        <v>534</v>
      </c>
      <c r="AE6" s="29" t="str">
        <f t="shared" si="9"/>
        <v>EMPRESA</v>
      </c>
      <c r="AG6" s="1" t="s">
        <v>124</v>
      </c>
      <c r="AH6" s="1" t="s">
        <v>269</v>
      </c>
      <c r="AI6" s="1" t="s">
        <v>270</v>
      </c>
      <c r="AJ6" s="1" t="s">
        <v>271</v>
      </c>
      <c r="AK6" s="1" t="s">
        <v>272</v>
      </c>
      <c r="AL6" s="1" t="s">
        <v>273</v>
      </c>
      <c r="AM6" s="1" t="s">
        <v>274</v>
      </c>
      <c r="AN6" s="1" t="s">
        <v>275</v>
      </c>
      <c r="AO6" s="1" t="s">
        <v>276</v>
      </c>
      <c r="AP6" s="1" t="s">
        <v>277</v>
      </c>
      <c r="AQ6" s="1" t="s">
        <v>278</v>
      </c>
      <c r="AR6" s="1" t="s">
        <v>279</v>
      </c>
      <c r="AS6" s="1" t="s">
        <v>280</v>
      </c>
      <c r="AT6" s="1" t="s">
        <v>281</v>
      </c>
      <c r="AU6" s="1" t="s">
        <v>282</v>
      </c>
      <c r="AV6" s="1" t="s">
        <v>283</v>
      </c>
      <c r="AW6" s="1" t="s">
        <v>284</v>
      </c>
      <c r="AX6" s="1" t="s">
        <v>285</v>
      </c>
      <c r="AY6" s="1" t="s">
        <v>286</v>
      </c>
      <c r="AZ6" s="1" t="s">
        <v>287</v>
      </c>
      <c r="BA6" s="1" t="s">
        <v>288</v>
      </c>
      <c r="BB6" s="1" t="s">
        <v>289</v>
      </c>
      <c r="BC6" s="1" t="s">
        <v>290</v>
      </c>
      <c r="BD6" s="1" t="s">
        <v>291</v>
      </c>
      <c r="BE6" s="1" t="s">
        <v>292</v>
      </c>
      <c r="BF6" s="1" t="s">
        <v>293</v>
      </c>
      <c r="BG6" s="1" t="s">
        <v>294</v>
      </c>
      <c r="BH6" s="1" t="s">
        <v>295</v>
      </c>
      <c r="BI6" s="1" t="s">
        <v>296</v>
      </c>
      <c r="BJ6" s="1" t="s">
        <v>297</v>
      </c>
      <c r="BK6" s="1" t="s">
        <v>298</v>
      </c>
      <c r="BL6" s="1" t="s">
        <v>299</v>
      </c>
      <c r="BM6" s="1" t="s">
        <v>300</v>
      </c>
      <c r="BN6" s="1" t="s">
        <v>301</v>
      </c>
      <c r="BO6" s="1" t="s">
        <v>302</v>
      </c>
      <c r="BP6" s="1" t="s">
        <v>303</v>
      </c>
      <c r="BQ6" s="1" t="s">
        <v>304</v>
      </c>
      <c r="BR6" s="1" t="s">
        <v>305</v>
      </c>
      <c r="BS6" s="1" t="s">
        <v>306</v>
      </c>
      <c r="BT6" s="1" t="s">
        <v>307</v>
      </c>
      <c r="BU6" s="1" t="s">
        <v>308</v>
      </c>
      <c r="BV6" s="1" t="s">
        <v>309</v>
      </c>
      <c r="BW6" s="1" t="s">
        <v>310</v>
      </c>
      <c r="BX6" s="1" t="s">
        <v>311</v>
      </c>
    </row>
    <row r="7" spans="1:76" x14ac:dyDescent="0.35">
      <c r="A7" s="20" t="s">
        <v>0</v>
      </c>
      <c r="B7" s="20" t="s">
        <v>138</v>
      </c>
      <c r="C7" s="20" t="str">
        <f t="shared" si="2"/>
        <v>Ativo Circulante</v>
      </c>
      <c r="E7" s="20" t="s">
        <v>0</v>
      </c>
      <c r="F7" s="20" t="s">
        <v>138</v>
      </c>
      <c r="G7" s="20" t="str">
        <f t="shared" si="3"/>
        <v>Ativo Circulante</v>
      </c>
      <c r="I7" s="30" t="s">
        <v>0</v>
      </c>
      <c r="J7" s="30" t="s">
        <v>138</v>
      </c>
      <c r="K7" s="30" t="str">
        <f t="shared" si="4"/>
        <v>Ativo Circulante</v>
      </c>
      <c r="M7" s="30" t="s">
        <v>0</v>
      </c>
      <c r="N7" s="30" t="s">
        <v>138</v>
      </c>
      <c r="O7" s="30" t="str">
        <f t="shared" si="5"/>
        <v>Ativo Circulante</v>
      </c>
      <c r="Q7" s="30" t="s">
        <v>0</v>
      </c>
      <c r="R7" s="30" t="s">
        <v>138</v>
      </c>
      <c r="S7" s="30" t="str">
        <f t="shared" si="6"/>
        <v>Ativo Circulante</v>
      </c>
      <c r="U7" s="36" t="s">
        <v>63</v>
      </c>
      <c r="V7" s="36" t="s">
        <v>180</v>
      </c>
      <c r="W7" s="36" t="str">
        <f t="shared" si="7"/>
        <v>Receita Bruta</v>
      </c>
      <c r="Y7" s="20" t="s">
        <v>0</v>
      </c>
      <c r="Z7" s="30" t="s">
        <v>138</v>
      </c>
      <c r="AA7" s="30" t="str">
        <f t="shared" si="8"/>
        <v>Ativo Circulante</v>
      </c>
      <c r="AC7" s="54" t="s">
        <v>478</v>
      </c>
      <c r="AD7" s="54" t="s">
        <v>478</v>
      </c>
      <c r="AE7" s="54" t="str">
        <f t="shared" si="9"/>
        <v>Triunfo</v>
      </c>
    </row>
    <row r="8" spans="1:76" x14ac:dyDescent="0.35">
      <c r="A8" s="4" t="s">
        <v>2</v>
      </c>
      <c r="B8" s="4" t="s">
        <v>127</v>
      </c>
      <c r="C8" s="4" t="str">
        <f t="shared" si="2"/>
        <v>Disponibilidades</v>
      </c>
      <c r="E8" s="4" t="s">
        <v>2</v>
      </c>
      <c r="F8" s="4" t="s">
        <v>127</v>
      </c>
      <c r="G8" s="4" t="str">
        <f t="shared" si="3"/>
        <v>Disponibilidades</v>
      </c>
      <c r="I8" s="31" t="s">
        <v>2</v>
      </c>
      <c r="J8" s="31" t="s">
        <v>127</v>
      </c>
      <c r="K8" s="31" t="str">
        <f t="shared" si="4"/>
        <v>Disponibilidades</v>
      </c>
      <c r="M8" s="31" t="s">
        <v>2</v>
      </c>
      <c r="N8" s="31" t="s">
        <v>127</v>
      </c>
      <c r="O8" s="31" t="str">
        <f t="shared" si="5"/>
        <v>Disponibilidades</v>
      </c>
      <c r="Q8" s="31" t="s">
        <v>2</v>
      </c>
      <c r="R8" s="31" t="s">
        <v>127</v>
      </c>
      <c r="S8" s="31" t="str">
        <f t="shared" si="6"/>
        <v>Disponibilidades</v>
      </c>
      <c r="U8" s="34" t="s">
        <v>68</v>
      </c>
      <c r="V8" s="34" t="s">
        <v>184</v>
      </c>
      <c r="W8" s="34" t="str">
        <f t="shared" si="7"/>
        <v>Deduções da Receita Bruta</v>
      </c>
      <c r="Y8" s="4" t="s">
        <v>2</v>
      </c>
      <c r="Z8" s="31" t="s">
        <v>127</v>
      </c>
      <c r="AA8" s="31" t="str">
        <f t="shared" si="8"/>
        <v>Disponibilidades</v>
      </c>
      <c r="AC8" s="54" t="s">
        <v>15</v>
      </c>
      <c r="AD8" s="54" t="s">
        <v>15</v>
      </c>
      <c r="AE8" s="54" t="str">
        <f t="shared" si="9"/>
        <v>Concepa</v>
      </c>
      <c r="AG8" s="1" t="str">
        <f t="shared" ref="AG8:BX8" si="10">IF($AG$1=1,AG5,AG6)</f>
        <v>1T11</v>
      </c>
      <c r="AH8" s="1" t="str">
        <f t="shared" si="10"/>
        <v>2T11</v>
      </c>
      <c r="AI8" s="1" t="str">
        <f t="shared" si="10"/>
        <v>3T11</v>
      </c>
      <c r="AJ8" s="1" t="str">
        <f t="shared" si="10"/>
        <v>4T11</v>
      </c>
      <c r="AK8" s="1" t="str">
        <f t="shared" si="10"/>
        <v>1T12</v>
      </c>
      <c r="AL8" s="1" t="str">
        <f t="shared" si="10"/>
        <v>2T12</v>
      </c>
      <c r="AM8" s="1" t="str">
        <f t="shared" si="10"/>
        <v>3T12</v>
      </c>
      <c r="AN8" s="1" t="str">
        <f t="shared" si="10"/>
        <v>4T12</v>
      </c>
      <c r="AO8" s="1" t="str">
        <f t="shared" si="10"/>
        <v>1T13</v>
      </c>
      <c r="AP8" s="1" t="str">
        <f t="shared" si="10"/>
        <v>2T13</v>
      </c>
      <c r="AQ8" s="1" t="str">
        <f t="shared" si="10"/>
        <v>3T13</v>
      </c>
      <c r="AR8" s="1" t="str">
        <f t="shared" si="10"/>
        <v>4T13</v>
      </c>
      <c r="AS8" s="1" t="str">
        <f t="shared" si="10"/>
        <v>1T14</v>
      </c>
      <c r="AT8" s="1" t="str">
        <f t="shared" si="10"/>
        <v>2T14</v>
      </c>
      <c r="AU8" s="1" t="str">
        <f t="shared" si="10"/>
        <v>3T14</v>
      </c>
      <c r="AV8" s="1" t="str">
        <f t="shared" si="10"/>
        <v>4T14</v>
      </c>
      <c r="AW8" s="1" t="str">
        <f t="shared" si="10"/>
        <v>1T15</v>
      </c>
      <c r="AX8" s="1" t="str">
        <f t="shared" si="10"/>
        <v>2T15</v>
      </c>
      <c r="AY8" s="1" t="str">
        <f t="shared" si="10"/>
        <v>3T15</v>
      </c>
      <c r="AZ8" s="1" t="str">
        <f t="shared" si="10"/>
        <v>4T15</v>
      </c>
      <c r="BA8" s="1" t="str">
        <f t="shared" si="10"/>
        <v>1T16</v>
      </c>
      <c r="BB8" s="1" t="str">
        <f t="shared" si="10"/>
        <v>2T16</v>
      </c>
      <c r="BC8" s="1" t="str">
        <f t="shared" si="10"/>
        <v>3T16</v>
      </c>
      <c r="BD8" s="1" t="str">
        <f t="shared" si="10"/>
        <v>4T16</v>
      </c>
      <c r="BE8" s="1" t="str">
        <f t="shared" si="10"/>
        <v>1T17</v>
      </c>
      <c r="BF8" s="1" t="str">
        <f t="shared" si="10"/>
        <v>2T17</v>
      </c>
      <c r="BG8" s="1" t="str">
        <f t="shared" si="10"/>
        <v>3T17</v>
      </c>
      <c r="BH8" s="1" t="str">
        <f t="shared" si="10"/>
        <v>4T17</v>
      </c>
      <c r="BI8" s="1" t="str">
        <f t="shared" si="10"/>
        <v>1T18</v>
      </c>
      <c r="BJ8" s="1" t="str">
        <f t="shared" si="10"/>
        <v>2T18</v>
      </c>
      <c r="BK8" s="1" t="str">
        <f t="shared" si="10"/>
        <v>3T18</v>
      </c>
      <c r="BL8" s="1" t="str">
        <f t="shared" si="10"/>
        <v>4T18</v>
      </c>
      <c r="BM8" s="1" t="str">
        <f t="shared" si="10"/>
        <v>1T19</v>
      </c>
      <c r="BN8" s="1" t="str">
        <f t="shared" si="10"/>
        <v>2T19</v>
      </c>
      <c r="BO8" s="1" t="str">
        <f t="shared" si="10"/>
        <v>3T19</v>
      </c>
      <c r="BP8" s="1" t="str">
        <f t="shared" si="10"/>
        <v>4T19</v>
      </c>
      <c r="BQ8" s="1" t="str">
        <f t="shared" si="10"/>
        <v>1T20</v>
      </c>
      <c r="BR8" s="1" t="str">
        <f t="shared" si="10"/>
        <v>2T20</v>
      </c>
      <c r="BS8" s="1" t="str">
        <f t="shared" si="10"/>
        <v>3T20</v>
      </c>
      <c r="BT8" s="1" t="str">
        <f t="shared" si="10"/>
        <v>4T20</v>
      </c>
      <c r="BU8" s="1" t="str">
        <f t="shared" si="10"/>
        <v>1T21</v>
      </c>
      <c r="BV8" s="1" t="str">
        <f t="shared" si="10"/>
        <v>2T21</v>
      </c>
      <c r="BW8" s="1" t="str">
        <f t="shared" si="10"/>
        <v>3T21</v>
      </c>
      <c r="BX8" s="1" t="str">
        <f t="shared" si="10"/>
        <v>4T21</v>
      </c>
    </row>
    <row r="9" spans="1:76" x14ac:dyDescent="0.35">
      <c r="A9" s="4" t="s">
        <v>3</v>
      </c>
      <c r="B9" s="4" t="s">
        <v>128</v>
      </c>
      <c r="C9" s="4" t="str">
        <f t="shared" si="2"/>
        <v>Aplicações Financeiras Vinculadas</v>
      </c>
      <c r="E9" s="4" t="s">
        <v>3</v>
      </c>
      <c r="F9" s="4" t="s">
        <v>128</v>
      </c>
      <c r="G9" s="4" t="str">
        <f t="shared" si="3"/>
        <v>Aplicações Financeiras Vinculadas</v>
      </c>
      <c r="I9" s="31" t="s">
        <v>3</v>
      </c>
      <c r="J9" s="31" t="s">
        <v>128</v>
      </c>
      <c r="K9" s="31" t="str">
        <f t="shared" si="4"/>
        <v>Aplicações Financeiras Vinculadas</v>
      </c>
      <c r="M9" s="31" t="s">
        <v>3</v>
      </c>
      <c r="N9" s="31" t="s">
        <v>128</v>
      </c>
      <c r="O9" s="31" t="str">
        <f t="shared" si="5"/>
        <v>Aplicações Financeiras Vinculadas</v>
      </c>
      <c r="Q9" s="31" t="s">
        <v>3</v>
      </c>
      <c r="R9" s="31" t="s">
        <v>128</v>
      </c>
      <c r="S9" s="31" t="str">
        <f t="shared" si="6"/>
        <v>Aplicações Financeiras Vinculadas</v>
      </c>
      <c r="U9" s="58" t="s">
        <v>67</v>
      </c>
      <c r="V9" s="58" t="s">
        <v>185</v>
      </c>
      <c r="W9" s="58" t="str">
        <f t="shared" si="7"/>
        <v>Receita Operacional Líquida</v>
      </c>
      <c r="Y9" s="4" t="s">
        <v>3</v>
      </c>
      <c r="Z9" s="31" t="s">
        <v>128</v>
      </c>
      <c r="AA9" s="31" t="str">
        <f t="shared" si="8"/>
        <v>Aplicações Financeiras Vinculadas</v>
      </c>
      <c r="AC9" s="54" t="s">
        <v>16</v>
      </c>
      <c r="AD9" s="54" t="s">
        <v>16</v>
      </c>
      <c r="AE9" s="54" t="str">
        <f t="shared" si="9"/>
        <v>Concer</v>
      </c>
    </row>
    <row r="10" spans="1:76" x14ac:dyDescent="0.35">
      <c r="A10" s="4" t="s">
        <v>651</v>
      </c>
      <c r="B10" s="4" t="s">
        <v>650</v>
      </c>
      <c r="C10" s="4" t="s">
        <v>650</v>
      </c>
      <c r="E10" s="4" t="s">
        <v>4</v>
      </c>
      <c r="F10" s="4" t="s">
        <v>129</v>
      </c>
      <c r="G10" s="4" t="str">
        <f t="shared" si="3"/>
        <v>Contas a Receber de Clientes</v>
      </c>
      <c r="I10" s="31" t="s">
        <v>4</v>
      </c>
      <c r="J10" s="31" t="s">
        <v>129</v>
      </c>
      <c r="K10" s="31" t="str">
        <f t="shared" si="4"/>
        <v>Contas a Receber de Clientes</v>
      </c>
      <c r="M10" s="31" t="s">
        <v>4</v>
      </c>
      <c r="N10" s="31" t="s">
        <v>129</v>
      </c>
      <c r="O10" s="31" t="str">
        <f t="shared" si="5"/>
        <v>Contas a Receber de Clientes</v>
      </c>
      <c r="Q10" s="31" t="s">
        <v>4</v>
      </c>
      <c r="R10" s="31" t="s">
        <v>129</v>
      </c>
      <c r="S10" s="31" t="str">
        <f t="shared" si="6"/>
        <v>Contas a Receber de Clientes</v>
      </c>
      <c r="U10" s="58" t="s">
        <v>78</v>
      </c>
      <c r="V10" s="58" t="s">
        <v>186</v>
      </c>
      <c r="W10" s="58" t="str">
        <f t="shared" si="7"/>
        <v>Custos Operacionais</v>
      </c>
      <c r="Y10" s="4" t="s">
        <v>651</v>
      </c>
      <c r="Z10" s="31" t="s">
        <v>650</v>
      </c>
      <c r="AA10" s="31" t="s">
        <v>650</v>
      </c>
      <c r="AC10" s="54" t="s">
        <v>17</v>
      </c>
      <c r="AD10" s="54" t="s">
        <v>17</v>
      </c>
      <c r="AE10" s="54" t="str">
        <f t="shared" si="9"/>
        <v>Econorte</v>
      </c>
    </row>
    <row r="11" spans="1:76" x14ac:dyDescent="0.35">
      <c r="A11" s="4" t="s">
        <v>4</v>
      </c>
      <c r="B11" s="4" t="s">
        <v>129</v>
      </c>
      <c r="C11" s="4" t="str">
        <f t="shared" si="2"/>
        <v>Contas a Receber de Clientes</v>
      </c>
      <c r="E11" s="4" t="s">
        <v>5</v>
      </c>
      <c r="F11" s="4" t="s">
        <v>130</v>
      </c>
      <c r="G11" s="4" t="str">
        <f t="shared" si="3"/>
        <v>Indenizações de seguro a receber</v>
      </c>
      <c r="I11" s="31" t="s">
        <v>5</v>
      </c>
      <c r="J11" s="31" t="s">
        <v>130</v>
      </c>
      <c r="K11" s="31" t="str">
        <f t="shared" si="4"/>
        <v>Indenizações de seguro a receber</v>
      </c>
      <c r="M11" s="31" t="s">
        <v>5</v>
      </c>
      <c r="N11" s="31" t="s">
        <v>130</v>
      </c>
      <c r="O11" s="31" t="str">
        <f t="shared" si="5"/>
        <v>Indenizações de seguro a receber</v>
      </c>
      <c r="Q11" s="31" t="s">
        <v>5</v>
      </c>
      <c r="R11" s="31" t="s">
        <v>130</v>
      </c>
      <c r="S11" s="31" t="str">
        <f t="shared" si="6"/>
        <v>Indenizações de seguro a receber</v>
      </c>
      <c r="U11" s="34" t="s">
        <v>71</v>
      </c>
      <c r="V11" s="34" t="s">
        <v>189</v>
      </c>
      <c r="W11" s="34" t="str">
        <f t="shared" si="7"/>
        <v>Custos com Pessoal</v>
      </c>
      <c r="Y11" s="4" t="s">
        <v>4</v>
      </c>
      <c r="Z11" s="31" t="s">
        <v>129</v>
      </c>
      <c r="AA11" s="31" t="str">
        <f t="shared" si="8"/>
        <v>Contas a Receber de Clientes</v>
      </c>
      <c r="AC11" s="54" t="s">
        <v>326</v>
      </c>
      <c r="AD11" s="54" t="s">
        <v>326</v>
      </c>
      <c r="AE11" s="54" t="str">
        <f t="shared" si="9"/>
        <v>Portonave</v>
      </c>
      <c r="AG11" s="28"/>
      <c r="AH11" s="28"/>
      <c r="AI11" s="28" t="s">
        <v>437</v>
      </c>
    </row>
    <row r="12" spans="1:76" x14ac:dyDescent="0.35">
      <c r="A12" s="4" t="s">
        <v>632</v>
      </c>
      <c r="B12" s="4" t="s">
        <v>631</v>
      </c>
      <c r="C12" s="4" t="str">
        <f t="shared" si="2"/>
        <v>Indenizações a receber - aditivos</v>
      </c>
      <c r="E12" s="4" t="s">
        <v>6</v>
      </c>
      <c r="F12" s="4" t="s">
        <v>131</v>
      </c>
      <c r="G12" s="4" t="str">
        <f t="shared" si="3"/>
        <v>Adiantamento a Fornecedores</v>
      </c>
      <c r="I12" s="31" t="s">
        <v>6</v>
      </c>
      <c r="J12" s="31" t="s">
        <v>131</v>
      </c>
      <c r="K12" s="31" t="str">
        <f t="shared" si="4"/>
        <v>Adiantamento a Fornecedores</v>
      </c>
      <c r="M12" s="31" t="s">
        <v>6</v>
      </c>
      <c r="N12" s="31" t="s">
        <v>131</v>
      </c>
      <c r="O12" s="31" t="str">
        <f t="shared" si="5"/>
        <v>Adiantamento a Fornecedores</v>
      </c>
      <c r="Q12" s="31" t="s">
        <v>6</v>
      </c>
      <c r="R12" s="31" t="s">
        <v>131</v>
      </c>
      <c r="S12" s="31" t="str">
        <f t="shared" si="6"/>
        <v>Adiantamento a Fornecedores</v>
      </c>
      <c r="U12" s="34" t="s">
        <v>72</v>
      </c>
      <c r="V12" s="34" t="s">
        <v>190</v>
      </c>
      <c r="W12" s="34" t="str">
        <f t="shared" si="7"/>
        <v>Depreciação e Amortização</v>
      </c>
      <c r="Y12" s="4" t="s">
        <v>632</v>
      </c>
      <c r="Z12" s="31" t="s">
        <v>631</v>
      </c>
      <c r="AA12" s="31" t="str">
        <f t="shared" si="8"/>
        <v>Indenizações a receber - aditivos</v>
      </c>
      <c r="AC12" s="54" t="s">
        <v>327</v>
      </c>
      <c r="AD12" s="54" t="s">
        <v>327</v>
      </c>
      <c r="AE12" s="54" t="str">
        <f t="shared" si="9"/>
        <v>Iceport</v>
      </c>
      <c r="AG12" s="69" t="s">
        <v>432</v>
      </c>
      <c r="AH12" s="69" t="s">
        <v>431</v>
      </c>
      <c r="AI12" s="69" t="str">
        <f>IF($AG$1=1,AH12,AG12)</f>
        <v>IR PARA:</v>
      </c>
    </row>
    <row r="13" spans="1:76" x14ac:dyDescent="0.35">
      <c r="A13" s="4" t="s">
        <v>6</v>
      </c>
      <c r="B13" s="4" t="s">
        <v>131</v>
      </c>
      <c r="C13" s="4" t="str">
        <f t="shared" si="2"/>
        <v>Adiantamento a Fornecedores</v>
      </c>
      <c r="E13" s="4" t="s">
        <v>7</v>
      </c>
      <c r="F13" s="4" t="s">
        <v>132</v>
      </c>
      <c r="G13" s="4" t="str">
        <f t="shared" si="3"/>
        <v>Impostos a Recuperar</v>
      </c>
      <c r="I13" s="31" t="s">
        <v>7</v>
      </c>
      <c r="J13" s="31" t="s">
        <v>132</v>
      </c>
      <c r="K13" s="31" t="str">
        <f t="shared" si="4"/>
        <v>Impostos a Recuperar</v>
      </c>
      <c r="M13" s="31" t="s">
        <v>7</v>
      </c>
      <c r="N13" s="31" t="s">
        <v>132</v>
      </c>
      <c r="O13" s="31" t="str">
        <f t="shared" si="5"/>
        <v>Impostos a Recuperar</v>
      </c>
      <c r="Q13" s="31" t="s">
        <v>7</v>
      </c>
      <c r="R13" s="31" t="s">
        <v>132</v>
      </c>
      <c r="S13" s="31" t="str">
        <f t="shared" si="6"/>
        <v>Impostos a Recuperar</v>
      </c>
      <c r="U13" s="58" t="s">
        <v>74</v>
      </c>
      <c r="V13" s="58" t="s">
        <v>191</v>
      </c>
      <c r="W13" s="58" t="str">
        <f t="shared" si="7"/>
        <v>Despesas Operacionais</v>
      </c>
      <c r="Y13" s="4" t="s">
        <v>6</v>
      </c>
      <c r="Z13" s="31" t="s">
        <v>131</v>
      </c>
      <c r="AA13" s="31" t="str">
        <f t="shared" si="8"/>
        <v>Adiantamento a Fornecedores</v>
      </c>
      <c r="AC13" s="54" t="s">
        <v>397</v>
      </c>
      <c r="AD13" s="54" t="s">
        <v>397</v>
      </c>
      <c r="AE13" s="54" t="str">
        <f t="shared" si="9"/>
        <v>Cabotagem</v>
      </c>
      <c r="AG13" t="s">
        <v>433</v>
      </c>
      <c r="AH13" t="s">
        <v>434</v>
      </c>
      <c r="AI13" t="str">
        <f>IF($AG$1=1,AH13,AG13)</f>
        <v>Consolidação Proporcional</v>
      </c>
    </row>
    <row r="14" spans="1:76" x14ac:dyDescent="0.35">
      <c r="A14" s="4" t="s">
        <v>7</v>
      </c>
      <c r="B14" s="4" t="s">
        <v>132</v>
      </c>
      <c r="C14" s="4" t="str">
        <f t="shared" si="2"/>
        <v>Impostos a Recuperar</v>
      </c>
      <c r="E14" s="4" t="s">
        <v>8</v>
      </c>
      <c r="F14" s="4" t="s">
        <v>133</v>
      </c>
      <c r="G14" s="4" t="str">
        <f t="shared" si="3"/>
        <v>Estoques</v>
      </c>
      <c r="M14" s="31" t="s">
        <v>8</v>
      </c>
      <c r="N14" s="31" t="s">
        <v>133</v>
      </c>
      <c r="O14" s="31" t="str">
        <f t="shared" si="5"/>
        <v>Estoques</v>
      </c>
      <c r="Q14" s="31" t="s">
        <v>8</v>
      </c>
      <c r="R14" s="31" t="s">
        <v>133</v>
      </c>
      <c r="S14" s="31" t="str">
        <f t="shared" si="6"/>
        <v>Estoques</v>
      </c>
      <c r="U14" s="34" t="s">
        <v>75</v>
      </c>
      <c r="V14" s="34" t="s">
        <v>192</v>
      </c>
      <c r="W14" s="34" t="str">
        <f t="shared" si="7"/>
        <v>Gerais e Administrativas</v>
      </c>
      <c r="Y14" s="4" t="s">
        <v>7</v>
      </c>
      <c r="Z14" s="31" t="s">
        <v>132</v>
      </c>
      <c r="AA14" s="31" t="str">
        <f t="shared" si="8"/>
        <v>Impostos a Recuperar</v>
      </c>
      <c r="AC14" s="54" t="s">
        <v>506</v>
      </c>
      <c r="AD14" s="54" t="s">
        <v>506</v>
      </c>
      <c r="AE14" s="54" t="str">
        <f t="shared" si="9"/>
        <v>Aeroportos Brasil</v>
      </c>
      <c r="AG14" t="s">
        <v>64</v>
      </c>
      <c r="AH14" t="s">
        <v>394</v>
      </c>
      <c r="AI14" t="str">
        <f>IF($AG$1=1,AH14,AG14)</f>
        <v>Concessões Rodoviárias</v>
      </c>
    </row>
    <row r="15" spans="1:76" x14ac:dyDescent="0.35">
      <c r="A15" s="4" t="s">
        <v>8</v>
      </c>
      <c r="B15" s="4" t="s">
        <v>133</v>
      </c>
      <c r="C15" s="4" t="str">
        <f t="shared" si="2"/>
        <v>Estoques</v>
      </c>
      <c r="E15" s="4"/>
      <c r="F15" s="4"/>
      <c r="G15" s="4"/>
      <c r="I15" s="31" t="s">
        <v>642</v>
      </c>
      <c r="J15" s="31" t="s">
        <v>603</v>
      </c>
      <c r="K15" s="31" t="str">
        <f>IF($AG$1=1,J15,I15)</f>
        <v>Operações Descontinuadas</v>
      </c>
      <c r="M15" s="31"/>
      <c r="N15" s="31"/>
      <c r="O15" s="31"/>
      <c r="Q15" s="31"/>
      <c r="R15" s="31"/>
      <c r="S15" s="31"/>
      <c r="U15" s="34"/>
      <c r="V15" s="34"/>
      <c r="W15" s="34"/>
      <c r="Y15" s="4" t="s">
        <v>8</v>
      </c>
      <c r="Z15" s="31" t="s">
        <v>133</v>
      </c>
      <c r="AA15" s="31" t="str">
        <f t="shared" si="8"/>
        <v>Estoques</v>
      </c>
    </row>
    <row r="16" spans="1:76" x14ac:dyDescent="0.35">
      <c r="A16" s="4"/>
      <c r="B16" s="4"/>
      <c r="C16" s="4"/>
      <c r="E16" s="4" t="s">
        <v>9</v>
      </c>
      <c r="F16" s="4" t="s">
        <v>134</v>
      </c>
      <c r="G16" s="4" t="str">
        <f t="shared" si="3"/>
        <v>Contas a receber - partes relacionadas</v>
      </c>
      <c r="I16" s="31" t="s">
        <v>9</v>
      </c>
      <c r="J16" s="31" t="s">
        <v>134</v>
      </c>
      <c r="K16" s="31" t="str">
        <f t="shared" si="4"/>
        <v>Contas a receber - partes relacionadas</v>
      </c>
      <c r="M16" s="31" t="s">
        <v>9</v>
      </c>
      <c r="N16" s="31" t="s">
        <v>134</v>
      </c>
      <c r="O16" s="31" t="str">
        <f t="shared" si="5"/>
        <v>Contas a receber - partes relacionadas</v>
      </c>
      <c r="Q16" s="31" t="s">
        <v>9</v>
      </c>
      <c r="R16" s="31" t="s">
        <v>134</v>
      </c>
      <c r="S16" s="31" t="str">
        <f t="shared" si="6"/>
        <v>Contas a receber - partes relacionadas</v>
      </c>
      <c r="U16" s="34" t="s">
        <v>72</v>
      </c>
      <c r="V16" s="34" t="s">
        <v>190</v>
      </c>
      <c r="W16" s="34" t="str">
        <f t="shared" si="7"/>
        <v>Depreciação e Amortização</v>
      </c>
      <c r="Y16" s="4" t="s">
        <v>634</v>
      </c>
      <c r="Z16" s="31" t="s">
        <v>633</v>
      </c>
      <c r="AA16" s="31" t="str">
        <f t="shared" si="8"/>
        <v>Instrumentos Financeiros Derivativos</v>
      </c>
      <c r="AC16" s="54" t="s">
        <v>313</v>
      </c>
      <c r="AD16" s="54" t="s">
        <v>313</v>
      </c>
      <c r="AE16" s="54" t="str">
        <f t="shared" si="9"/>
        <v>Rio Canoas</v>
      </c>
      <c r="AG16" t="s">
        <v>414</v>
      </c>
      <c r="AH16" t="s">
        <v>395</v>
      </c>
      <c r="AI16" t="str">
        <f t="shared" ref="AI16:AI20" si="11">IF($AG$1=1,AH16,AG16)</f>
        <v>Energia</v>
      </c>
    </row>
    <row r="17" spans="1:35" x14ac:dyDescent="0.35">
      <c r="A17" s="4" t="s">
        <v>634</v>
      </c>
      <c r="B17" s="4" t="s">
        <v>633</v>
      </c>
      <c r="C17" s="4" t="str">
        <f t="shared" si="2"/>
        <v>Instrumentos Financeiros Derivativos</v>
      </c>
      <c r="E17" s="4" t="s">
        <v>10</v>
      </c>
      <c r="F17" s="4" t="s">
        <v>135</v>
      </c>
      <c r="G17" s="4" t="str">
        <f t="shared" si="3"/>
        <v>Dividendos e JCP a receber</v>
      </c>
      <c r="I17" s="31" t="s">
        <v>10</v>
      </c>
      <c r="J17" s="31" t="s">
        <v>135</v>
      </c>
      <c r="K17" s="31" t="str">
        <f t="shared" si="4"/>
        <v>Dividendos e JCP a receber</v>
      </c>
      <c r="M17" s="31" t="s">
        <v>10</v>
      </c>
      <c r="N17" s="31" t="s">
        <v>135</v>
      </c>
      <c r="O17" s="31" t="str">
        <f t="shared" si="5"/>
        <v>Dividendos e JCP a receber</v>
      </c>
      <c r="Q17" s="31" t="s">
        <v>10</v>
      </c>
      <c r="R17" s="31" t="s">
        <v>135</v>
      </c>
      <c r="S17" s="31" t="str">
        <f t="shared" si="6"/>
        <v>Dividendos e JCP a receber</v>
      </c>
      <c r="U17" s="34" t="s">
        <v>77</v>
      </c>
      <c r="V17" s="34" t="s">
        <v>323</v>
      </c>
      <c r="W17" s="34" t="str">
        <f t="shared" si="7"/>
        <v>Outras Receitas (Despesas) Operacionais</v>
      </c>
      <c r="Y17" s="4" t="s">
        <v>9</v>
      </c>
      <c r="Z17" s="31" t="s">
        <v>134</v>
      </c>
      <c r="AA17" s="31" t="str">
        <f t="shared" si="8"/>
        <v>Contas a receber - partes relacionadas</v>
      </c>
      <c r="AC17" s="54" t="s">
        <v>312</v>
      </c>
      <c r="AD17" s="54" t="s">
        <v>312</v>
      </c>
      <c r="AE17" s="54" t="str">
        <f t="shared" si="9"/>
        <v>Rio Verde</v>
      </c>
      <c r="AG17" t="s">
        <v>426</v>
      </c>
      <c r="AH17" t="s">
        <v>396</v>
      </c>
      <c r="AI17" t="str">
        <f t="shared" si="11"/>
        <v>Portos</v>
      </c>
    </row>
    <row r="18" spans="1:35" x14ac:dyDescent="0.35">
      <c r="A18" s="4" t="s">
        <v>9</v>
      </c>
      <c r="B18" s="4" t="s">
        <v>134</v>
      </c>
      <c r="C18" s="4" t="str">
        <f t="shared" si="2"/>
        <v>Contas a receber - partes relacionadas</v>
      </c>
      <c r="E18" s="4" t="s">
        <v>11</v>
      </c>
      <c r="F18" s="4" t="s">
        <v>136</v>
      </c>
      <c r="G18" s="4" t="str">
        <f t="shared" si="3"/>
        <v>Despesas de Exercícios Seguintes</v>
      </c>
      <c r="I18" s="31" t="s">
        <v>11</v>
      </c>
      <c r="J18" s="31" t="s">
        <v>136</v>
      </c>
      <c r="K18" s="31" t="str">
        <f t="shared" si="4"/>
        <v>Despesas de Exercícios Seguintes</v>
      </c>
      <c r="M18" s="31" t="s">
        <v>11</v>
      </c>
      <c r="N18" s="31" t="s">
        <v>136</v>
      </c>
      <c r="O18" s="31" t="str">
        <f t="shared" si="5"/>
        <v>Despesas de Exercícios Seguintes</v>
      </c>
      <c r="Q18" s="31" t="s">
        <v>11</v>
      </c>
      <c r="R18" s="31" t="s">
        <v>136</v>
      </c>
      <c r="S18" s="31" t="str">
        <f t="shared" si="6"/>
        <v>Despesas de Exercícios Seguintes</v>
      </c>
      <c r="U18" s="36" t="s">
        <v>81</v>
      </c>
      <c r="V18" s="36" t="s">
        <v>193</v>
      </c>
      <c r="W18" s="36" t="str">
        <f t="shared" si="7"/>
        <v>EBIT - Lucro Operacional</v>
      </c>
      <c r="Y18" s="4" t="s">
        <v>10</v>
      </c>
      <c r="Z18" s="31" t="s">
        <v>135</v>
      </c>
      <c r="AA18" s="31" t="str">
        <f t="shared" si="8"/>
        <v>Dividendos e JCP a receber</v>
      </c>
      <c r="AC18" s="54" t="s">
        <v>527</v>
      </c>
      <c r="AD18" s="54" t="s">
        <v>527</v>
      </c>
      <c r="AE18" s="54" t="str">
        <f t="shared" si="9"/>
        <v>Vetria</v>
      </c>
      <c r="AG18" t="s">
        <v>415</v>
      </c>
      <c r="AH18" t="s">
        <v>397</v>
      </c>
      <c r="AI18" t="str">
        <f t="shared" si="11"/>
        <v>Cabotagem</v>
      </c>
    </row>
    <row r="19" spans="1:35" x14ac:dyDescent="0.35">
      <c r="A19" s="4" t="s">
        <v>10</v>
      </c>
      <c r="B19" s="4" t="s">
        <v>135</v>
      </c>
      <c r="C19" s="4" t="str">
        <f t="shared" si="2"/>
        <v>Dividendos e JCP a receber</v>
      </c>
      <c r="E19" s="4" t="s">
        <v>12</v>
      </c>
      <c r="F19" s="4" t="s">
        <v>137</v>
      </c>
      <c r="G19" s="4" t="str">
        <f t="shared" si="3"/>
        <v>Outros Créditos</v>
      </c>
      <c r="I19" s="31" t="s">
        <v>12</v>
      </c>
      <c r="J19" s="31" t="s">
        <v>137</v>
      </c>
      <c r="K19" s="31" t="str">
        <f t="shared" si="4"/>
        <v>Outros Créditos</v>
      </c>
      <c r="M19" s="31" t="s">
        <v>12</v>
      </c>
      <c r="N19" s="31" t="s">
        <v>137</v>
      </c>
      <c r="O19" s="31" t="str">
        <f t="shared" si="5"/>
        <v>Outros Créditos</v>
      </c>
      <c r="Q19" s="31" t="s">
        <v>12</v>
      </c>
      <c r="R19" s="31" t="s">
        <v>137</v>
      </c>
      <c r="S19" s="31" t="str">
        <f t="shared" si="6"/>
        <v>Outros Créditos</v>
      </c>
      <c r="U19" s="42" t="s">
        <v>420</v>
      </c>
      <c r="V19" s="42" t="s">
        <v>330</v>
      </c>
      <c r="W19" s="42" t="str">
        <f t="shared" si="7"/>
        <v>Resultado de Equivalência Patrimonial</v>
      </c>
      <c r="Y19" s="4" t="s">
        <v>11</v>
      </c>
      <c r="Z19" s="31" t="s">
        <v>136</v>
      </c>
      <c r="AA19" s="31" t="str">
        <f t="shared" si="8"/>
        <v>Despesas de Exercícios Seguintes</v>
      </c>
      <c r="AC19" s="54" t="s">
        <v>314</v>
      </c>
      <c r="AD19" s="54" t="s">
        <v>319</v>
      </c>
      <c r="AE19" s="54" t="str">
        <f t="shared" si="9"/>
        <v>Outros</v>
      </c>
      <c r="AG19" t="s">
        <v>427</v>
      </c>
      <c r="AH19" t="s">
        <v>398</v>
      </c>
      <c r="AI19" t="str">
        <f t="shared" si="11"/>
        <v>Aeroportos</v>
      </c>
    </row>
    <row r="20" spans="1:35" x14ac:dyDescent="0.35">
      <c r="A20" s="4" t="s">
        <v>11</v>
      </c>
      <c r="B20" s="4" t="s">
        <v>136</v>
      </c>
      <c r="C20" s="4" t="str">
        <f t="shared" si="2"/>
        <v>Despesas de Exercícios Seguintes</v>
      </c>
      <c r="E20" s="3" t="s">
        <v>13</v>
      </c>
      <c r="F20" s="3" t="s">
        <v>144</v>
      </c>
      <c r="G20" s="3" t="str">
        <f t="shared" si="3"/>
        <v>Ativo Não Circulante</v>
      </c>
      <c r="I20" s="32" t="s">
        <v>13</v>
      </c>
      <c r="J20" s="32" t="s">
        <v>144</v>
      </c>
      <c r="K20" s="32" t="str">
        <f t="shared" si="4"/>
        <v>Ativo Não Circulante</v>
      </c>
      <c r="M20" s="32" t="s">
        <v>13</v>
      </c>
      <c r="N20" s="32" t="s">
        <v>144</v>
      </c>
      <c r="O20" s="32" t="str">
        <f t="shared" si="5"/>
        <v>Ativo Não Circulante</v>
      </c>
      <c r="Q20" s="32" t="s">
        <v>13</v>
      </c>
      <c r="R20" s="32" t="s">
        <v>144</v>
      </c>
      <c r="S20" s="32" t="str">
        <f t="shared" si="6"/>
        <v>Ativo Não Circulante</v>
      </c>
      <c r="U20" s="42" t="s">
        <v>79</v>
      </c>
      <c r="V20" s="42" t="s">
        <v>194</v>
      </c>
      <c r="W20" s="42" t="str">
        <f t="shared" si="7"/>
        <v>Resultado Financeiro</v>
      </c>
      <c r="Y20" s="4" t="s">
        <v>12</v>
      </c>
      <c r="Z20" s="31" t="s">
        <v>137</v>
      </c>
      <c r="AA20" s="31" t="str">
        <f t="shared" si="8"/>
        <v>Outros Créditos</v>
      </c>
      <c r="AC20" s="29" t="s">
        <v>584</v>
      </c>
      <c r="AD20" s="29" t="s">
        <v>584</v>
      </c>
      <c r="AE20" s="29" t="str">
        <f t="shared" si="9"/>
        <v>TOTAL</v>
      </c>
      <c r="AG20" t="s">
        <v>436</v>
      </c>
      <c r="AH20" t="s">
        <v>435</v>
      </c>
      <c r="AI20" t="str">
        <f t="shared" si="11"/>
        <v>Controladora</v>
      </c>
    </row>
    <row r="21" spans="1:35" x14ac:dyDescent="0.35">
      <c r="A21" s="4" t="s">
        <v>12</v>
      </c>
      <c r="B21" s="4" t="s">
        <v>137</v>
      </c>
      <c r="C21" s="4" t="str">
        <f t="shared" si="2"/>
        <v>Outros Créditos</v>
      </c>
      <c r="E21" s="4" t="s">
        <v>337</v>
      </c>
      <c r="F21" s="4" t="s">
        <v>140</v>
      </c>
      <c r="G21" s="4" t="str">
        <f t="shared" si="3"/>
        <v>Realizável a Longo Prazo (RLP)</v>
      </c>
      <c r="I21" s="31" t="s">
        <v>337</v>
      </c>
      <c r="J21" s="31" t="s">
        <v>140</v>
      </c>
      <c r="K21" s="31" t="str">
        <f t="shared" si="4"/>
        <v>Realizável a Longo Prazo (RLP)</v>
      </c>
      <c r="M21" s="31" t="s">
        <v>337</v>
      </c>
      <c r="N21" s="31" t="s">
        <v>140</v>
      </c>
      <c r="O21" s="31" t="str">
        <f t="shared" si="5"/>
        <v>Realizável a Longo Prazo (RLP)</v>
      </c>
      <c r="Q21" s="31" t="s">
        <v>337</v>
      </c>
      <c r="R21" s="31" t="s">
        <v>140</v>
      </c>
      <c r="S21" s="31" t="str">
        <f t="shared" si="6"/>
        <v>Realizável a Longo Prazo (RLP)</v>
      </c>
      <c r="U21" s="42" t="s">
        <v>80</v>
      </c>
      <c r="V21" s="42" t="s">
        <v>195</v>
      </c>
      <c r="W21" s="42" t="str">
        <f t="shared" si="7"/>
        <v>Imposto sobre o Lucro</v>
      </c>
      <c r="Y21" s="3" t="s">
        <v>13</v>
      </c>
      <c r="Z21" s="32" t="s">
        <v>144</v>
      </c>
      <c r="AA21" s="32" t="str">
        <f t="shared" si="8"/>
        <v>Ativo Não Circulante</v>
      </c>
      <c r="AG21" s="70" t="s">
        <v>598</v>
      </c>
      <c r="AH21" s="70" t="s">
        <v>597</v>
      </c>
      <c r="AI21" s="70" t="str">
        <f t="shared" ref="AI21" si="12">IF($AG$1=1,AH21,AG21)</f>
        <v>Endividamento</v>
      </c>
    </row>
    <row r="22" spans="1:35" x14ac:dyDescent="0.35">
      <c r="A22" s="3" t="s">
        <v>13</v>
      </c>
      <c r="B22" s="3" t="s">
        <v>144</v>
      </c>
      <c r="C22" s="3" t="str">
        <f t="shared" si="2"/>
        <v>Ativo Não Circulante</v>
      </c>
      <c r="E22" s="4" t="s">
        <v>14</v>
      </c>
      <c r="F22" s="4" t="s">
        <v>141</v>
      </c>
      <c r="G22" s="4" t="str">
        <f t="shared" si="3"/>
        <v>Investimentos</v>
      </c>
      <c r="I22" s="31" t="s">
        <v>14</v>
      </c>
      <c r="J22" s="31" t="s">
        <v>141</v>
      </c>
      <c r="K22" s="31" t="str">
        <f t="shared" si="4"/>
        <v>Investimentos</v>
      </c>
      <c r="M22" s="31" t="s">
        <v>14</v>
      </c>
      <c r="N22" s="31" t="s">
        <v>141</v>
      </c>
      <c r="O22" s="31" t="str">
        <f t="shared" si="5"/>
        <v>Investimentos</v>
      </c>
      <c r="Q22" s="31" t="s">
        <v>14</v>
      </c>
      <c r="R22" s="31" t="s">
        <v>141</v>
      </c>
      <c r="S22" s="31" t="str">
        <f t="shared" si="6"/>
        <v>Investimentos</v>
      </c>
      <c r="U22" s="46" t="s">
        <v>83</v>
      </c>
      <c r="V22" s="46" t="s">
        <v>196</v>
      </c>
      <c r="W22" s="46" t="str">
        <f t="shared" si="7"/>
        <v>Corrente</v>
      </c>
      <c r="Y22" s="4" t="s">
        <v>337</v>
      </c>
      <c r="Z22" s="31" t="s">
        <v>140</v>
      </c>
      <c r="AA22" s="31" t="str">
        <f t="shared" si="8"/>
        <v>Realizável a Longo Prazo (RLP)</v>
      </c>
    </row>
    <row r="23" spans="1:35" x14ac:dyDescent="0.35">
      <c r="A23" s="4" t="s">
        <v>337</v>
      </c>
      <c r="B23" s="4" t="s">
        <v>140</v>
      </c>
      <c r="C23" s="4" t="str">
        <f t="shared" si="2"/>
        <v>Realizável a Longo Prazo (RLP)</v>
      </c>
      <c r="E23" s="4" t="s">
        <v>338</v>
      </c>
      <c r="F23" s="4" t="s">
        <v>142</v>
      </c>
      <c r="G23" s="4" t="str">
        <f t="shared" si="3"/>
        <v>Imobilizado</v>
      </c>
      <c r="I23" s="31" t="s">
        <v>338</v>
      </c>
      <c r="J23" s="31" t="s">
        <v>142</v>
      </c>
      <c r="K23" s="31" t="str">
        <f t="shared" si="4"/>
        <v>Imobilizado</v>
      </c>
      <c r="M23" s="31" t="s">
        <v>338</v>
      </c>
      <c r="N23" s="31" t="s">
        <v>142</v>
      </c>
      <c r="O23" s="31" t="str">
        <f t="shared" si="5"/>
        <v>Imobilizado</v>
      </c>
      <c r="Q23" s="31" t="s">
        <v>338</v>
      </c>
      <c r="R23" s="31" t="s">
        <v>142</v>
      </c>
      <c r="S23" s="31" t="str">
        <f t="shared" si="6"/>
        <v>Imobilizado</v>
      </c>
      <c r="U23" s="46" t="s">
        <v>84</v>
      </c>
      <c r="V23" s="46" t="s">
        <v>197</v>
      </c>
      <c r="W23" s="46" t="str">
        <f t="shared" si="7"/>
        <v>Diferido</v>
      </c>
      <c r="Y23" s="4" t="s">
        <v>14</v>
      </c>
      <c r="Z23" s="31" t="s">
        <v>141</v>
      </c>
      <c r="AA23" s="31" t="str">
        <f t="shared" si="8"/>
        <v>Investimentos</v>
      </c>
      <c r="AC23" s="29" t="s">
        <v>539</v>
      </c>
      <c r="AD23" s="29" t="s">
        <v>535</v>
      </c>
      <c r="AE23" s="29" t="str">
        <f t="shared" ref="AE23:AE48" si="13">IF($AG$1=1,AD23,AC23)</f>
        <v>FINANCIAMENTO</v>
      </c>
    </row>
    <row r="24" spans="1:35" x14ac:dyDescent="0.35">
      <c r="A24" s="4" t="s">
        <v>14</v>
      </c>
      <c r="B24" s="4" t="s">
        <v>141</v>
      </c>
      <c r="C24" s="4" t="str">
        <f t="shared" si="2"/>
        <v>Investimentos</v>
      </c>
      <c r="E24" s="6" t="s">
        <v>312</v>
      </c>
      <c r="F24" s="6" t="s">
        <v>312</v>
      </c>
      <c r="G24" s="6" t="str">
        <f t="shared" si="3"/>
        <v>Rio Verde</v>
      </c>
      <c r="I24" s="33" t="s">
        <v>326</v>
      </c>
      <c r="J24" s="33" t="s">
        <v>326</v>
      </c>
      <c r="K24" s="33" t="str">
        <f t="shared" si="4"/>
        <v>Portonave</v>
      </c>
      <c r="M24" s="31" t="s">
        <v>339</v>
      </c>
      <c r="N24" s="31" t="s">
        <v>143</v>
      </c>
      <c r="O24" s="31" t="str">
        <f t="shared" si="5"/>
        <v>Intangível</v>
      </c>
      <c r="Q24" s="31" t="s">
        <v>339</v>
      </c>
      <c r="R24" s="31" t="s">
        <v>143</v>
      </c>
      <c r="S24" s="31" t="str">
        <f t="shared" si="6"/>
        <v>Intangível</v>
      </c>
      <c r="U24" s="42" t="s">
        <v>57</v>
      </c>
      <c r="V24" s="42" t="s">
        <v>336</v>
      </c>
      <c r="W24" s="42" t="str">
        <f t="shared" si="7"/>
        <v>Participação de Acionistas Minoritários</v>
      </c>
      <c r="Y24" s="4" t="s">
        <v>338</v>
      </c>
      <c r="Z24" s="31" t="s">
        <v>142</v>
      </c>
      <c r="AA24" s="31" t="str">
        <f t="shared" si="8"/>
        <v>Imobilizado</v>
      </c>
      <c r="AC24" s="52" t="s">
        <v>540</v>
      </c>
      <c r="AD24" s="52" t="s">
        <v>479</v>
      </c>
      <c r="AE24" s="52" t="str">
        <f t="shared" si="13"/>
        <v>Debêntures (3ª Emissão)</v>
      </c>
      <c r="AG24" s="28"/>
      <c r="AH24" s="28"/>
      <c r="AI24" s="28" t="s">
        <v>438</v>
      </c>
    </row>
    <row r="25" spans="1:35" x14ac:dyDescent="0.35">
      <c r="A25" s="4" t="s">
        <v>338</v>
      </c>
      <c r="B25" s="4" t="s">
        <v>142</v>
      </c>
      <c r="C25" s="4" t="str">
        <f t="shared" si="2"/>
        <v>Imobilizado</v>
      </c>
      <c r="E25" s="6" t="s">
        <v>313</v>
      </c>
      <c r="F25" s="6" t="s">
        <v>313</v>
      </c>
      <c r="G25" s="6" t="str">
        <f t="shared" si="3"/>
        <v>Rio Canoas</v>
      </c>
      <c r="I25" s="33" t="s">
        <v>314</v>
      </c>
      <c r="J25" s="33" t="s">
        <v>319</v>
      </c>
      <c r="K25" s="33" t="str">
        <f t="shared" si="4"/>
        <v>Outros</v>
      </c>
      <c r="M25" s="21" t="s">
        <v>28</v>
      </c>
      <c r="N25" s="29" t="s">
        <v>145</v>
      </c>
      <c r="O25" s="29" t="str">
        <f t="shared" si="5"/>
        <v>PASSIVO TOTAL</v>
      </c>
      <c r="Q25" s="21" t="s">
        <v>28</v>
      </c>
      <c r="R25" s="29" t="s">
        <v>145</v>
      </c>
      <c r="S25" s="29" t="str">
        <f t="shared" si="6"/>
        <v>PASSIVO TOTAL</v>
      </c>
      <c r="U25" s="43" t="s">
        <v>82</v>
      </c>
      <c r="V25" s="43" t="s">
        <v>198</v>
      </c>
      <c r="W25" s="43" t="str">
        <f t="shared" si="7"/>
        <v>Lucro Líquido</v>
      </c>
      <c r="Y25" s="4" t="s">
        <v>339</v>
      </c>
      <c r="Z25" s="31" t="s">
        <v>143</v>
      </c>
      <c r="AA25" s="31" t="str">
        <f t="shared" si="8"/>
        <v>Intangível</v>
      </c>
      <c r="AC25" s="52" t="s">
        <v>541</v>
      </c>
      <c r="AD25" s="52" t="s">
        <v>481</v>
      </c>
      <c r="AE25" s="52" t="str">
        <f t="shared" si="13"/>
        <v>Debêntures (4ª Emissão)</v>
      </c>
      <c r="AG25" s="69" t="s">
        <v>432</v>
      </c>
      <c r="AH25" s="69" t="s">
        <v>431</v>
      </c>
      <c r="AI25" s="69" t="str">
        <f>IF($AG$1=1,AH25,AG25)</f>
        <v>IR PARA:</v>
      </c>
    </row>
    <row r="26" spans="1:35" x14ac:dyDescent="0.35">
      <c r="A26" s="6" t="s">
        <v>15</v>
      </c>
      <c r="B26" s="6" t="s">
        <v>15</v>
      </c>
      <c r="C26" s="6" t="str">
        <f t="shared" si="2"/>
        <v>Concepa</v>
      </c>
      <c r="E26" s="6" t="s">
        <v>626</v>
      </c>
      <c r="F26" s="6" t="s">
        <v>626</v>
      </c>
      <c r="G26" s="6" t="str">
        <f t="shared" ref="G26" si="14">IF($AG$1=1,F26,E26)</f>
        <v>Tijoá</v>
      </c>
      <c r="I26" s="31" t="s">
        <v>339</v>
      </c>
      <c r="J26" s="31" t="s">
        <v>143</v>
      </c>
      <c r="K26" s="31" t="str">
        <f t="shared" si="4"/>
        <v>Intangível</v>
      </c>
      <c r="M26" s="20" t="s">
        <v>58</v>
      </c>
      <c r="N26" s="30" t="s">
        <v>146</v>
      </c>
      <c r="O26" s="30" t="str">
        <f t="shared" si="5"/>
        <v>Passivo Circulante</v>
      </c>
      <c r="Q26" s="20" t="s">
        <v>58</v>
      </c>
      <c r="R26" s="30" t="s">
        <v>146</v>
      </c>
      <c r="S26" s="30" t="str">
        <f t="shared" si="6"/>
        <v>Passivo Circulante</v>
      </c>
      <c r="U26" s="59" t="s">
        <v>85</v>
      </c>
      <c r="V26" s="59" t="s">
        <v>199</v>
      </c>
      <c r="W26" s="59" t="str">
        <f t="shared" si="7"/>
        <v>EBITDA Ajustado</v>
      </c>
      <c r="Y26" s="9" t="s">
        <v>587</v>
      </c>
      <c r="Z26" s="35" t="s">
        <v>588</v>
      </c>
      <c r="AA26" s="35" t="str">
        <f t="shared" si="8"/>
        <v>Ativos de Operações Descontinuadas</v>
      </c>
      <c r="AC26" s="52" t="s">
        <v>542</v>
      </c>
      <c r="AD26" s="52" t="s">
        <v>517</v>
      </c>
      <c r="AE26" s="52" t="str">
        <f t="shared" si="13"/>
        <v>Conta Garantida - Banco do Brasil</v>
      </c>
      <c r="AG26" t="s">
        <v>454</v>
      </c>
      <c r="AH26" t="s">
        <v>453</v>
      </c>
      <c r="AI26" t="str">
        <f>IF($AG$1=1,AH26,AG26)</f>
        <v>Balanço</v>
      </c>
    </row>
    <row r="27" spans="1:35" x14ac:dyDescent="0.35">
      <c r="A27" s="6" t="s">
        <v>16</v>
      </c>
      <c r="B27" s="6" t="s">
        <v>16</v>
      </c>
      <c r="C27" s="6" t="str">
        <f t="shared" si="2"/>
        <v>Concer</v>
      </c>
      <c r="E27" s="6" t="s">
        <v>314</v>
      </c>
      <c r="F27" s="6" t="s">
        <v>319</v>
      </c>
      <c r="G27" s="6" t="str">
        <f t="shared" si="3"/>
        <v>Outros</v>
      </c>
      <c r="I27" s="33" t="s">
        <v>326</v>
      </c>
      <c r="J27" s="33" t="s">
        <v>326</v>
      </c>
      <c r="K27" s="33" t="str">
        <f t="shared" si="4"/>
        <v>Portonave</v>
      </c>
      <c r="M27" s="7" t="s">
        <v>29</v>
      </c>
      <c r="N27" s="34" t="s">
        <v>318</v>
      </c>
      <c r="O27" s="34" t="str">
        <f t="shared" si="5"/>
        <v>Fornecedores</v>
      </c>
      <c r="Q27" s="7" t="s">
        <v>29</v>
      </c>
      <c r="R27" s="34" t="s">
        <v>318</v>
      </c>
      <c r="S27" s="34" t="str">
        <f t="shared" si="6"/>
        <v>Fornecedores</v>
      </c>
      <c r="Y27" s="21" t="s">
        <v>28</v>
      </c>
      <c r="Z27" s="29" t="s">
        <v>145</v>
      </c>
      <c r="AA27" s="29" t="str">
        <f t="shared" si="8"/>
        <v>PASSIVO TOTAL</v>
      </c>
      <c r="AC27" s="52" t="s">
        <v>543</v>
      </c>
      <c r="AD27" s="52" t="s">
        <v>520</v>
      </c>
      <c r="AE27" s="52" t="str">
        <f t="shared" si="13"/>
        <v>Conta Garantida - Santander</v>
      </c>
      <c r="AG27" t="s">
        <v>61</v>
      </c>
      <c r="AH27" t="s">
        <v>179</v>
      </c>
      <c r="AI27" t="str">
        <f>IF($AG$1=1,AH27,AG27)</f>
        <v>DRE</v>
      </c>
    </row>
    <row r="28" spans="1:35" x14ac:dyDescent="0.35">
      <c r="A28" s="6" t="s">
        <v>17</v>
      </c>
      <c r="B28" s="6" t="s">
        <v>17</v>
      </c>
      <c r="C28" s="6" t="str">
        <f t="shared" si="2"/>
        <v>Econorte</v>
      </c>
      <c r="E28" s="4" t="s">
        <v>339</v>
      </c>
      <c r="F28" s="4" t="s">
        <v>143</v>
      </c>
      <c r="G28" s="4" t="str">
        <f t="shared" si="3"/>
        <v>Intangível</v>
      </c>
      <c r="I28" s="33" t="s">
        <v>314</v>
      </c>
      <c r="J28" s="33" t="s">
        <v>319</v>
      </c>
      <c r="K28" s="33" t="str">
        <f t="shared" si="4"/>
        <v>Outros</v>
      </c>
      <c r="M28" s="7" t="s">
        <v>30</v>
      </c>
      <c r="N28" s="34" t="s">
        <v>148</v>
      </c>
      <c r="O28" s="34" t="str">
        <f t="shared" si="5"/>
        <v>Empréstimos e Financiamentos</v>
      </c>
      <c r="Q28" s="7" t="s">
        <v>30</v>
      </c>
      <c r="R28" s="34" t="s">
        <v>148</v>
      </c>
      <c r="S28" s="34" t="str">
        <f t="shared" si="6"/>
        <v>Empréstimos e Financiamentos</v>
      </c>
      <c r="Y28" s="20" t="s">
        <v>58</v>
      </c>
      <c r="Z28" s="30" t="s">
        <v>146</v>
      </c>
      <c r="AA28" s="30" t="str">
        <f t="shared" si="8"/>
        <v>Passivo Circulante</v>
      </c>
      <c r="AC28" s="52" t="s">
        <v>483</v>
      </c>
      <c r="AD28" s="52" t="s">
        <v>483</v>
      </c>
      <c r="AE28" s="52" t="str">
        <f t="shared" si="13"/>
        <v>FINEP</v>
      </c>
      <c r="AG28" t="s">
        <v>90</v>
      </c>
      <c r="AH28" t="s">
        <v>200</v>
      </c>
      <c r="AI28" t="str">
        <f>IF($AG$1=1,AH28,AG28)</f>
        <v>Dados</v>
      </c>
    </row>
    <row r="29" spans="1:35" x14ac:dyDescent="0.35">
      <c r="A29" s="6" t="s">
        <v>600</v>
      </c>
      <c r="B29" s="6" t="s">
        <v>600</v>
      </c>
      <c r="C29" s="6" t="str">
        <f t="shared" ref="C29" si="15">IF($AG$1=1,B29,A29)</f>
        <v>Concebra</v>
      </c>
      <c r="E29" s="6" t="s">
        <v>312</v>
      </c>
      <c r="F29" s="6" t="s">
        <v>312</v>
      </c>
      <c r="G29" s="6" t="str">
        <f t="shared" si="3"/>
        <v>Rio Verde</v>
      </c>
      <c r="I29" s="21" t="s">
        <v>28</v>
      </c>
      <c r="J29" s="29" t="s">
        <v>145</v>
      </c>
      <c r="K29" s="29" t="str">
        <f t="shared" si="4"/>
        <v>PASSIVO TOTAL</v>
      </c>
      <c r="M29" s="7" t="s">
        <v>31</v>
      </c>
      <c r="N29" s="34" t="s">
        <v>149</v>
      </c>
      <c r="O29" s="34" t="str">
        <f t="shared" si="5"/>
        <v>Notas Promissórias</v>
      </c>
      <c r="Q29" s="7" t="s">
        <v>31</v>
      </c>
      <c r="R29" s="34" t="s">
        <v>149</v>
      </c>
      <c r="S29" s="34" t="str">
        <f t="shared" si="6"/>
        <v>Notas Promissórias</v>
      </c>
      <c r="U29" s="47" t="s">
        <v>90</v>
      </c>
      <c r="V29" s="47" t="s">
        <v>200</v>
      </c>
      <c r="W29" s="47" t="str">
        <f t="shared" ref="W29:W49" si="16">IF($AG$1=1,V29,U29)</f>
        <v>Dados</v>
      </c>
      <c r="Y29" s="7" t="s">
        <v>29</v>
      </c>
      <c r="Z29" s="34" t="s">
        <v>318</v>
      </c>
      <c r="AA29" s="34" t="str">
        <f t="shared" si="8"/>
        <v>Fornecedores</v>
      </c>
      <c r="AC29" s="52" t="s">
        <v>544</v>
      </c>
      <c r="AD29" s="52" t="s">
        <v>485</v>
      </c>
      <c r="AE29" s="52" t="str">
        <f t="shared" si="13"/>
        <v>Capital de Giro Santander</v>
      </c>
      <c r="AG29" s="70" t="s">
        <v>123</v>
      </c>
      <c r="AH29" s="70" t="s">
        <v>201</v>
      </c>
      <c r="AI29" s="70" t="str">
        <f>IF($AG$1=1,AH29,AG29)</f>
        <v>Dados Relevantes</v>
      </c>
    </row>
    <row r="30" spans="1:35" x14ac:dyDescent="0.35">
      <c r="A30" s="6" t="s">
        <v>621</v>
      </c>
      <c r="B30" s="6" t="s">
        <v>621</v>
      </c>
      <c r="C30" s="6" t="str">
        <f t="shared" ref="C30" si="17">IF($AG$1=1,B30,A30)</f>
        <v>Transbrasiliana</v>
      </c>
      <c r="E30" s="6" t="s">
        <v>313</v>
      </c>
      <c r="F30" s="6" t="s">
        <v>313</v>
      </c>
      <c r="G30" s="6" t="str">
        <f t="shared" si="3"/>
        <v>Rio Canoas</v>
      </c>
      <c r="I30" s="20" t="s">
        <v>58</v>
      </c>
      <c r="J30" s="30" t="s">
        <v>146</v>
      </c>
      <c r="K30" s="30" t="str">
        <f t="shared" si="4"/>
        <v>Passivo Circulante</v>
      </c>
      <c r="M30" s="7" t="s">
        <v>40</v>
      </c>
      <c r="N30" s="34" t="s">
        <v>159</v>
      </c>
      <c r="O30" s="34" t="str">
        <f t="shared" si="5"/>
        <v>Debêntures</v>
      </c>
      <c r="Q30" s="7" t="s">
        <v>40</v>
      </c>
      <c r="R30" s="34" t="s">
        <v>159</v>
      </c>
      <c r="S30" s="34" t="str">
        <f t="shared" si="6"/>
        <v>Debêntures</v>
      </c>
      <c r="U30" s="59" t="s">
        <v>209</v>
      </c>
      <c r="V30" s="59" t="s">
        <v>209</v>
      </c>
      <c r="W30" s="59" t="str">
        <f t="shared" si="16"/>
        <v>Capex</v>
      </c>
      <c r="Y30" s="7" t="s">
        <v>30</v>
      </c>
      <c r="Z30" s="34" t="s">
        <v>148</v>
      </c>
      <c r="AA30" s="34" t="str">
        <f t="shared" si="8"/>
        <v>Empréstimos e Financiamentos</v>
      </c>
      <c r="AC30" s="52" t="s">
        <v>545</v>
      </c>
      <c r="AD30" s="52" t="s">
        <v>487</v>
      </c>
      <c r="AE30" s="52" t="str">
        <f t="shared" si="13"/>
        <v>Debêntures (5ª Emissão)</v>
      </c>
    </row>
    <row r="31" spans="1:35" x14ac:dyDescent="0.35">
      <c r="A31" s="4" t="s">
        <v>339</v>
      </c>
      <c r="B31" s="4" t="s">
        <v>143</v>
      </c>
      <c r="C31" s="4" t="str">
        <f t="shared" si="2"/>
        <v>Intangível</v>
      </c>
      <c r="E31" s="6" t="s">
        <v>626</v>
      </c>
      <c r="F31" s="6" t="s">
        <v>626</v>
      </c>
      <c r="G31" s="6" t="str">
        <f t="shared" si="3"/>
        <v>Tijoá</v>
      </c>
      <c r="I31" s="7" t="s">
        <v>29</v>
      </c>
      <c r="J31" s="34" t="s">
        <v>318</v>
      </c>
      <c r="K31" s="34" t="str">
        <f t="shared" si="4"/>
        <v>Fornecedores</v>
      </c>
      <c r="M31" s="7" t="s">
        <v>32</v>
      </c>
      <c r="N31" s="34" t="s">
        <v>160</v>
      </c>
      <c r="O31" s="34" t="str">
        <f t="shared" si="5"/>
        <v>Obrigações da Concessão</v>
      </c>
      <c r="Q31" s="7" t="s">
        <v>32</v>
      </c>
      <c r="R31" s="34" t="s">
        <v>160</v>
      </c>
      <c r="S31" s="34" t="str">
        <f t="shared" si="6"/>
        <v>Obrigações da Concessão</v>
      </c>
      <c r="U31" s="43" t="s">
        <v>72</v>
      </c>
      <c r="V31" s="43" t="s">
        <v>190</v>
      </c>
      <c r="W31" s="43" t="str">
        <f t="shared" si="16"/>
        <v>Depreciação e Amortização</v>
      </c>
      <c r="Y31" s="7" t="s">
        <v>31</v>
      </c>
      <c r="Z31" s="34" t="s">
        <v>149</v>
      </c>
      <c r="AA31" s="34" t="str">
        <f t="shared" si="8"/>
        <v>Notas Promissórias</v>
      </c>
      <c r="AC31" s="52" t="s">
        <v>546</v>
      </c>
      <c r="AD31" s="52" t="s">
        <v>489</v>
      </c>
      <c r="AE31" s="52" t="str">
        <f t="shared" si="13"/>
        <v>1ª Emissão de Debêntures</v>
      </c>
    </row>
    <row r="32" spans="1:35" x14ac:dyDescent="0.35">
      <c r="A32" s="6" t="s">
        <v>15</v>
      </c>
      <c r="B32" s="6" t="s">
        <v>15</v>
      </c>
      <c r="C32" s="6" t="str">
        <f t="shared" si="2"/>
        <v>Concepa</v>
      </c>
      <c r="E32" s="6" t="s">
        <v>314</v>
      </c>
      <c r="F32" s="6" t="s">
        <v>319</v>
      </c>
      <c r="G32" s="6" t="str">
        <f t="shared" si="3"/>
        <v>Outros</v>
      </c>
      <c r="I32" s="7" t="s">
        <v>30</v>
      </c>
      <c r="J32" s="34" t="s">
        <v>148</v>
      </c>
      <c r="K32" s="34" t="str">
        <f t="shared" si="4"/>
        <v>Empréstimos e Financiamentos</v>
      </c>
      <c r="M32" s="7" t="s">
        <v>33</v>
      </c>
      <c r="N32" s="34" t="s">
        <v>151</v>
      </c>
      <c r="O32" s="34" t="str">
        <f t="shared" si="5"/>
        <v>Salários, Provisões e Contribuições Sociais</v>
      </c>
      <c r="Q32" s="7" t="s">
        <v>33</v>
      </c>
      <c r="R32" s="34" t="s">
        <v>151</v>
      </c>
      <c r="S32" s="34" t="str">
        <f t="shared" si="6"/>
        <v>Salários, Provisões e Contribuições Sociais</v>
      </c>
      <c r="U32" s="48" t="s">
        <v>87</v>
      </c>
      <c r="V32" s="48" t="s">
        <v>87</v>
      </c>
      <c r="W32" s="48" t="str">
        <f t="shared" si="16"/>
        <v>D&amp;A</v>
      </c>
      <c r="Y32" s="7" t="s">
        <v>40</v>
      </c>
      <c r="Z32" s="34" t="s">
        <v>159</v>
      </c>
      <c r="AA32" s="34" t="str">
        <f t="shared" si="8"/>
        <v>Debêntures</v>
      </c>
      <c r="AC32" s="52" t="s">
        <v>547</v>
      </c>
      <c r="AD32" s="52" t="s">
        <v>491</v>
      </c>
      <c r="AE32" s="52" t="str">
        <f t="shared" si="13"/>
        <v>Financiamento de Imobilizado - FINEP</v>
      </c>
    </row>
    <row r="33" spans="1:31" x14ac:dyDescent="0.35">
      <c r="A33" s="6" t="s">
        <v>16</v>
      </c>
      <c r="B33" s="6" t="s">
        <v>16</v>
      </c>
      <c r="C33" s="6" t="str">
        <f t="shared" si="2"/>
        <v>Concer</v>
      </c>
      <c r="E33" s="21" t="s">
        <v>28</v>
      </c>
      <c r="F33" s="21" t="s">
        <v>145</v>
      </c>
      <c r="G33" s="21" t="str">
        <f t="shared" si="3"/>
        <v>PASSIVO TOTAL</v>
      </c>
      <c r="I33" s="7" t="s">
        <v>31</v>
      </c>
      <c r="J33" s="34" t="s">
        <v>149</v>
      </c>
      <c r="K33" s="34" t="str">
        <f t="shared" si="4"/>
        <v>Notas Promissórias</v>
      </c>
      <c r="M33" s="7" t="s">
        <v>34</v>
      </c>
      <c r="N33" s="34" t="s">
        <v>152</v>
      </c>
      <c r="O33" s="34" t="str">
        <f t="shared" si="5"/>
        <v>Impostos, Taxas e Contribuições</v>
      </c>
      <c r="Q33" s="7" t="s">
        <v>34</v>
      </c>
      <c r="R33" s="34" t="s">
        <v>152</v>
      </c>
      <c r="S33" s="34" t="str">
        <f t="shared" si="6"/>
        <v>Impostos, Taxas e Contribuições</v>
      </c>
      <c r="U33" s="48" t="s">
        <v>86</v>
      </c>
      <c r="V33" s="48" t="s">
        <v>204</v>
      </c>
      <c r="W33" s="48" t="str">
        <f t="shared" si="16"/>
        <v>Reavaliação</v>
      </c>
      <c r="Y33" s="7" t="s">
        <v>62</v>
      </c>
      <c r="Z33" s="34" t="s">
        <v>150</v>
      </c>
      <c r="AA33" s="34" t="str">
        <f t="shared" si="8"/>
        <v>Provisão para Manutenção</v>
      </c>
      <c r="AC33" s="52" t="s">
        <v>548</v>
      </c>
      <c r="AD33" s="52" t="s">
        <v>521</v>
      </c>
      <c r="AE33" s="52" t="str">
        <f t="shared" si="13"/>
        <v>Capital de Giro</v>
      </c>
    </row>
    <row r="34" spans="1:31" x14ac:dyDescent="0.35">
      <c r="A34" s="6" t="s">
        <v>17</v>
      </c>
      <c r="B34" s="6" t="s">
        <v>17</v>
      </c>
      <c r="C34" s="6" t="str">
        <f t="shared" si="2"/>
        <v>Econorte</v>
      </c>
      <c r="E34" s="20" t="s">
        <v>58</v>
      </c>
      <c r="F34" s="20" t="s">
        <v>146</v>
      </c>
      <c r="G34" s="20" t="str">
        <f t="shared" si="3"/>
        <v>Passivo Circulante</v>
      </c>
      <c r="I34" s="7" t="s">
        <v>40</v>
      </c>
      <c r="J34" s="34" t="s">
        <v>159</v>
      </c>
      <c r="K34" s="34" t="str">
        <f t="shared" si="4"/>
        <v>Debêntures</v>
      </c>
      <c r="M34" s="7" t="s">
        <v>59</v>
      </c>
      <c r="N34" s="34" t="s">
        <v>153</v>
      </c>
      <c r="O34" s="34" t="str">
        <f t="shared" si="5"/>
        <v>Adiantamento de Clientes</v>
      </c>
      <c r="Q34" s="7" t="s">
        <v>59</v>
      </c>
      <c r="R34" s="34" t="s">
        <v>153</v>
      </c>
      <c r="S34" s="34" t="str">
        <f t="shared" si="6"/>
        <v>Adiantamento de Clientes</v>
      </c>
      <c r="U34" s="43" t="s">
        <v>79</v>
      </c>
      <c r="V34" s="43" t="s">
        <v>194</v>
      </c>
      <c r="W34" s="43" t="str">
        <f t="shared" si="16"/>
        <v>Resultado Financeiro</v>
      </c>
      <c r="Y34" s="7" t="s">
        <v>32</v>
      </c>
      <c r="Z34" s="34" t="s">
        <v>160</v>
      </c>
      <c r="AA34" s="34" t="str">
        <f t="shared" si="8"/>
        <v>Obrigações da Concessão</v>
      </c>
      <c r="AC34" s="52" t="s">
        <v>549</v>
      </c>
      <c r="AD34" s="52" t="s">
        <v>493</v>
      </c>
      <c r="AE34" s="52" t="str">
        <f t="shared" si="13"/>
        <v>Debêntures (2ª Emissão)</v>
      </c>
    </row>
    <row r="35" spans="1:31" x14ac:dyDescent="0.35">
      <c r="A35" s="6" t="s">
        <v>600</v>
      </c>
      <c r="B35" s="6" t="s">
        <v>600</v>
      </c>
      <c r="C35" s="6" t="str">
        <f t="shared" ref="C35:C36" si="18">IF($AG$1=1,B35,A35)</f>
        <v>Concebra</v>
      </c>
      <c r="E35" s="7" t="s">
        <v>29</v>
      </c>
      <c r="F35" s="7" t="s">
        <v>318</v>
      </c>
      <c r="G35" s="7" t="str">
        <f t="shared" si="3"/>
        <v>Fornecedores</v>
      </c>
      <c r="I35" s="7" t="s">
        <v>32</v>
      </c>
      <c r="J35" s="34" t="s">
        <v>160</v>
      </c>
      <c r="K35" s="34" t="str">
        <f t="shared" si="4"/>
        <v>Obrigações da Concessão</v>
      </c>
      <c r="M35" s="7" t="s">
        <v>10</v>
      </c>
      <c r="N35" s="34" t="s">
        <v>154</v>
      </c>
      <c r="O35" s="34" t="str">
        <f t="shared" si="5"/>
        <v>Dividendos Propostos</v>
      </c>
      <c r="Q35" s="7" t="s">
        <v>10</v>
      </c>
      <c r="R35" s="34" t="s">
        <v>154</v>
      </c>
      <c r="S35" s="34" t="str">
        <f t="shared" si="6"/>
        <v>Dividendos Propostos</v>
      </c>
      <c r="U35" s="34" t="s">
        <v>88</v>
      </c>
      <c r="V35" s="34" t="s">
        <v>205</v>
      </c>
      <c r="W35" s="34" t="str">
        <f t="shared" si="16"/>
        <v>Receitas</v>
      </c>
      <c r="Y35" s="7" t="s">
        <v>33</v>
      </c>
      <c r="Z35" s="34" t="s">
        <v>151</v>
      </c>
      <c r="AA35" s="34" t="str">
        <f t="shared" si="8"/>
        <v>Salários, Provisões e Contribuições Sociais</v>
      </c>
      <c r="AC35" s="52" t="s">
        <v>543</v>
      </c>
      <c r="AD35" s="52" t="s">
        <v>495</v>
      </c>
      <c r="AE35" s="52" t="str">
        <f t="shared" si="13"/>
        <v>Conta garantida - Santander</v>
      </c>
    </row>
    <row r="36" spans="1:31" x14ac:dyDescent="0.35">
      <c r="A36" s="6" t="s">
        <v>621</v>
      </c>
      <c r="B36" s="6" t="s">
        <v>621</v>
      </c>
      <c r="C36" s="6" t="str">
        <f t="shared" si="18"/>
        <v>Transbrasiliana</v>
      </c>
      <c r="E36" s="7" t="s">
        <v>30</v>
      </c>
      <c r="F36" s="7" t="s">
        <v>148</v>
      </c>
      <c r="G36" s="7" t="str">
        <f t="shared" si="3"/>
        <v>Empréstimos e Financiamentos</v>
      </c>
      <c r="I36" s="7" t="s">
        <v>33</v>
      </c>
      <c r="J36" s="34" t="s">
        <v>151</v>
      </c>
      <c r="K36" s="34" t="str">
        <f t="shared" si="4"/>
        <v>Salários, Provisões e Contribuições Sociais</v>
      </c>
      <c r="M36" s="7" t="s">
        <v>35</v>
      </c>
      <c r="N36" s="34" t="s">
        <v>155</v>
      </c>
      <c r="O36" s="34" t="str">
        <f t="shared" si="5"/>
        <v>Contas a Pagar – Partes Relacionadas</v>
      </c>
      <c r="Q36" s="7" t="s">
        <v>35</v>
      </c>
      <c r="R36" s="34" t="s">
        <v>155</v>
      </c>
      <c r="S36" s="34" t="str">
        <f t="shared" si="6"/>
        <v>Contas a Pagar – Partes Relacionadas</v>
      </c>
      <c r="U36" s="50" t="s">
        <v>89</v>
      </c>
      <c r="V36" s="50" t="s">
        <v>206</v>
      </c>
      <c r="W36" s="50" t="str">
        <f t="shared" si="16"/>
        <v>Despesas</v>
      </c>
      <c r="Y36" s="7" t="s">
        <v>34</v>
      </c>
      <c r="Z36" s="34" t="s">
        <v>152</v>
      </c>
      <c r="AA36" s="34" t="str">
        <f t="shared" si="8"/>
        <v>Impostos, Taxas e Contribuições</v>
      </c>
      <c r="AC36" s="52" t="s">
        <v>546</v>
      </c>
      <c r="AD36" s="52" t="s">
        <v>497</v>
      </c>
      <c r="AE36" s="52" t="str">
        <f t="shared" si="13"/>
        <v>Debêntures (1ª Emissão)</v>
      </c>
    </row>
    <row r="37" spans="1:31" x14ac:dyDescent="0.35">
      <c r="A37" s="21" t="s">
        <v>28</v>
      </c>
      <c r="B37" s="21" t="s">
        <v>145</v>
      </c>
      <c r="C37" s="21" t="str">
        <f t="shared" si="2"/>
        <v>PASSIVO TOTAL</v>
      </c>
      <c r="E37" s="7" t="s">
        <v>31</v>
      </c>
      <c r="F37" s="7" t="s">
        <v>149</v>
      </c>
      <c r="G37" s="7" t="str">
        <f t="shared" si="3"/>
        <v>Notas Promissórias</v>
      </c>
      <c r="I37" s="7" t="s">
        <v>34</v>
      </c>
      <c r="J37" s="34" t="s">
        <v>152</v>
      </c>
      <c r="K37" s="34" t="str">
        <f t="shared" si="4"/>
        <v>Impostos, Taxas e Contribuições</v>
      </c>
      <c r="M37" s="7" t="s">
        <v>36</v>
      </c>
      <c r="N37" s="34" t="s">
        <v>156</v>
      </c>
      <c r="O37" s="34" t="str">
        <f t="shared" si="5"/>
        <v>Contratos de Aquisição de Ativos</v>
      </c>
      <c r="Q37" s="77" t="s">
        <v>640</v>
      </c>
      <c r="R37" s="34" t="s">
        <v>640</v>
      </c>
      <c r="S37" s="34" t="s">
        <v>640</v>
      </c>
      <c r="U37" s="43" t="s">
        <v>97</v>
      </c>
      <c r="V37" s="43" t="s">
        <v>207</v>
      </c>
      <c r="W37" s="43" t="str">
        <f t="shared" si="16"/>
        <v>Despesas Não Recorrentes</v>
      </c>
      <c r="Y37" s="7" t="s">
        <v>59</v>
      </c>
      <c r="Z37" s="34" t="s">
        <v>153</v>
      </c>
      <c r="AA37" s="34" t="str">
        <f t="shared" si="8"/>
        <v>Adiantamento de Clientes</v>
      </c>
      <c r="AC37" s="52" t="s">
        <v>550</v>
      </c>
      <c r="AD37" s="52" t="s">
        <v>499</v>
      </c>
      <c r="AE37" s="52" t="str">
        <f t="shared" si="13"/>
        <v>ACC – Adiantamento de contrato de câmbio</v>
      </c>
    </row>
    <row r="38" spans="1:31" x14ac:dyDescent="0.35">
      <c r="A38" s="20" t="s">
        <v>58</v>
      </c>
      <c r="B38" s="20" t="s">
        <v>146</v>
      </c>
      <c r="C38" s="20" t="str">
        <f t="shared" si="2"/>
        <v>Passivo Circulante</v>
      </c>
      <c r="E38" s="7" t="s">
        <v>40</v>
      </c>
      <c r="F38" s="7" t="s">
        <v>159</v>
      </c>
      <c r="G38" s="7" t="str">
        <f t="shared" si="3"/>
        <v>Debêntures</v>
      </c>
      <c r="I38" s="7" t="s">
        <v>59</v>
      </c>
      <c r="J38" s="34" t="s">
        <v>153</v>
      </c>
      <c r="K38" s="34" t="str">
        <f t="shared" ref="K38:K68" si="19">IF($AG$1=1,J38,I38)</f>
        <v>Adiantamento de Clientes</v>
      </c>
      <c r="M38" s="7" t="s">
        <v>60</v>
      </c>
      <c r="N38" s="34" t="s">
        <v>157</v>
      </c>
      <c r="O38" s="34" t="str">
        <f t="shared" ref="O38:O64" si="20">IF($AG$1=1,N38,M38)</f>
        <v>Arrendamento mercantil</v>
      </c>
      <c r="Q38" s="7" t="s">
        <v>60</v>
      </c>
      <c r="R38" s="34" t="s">
        <v>157</v>
      </c>
      <c r="S38" s="34" t="str">
        <f t="shared" ref="S38:S64" si="21">IF($AG$1=1,R38,Q38)</f>
        <v>Arrendamento mercantil</v>
      </c>
      <c r="U38" s="59" t="s">
        <v>112</v>
      </c>
      <c r="V38" s="59" t="s">
        <v>208</v>
      </c>
      <c r="W38" s="59" t="str">
        <f t="shared" si="16"/>
        <v>Dívida Líquida</v>
      </c>
      <c r="Y38" s="7" t="s">
        <v>10</v>
      </c>
      <c r="Z38" s="34" t="s">
        <v>154</v>
      </c>
      <c r="AA38" s="34" t="str">
        <f t="shared" si="8"/>
        <v>Dividendos Propostos</v>
      </c>
      <c r="AC38" s="52" t="s">
        <v>551</v>
      </c>
      <c r="AD38" s="52" t="s">
        <v>501</v>
      </c>
      <c r="AE38" s="52" t="str">
        <f t="shared" si="13"/>
        <v>Debêntures (1ª Emissão) - Vessel</v>
      </c>
    </row>
    <row r="39" spans="1:31" x14ac:dyDescent="0.35">
      <c r="A39" s="7" t="s">
        <v>29</v>
      </c>
      <c r="B39" s="7" t="s">
        <v>318</v>
      </c>
      <c r="C39" s="7" t="str">
        <f t="shared" si="2"/>
        <v>Fornecedores</v>
      </c>
      <c r="E39" s="7" t="s">
        <v>32</v>
      </c>
      <c r="F39" s="7" t="s">
        <v>160</v>
      </c>
      <c r="G39" s="7" t="str">
        <f t="shared" si="3"/>
        <v>Obrigações da Concessão</v>
      </c>
      <c r="I39" s="7" t="s">
        <v>10</v>
      </c>
      <c r="J39" s="34" t="s">
        <v>154</v>
      </c>
      <c r="K39" s="34" t="str">
        <f t="shared" si="19"/>
        <v>Dividendos Propostos</v>
      </c>
      <c r="M39" s="7" t="s">
        <v>38</v>
      </c>
      <c r="N39" s="34" t="s">
        <v>158</v>
      </c>
      <c r="O39" s="34" t="str">
        <f t="shared" si="20"/>
        <v>Outras Obrigações</v>
      </c>
      <c r="Q39" s="7" t="s">
        <v>38</v>
      </c>
      <c r="R39" s="34" t="s">
        <v>158</v>
      </c>
      <c r="S39" s="34" t="str">
        <f t="shared" si="21"/>
        <v>Outras Obrigações</v>
      </c>
      <c r="U39" s="43" t="s">
        <v>85</v>
      </c>
      <c r="V39" s="43" t="s">
        <v>199</v>
      </c>
      <c r="W39" s="43" t="str">
        <f t="shared" si="16"/>
        <v>EBITDA Ajustado</v>
      </c>
      <c r="Y39" s="7" t="s">
        <v>35</v>
      </c>
      <c r="Z39" s="34" t="s">
        <v>155</v>
      </c>
      <c r="AA39" s="34" t="str">
        <f t="shared" si="8"/>
        <v>Contas a Pagar – Partes Relacionadas</v>
      </c>
      <c r="AC39" s="52" t="s">
        <v>552</v>
      </c>
      <c r="AD39" s="52" t="s">
        <v>523</v>
      </c>
      <c r="AE39" s="52" t="str">
        <f t="shared" si="13"/>
        <v>Capital de Giro - Vessel</v>
      </c>
    </row>
    <row r="40" spans="1:31" x14ac:dyDescent="0.35">
      <c r="A40" s="7" t="s">
        <v>30</v>
      </c>
      <c r="B40" s="7" t="s">
        <v>148</v>
      </c>
      <c r="C40" s="7" t="str">
        <f t="shared" si="2"/>
        <v>Empréstimos e Financiamentos</v>
      </c>
      <c r="E40" s="7" t="s">
        <v>33</v>
      </c>
      <c r="F40" s="7" t="s">
        <v>151</v>
      </c>
      <c r="G40" s="7" t="str">
        <f t="shared" ref="G40:G72" si="22">IF($AG$1=1,F40,E40)</f>
        <v>Salários, Provisões e Contribuições Sociais</v>
      </c>
      <c r="I40" s="7" t="s">
        <v>35</v>
      </c>
      <c r="J40" s="34" t="s">
        <v>155</v>
      </c>
      <c r="K40" s="34" t="str">
        <f t="shared" si="19"/>
        <v>Contas a Pagar – Partes Relacionadas</v>
      </c>
      <c r="M40" s="3" t="s">
        <v>39</v>
      </c>
      <c r="N40" s="32" t="s">
        <v>147</v>
      </c>
      <c r="O40" s="32" t="str">
        <f t="shared" si="20"/>
        <v>Passivo Não Circulante</v>
      </c>
      <c r="Q40" s="3" t="s">
        <v>39</v>
      </c>
      <c r="R40" s="32" t="s">
        <v>147</v>
      </c>
      <c r="S40" s="32" t="str">
        <f t="shared" si="21"/>
        <v>Passivo Não Circulante</v>
      </c>
      <c r="U40" s="34" t="s">
        <v>95</v>
      </c>
      <c r="V40" s="34" t="s">
        <v>95</v>
      </c>
      <c r="W40" s="34" t="str">
        <f t="shared" si="16"/>
        <v>(+) EBIT</v>
      </c>
      <c r="Y40" s="7" t="s">
        <v>36</v>
      </c>
      <c r="Z40" s="34" t="s">
        <v>156</v>
      </c>
      <c r="AA40" s="34" t="str">
        <f t="shared" ref="AA40:AA69" si="23">IF($AG$1=1,Z40,Y40)</f>
        <v>Contratos de Aquisição de Ativos</v>
      </c>
      <c r="AC40" s="52" t="s">
        <v>553</v>
      </c>
      <c r="AD40" s="52" t="s">
        <v>524</v>
      </c>
      <c r="AE40" s="52" t="str">
        <f t="shared" si="13"/>
        <v>Capital de Giro - Maestra</v>
      </c>
    </row>
    <row r="41" spans="1:31" x14ac:dyDescent="0.35">
      <c r="A41" s="7" t="s">
        <v>31</v>
      </c>
      <c r="B41" s="7" t="s">
        <v>149</v>
      </c>
      <c r="C41" s="7" t="str">
        <f t="shared" si="2"/>
        <v>Notas Promissórias</v>
      </c>
      <c r="E41" s="7" t="s">
        <v>34</v>
      </c>
      <c r="F41" s="7" t="s">
        <v>152</v>
      </c>
      <c r="G41" s="7" t="str">
        <f t="shared" si="22"/>
        <v>Impostos, Taxas e Contribuições</v>
      </c>
      <c r="I41" s="7" t="s">
        <v>36</v>
      </c>
      <c r="J41" s="34" t="s">
        <v>156</v>
      </c>
      <c r="K41" s="34" t="str">
        <f t="shared" si="19"/>
        <v>Contratos de Aquisição de Ativos</v>
      </c>
      <c r="M41" s="7" t="s">
        <v>30</v>
      </c>
      <c r="N41" s="34" t="s">
        <v>148</v>
      </c>
      <c r="O41" s="34" t="str">
        <f t="shared" si="20"/>
        <v>Empréstimos e Financiamentos</v>
      </c>
      <c r="Q41" s="7" t="s">
        <v>30</v>
      </c>
      <c r="R41" s="34" t="s">
        <v>148</v>
      </c>
      <c r="S41" s="34" t="str">
        <f t="shared" si="21"/>
        <v>Empréstimos e Financiamentos</v>
      </c>
      <c r="U41" s="34" t="s">
        <v>98</v>
      </c>
      <c r="V41" s="34" t="s">
        <v>218</v>
      </c>
      <c r="W41" s="34" t="str">
        <f t="shared" si="16"/>
        <v>(+) Depreciação e Amortização</v>
      </c>
      <c r="Y41" s="7" t="s">
        <v>60</v>
      </c>
      <c r="Z41" s="34" t="s">
        <v>157</v>
      </c>
      <c r="AA41" s="34" t="str">
        <f t="shared" si="23"/>
        <v>Arrendamento mercantil</v>
      </c>
      <c r="AC41" s="52" t="s">
        <v>554</v>
      </c>
      <c r="AD41" s="52" t="s">
        <v>525</v>
      </c>
      <c r="AE41" s="52" t="str">
        <f t="shared" si="13"/>
        <v>Capital de Giro - NTL</v>
      </c>
    </row>
    <row r="42" spans="1:31" x14ac:dyDescent="0.35">
      <c r="A42" s="7" t="s">
        <v>40</v>
      </c>
      <c r="B42" s="7" t="s">
        <v>159</v>
      </c>
      <c r="C42" s="7" t="str">
        <f t="shared" si="2"/>
        <v>Debêntures</v>
      </c>
      <c r="E42" s="7" t="s">
        <v>59</v>
      </c>
      <c r="F42" s="7" t="s">
        <v>153</v>
      </c>
      <c r="G42" s="7" t="str">
        <f t="shared" si="22"/>
        <v>Adiantamento de Clientes</v>
      </c>
      <c r="I42" s="7" t="s">
        <v>60</v>
      </c>
      <c r="J42" s="34" t="s">
        <v>157</v>
      </c>
      <c r="K42" s="34" t="str">
        <f t="shared" si="19"/>
        <v>Arrendamento mercantil</v>
      </c>
      <c r="M42" s="7" t="s">
        <v>40</v>
      </c>
      <c r="N42" s="34" t="s">
        <v>159</v>
      </c>
      <c r="O42" s="34" t="str">
        <f t="shared" si="20"/>
        <v>Debêntures</v>
      </c>
      <c r="Q42" s="7" t="s">
        <v>40</v>
      </c>
      <c r="R42" s="34" t="s">
        <v>159</v>
      </c>
      <c r="S42" s="34" t="str">
        <f t="shared" si="21"/>
        <v>Debêntures</v>
      </c>
      <c r="U42" s="50" t="s">
        <v>99</v>
      </c>
      <c r="V42" s="50" t="s">
        <v>220</v>
      </c>
      <c r="W42" s="50" t="str">
        <f t="shared" si="16"/>
        <v>(+) Despesas Não Recorrentes</v>
      </c>
      <c r="Y42" s="7" t="s">
        <v>38</v>
      </c>
      <c r="Z42" s="34" t="s">
        <v>158</v>
      </c>
      <c r="AA42" s="34" t="str">
        <f t="shared" si="23"/>
        <v>Outras Obrigações</v>
      </c>
      <c r="AC42" s="52" t="s">
        <v>555</v>
      </c>
      <c r="AD42" s="52" t="s">
        <v>529</v>
      </c>
      <c r="AE42" s="52" t="str">
        <f t="shared" si="13"/>
        <v xml:space="preserve">BNDES - Empréstimo Ponte </v>
      </c>
    </row>
    <row r="43" spans="1:31" x14ac:dyDescent="0.35">
      <c r="A43" s="7" t="s">
        <v>62</v>
      </c>
      <c r="B43" s="7" t="s">
        <v>150</v>
      </c>
      <c r="C43" s="7" t="str">
        <f t="shared" si="2"/>
        <v>Provisão para Manutenção</v>
      </c>
      <c r="E43" s="7" t="s">
        <v>10</v>
      </c>
      <c r="F43" s="7" t="s">
        <v>154</v>
      </c>
      <c r="G43" s="7" t="str">
        <f t="shared" si="22"/>
        <v>Dividendos Propostos</v>
      </c>
      <c r="I43" s="7" t="s">
        <v>38</v>
      </c>
      <c r="J43" s="34" t="s">
        <v>158</v>
      </c>
      <c r="K43" s="34" t="str">
        <f t="shared" si="19"/>
        <v>Outras Obrigações</v>
      </c>
      <c r="M43" s="7" t="s">
        <v>32</v>
      </c>
      <c r="N43" s="34" t="s">
        <v>160</v>
      </c>
      <c r="O43" s="34" t="str">
        <f t="shared" si="20"/>
        <v>Obrigações da Concessão</v>
      </c>
      <c r="Q43" s="7" t="s">
        <v>32</v>
      </c>
      <c r="R43" s="34" t="s">
        <v>160</v>
      </c>
      <c r="S43" s="34" t="str">
        <f t="shared" si="21"/>
        <v>Obrigações da Concessão</v>
      </c>
      <c r="U43" s="43" t="s">
        <v>110</v>
      </c>
      <c r="V43" s="43" t="s">
        <v>110</v>
      </c>
      <c r="W43" s="43" t="str">
        <f t="shared" si="16"/>
        <v>NOPAT</v>
      </c>
      <c r="Y43" s="3" t="s">
        <v>39</v>
      </c>
      <c r="Z43" s="32" t="s">
        <v>147</v>
      </c>
      <c r="AA43" s="32" t="str">
        <f t="shared" si="23"/>
        <v>Passivo Não Circulante</v>
      </c>
      <c r="AC43" s="52" t="s">
        <v>556</v>
      </c>
      <c r="AD43" s="52" t="s">
        <v>507</v>
      </c>
      <c r="AE43" s="52" t="str">
        <f t="shared" si="13"/>
        <v>Financiamento Imobilizado - BNDES</v>
      </c>
    </row>
    <row r="44" spans="1:31" x14ac:dyDescent="0.35">
      <c r="A44" s="7" t="s">
        <v>32</v>
      </c>
      <c r="B44" s="7" t="s">
        <v>160</v>
      </c>
      <c r="C44" s="7" t="str">
        <f t="shared" ref="C44:C76" si="24">IF($AG$1=1,B44,A44)</f>
        <v>Obrigações da Concessão</v>
      </c>
      <c r="E44" s="7" t="s">
        <v>35</v>
      </c>
      <c r="F44" s="7" t="s">
        <v>155</v>
      </c>
      <c r="G44" s="7" t="str">
        <f t="shared" si="22"/>
        <v>Contas a Pagar – Partes Relacionadas</v>
      </c>
      <c r="I44" s="3" t="s">
        <v>39</v>
      </c>
      <c r="J44" s="32" t="s">
        <v>147</v>
      </c>
      <c r="K44" s="32" t="str">
        <f t="shared" si="19"/>
        <v>Passivo Não Circulante</v>
      </c>
      <c r="M44" s="7" t="s">
        <v>34</v>
      </c>
      <c r="N44" s="34" t="s">
        <v>152</v>
      </c>
      <c r="O44" s="34" t="str">
        <f t="shared" si="20"/>
        <v>Impostos, Taxas e Contribuições</v>
      </c>
      <c r="Q44" s="7" t="s">
        <v>34</v>
      </c>
      <c r="R44" s="34" t="s">
        <v>152</v>
      </c>
      <c r="S44" s="34" t="str">
        <f t="shared" si="21"/>
        <v>Impostos, Taxas e Contribuições</v>
      </c>
      <c r="U44" s="34" t="s">
        <v>118</v>
      </c>
      <c r="V44" s="34" t="s">
        <v>228</v>
      </c>
      <c r="W44" s="34" t="str">
        <f t="shared" si="16"/>
        <v>(*1-) Impostos</v>
      </c>
      <c r="Y44" s="7" t="s">
        <v>30</v>
      </c>
      <c r="Z44" s="34" t="s">
        <v>148</v>
      </c>
      <c r="AA44" s="34" t="str">
        <f t="shared" si="23"/>
        <v>Empréstimos e Financiamentos</v>
      </c>
      <c r="AC44" s="52" t="s">
        <v>549</v>
      </c>
      <c r="AD44" s="52" t="s">
        <v>493</v>
      </c>
      <c r="AE44" s="52" t="str">
        <f t="shared" si="13"/>
        <v>Debêntures (2ª Emissão)</v>
      </c>
    </row>
    <row r="45" spans="1:31" x14ac:dyDescent="0.35">
      <c r="A45" s="7" t="s">
        <v>33</v>
      </c>
      <c r="B45" s="7" t="s">
        <v>151</v>
      </c>
      <c r="C45" s="7" t="str">
        <f t="shared" si="24"/>
        <v>Salários, Provisões e Contribuições Sociais</v>
      </c>
      <c r="E45" s="7" t="s">
        <v>36</v>
      </c>
      <c r="F45" s="7" t="s">
        <v>156</v>
      </c>
      <c r="G45" s="7" t="str">
        <f t="shared" si="22"/>
        <v>Contratos de Aquisição de Ativos</v>
      </c>
      <c r="I45" s="7" t="s">
        <v>30</v>
      </c>
      <c r="J45" s="34" t="s">
        <v>148</v>
      </c>
      <c r="K45" s="34" t="str">
        <f t="shared" si="19"/>
        <v>Empréstimos e Financiamentos</v>
      </c>
      <c r="M45" s="7" t="s">
        <v>41</v>
      </c>
      <c r="N45" s="34" t="s">
        <v>161</v>
      </c>
      <c r="O45" s="34" t="str">
        <f t="shared" si="20"/>
        <v>Imposto de Renda e Contribuição Social Diferidos</v>
      </c>
      <c r="Q45" s="7" t="s">
        <v>41</v>
      </c>
      <c r="R45" s="34" t="s">
        <v>161</v>
      </c>
      <c r="S45" s="34" t="str">
        <f t="shared" si="21"/>
        <v>Imposto de Renda e Contribuição Social Diferidos</v>
      </c>
      <c r="U45" s="7" t="s">
        <v>462</v>
      </c>
      <c r="V45" s="34" t="s">
        <v>461</v>
      </c>
      <c r="W45" s="34" t="str">
        <f t="shared" si="16"/>
        <v>(=) EBIT Ajustado antes do D&amp;A Reavaliação</v>
      </c>
      <c r="Y45" s="7" t="s">
        <v>40</v>
      </c>
      <c r="Z45" s="34" t="s">
        <v>159</v>
      </c>
      <c r="AA45" s="34" t="str">
        <f t="shared" si="23"/>
        <v>Debêntures</v>
      </c>
      <c r="AC45" s="52" t="s">
        <v>556</v>
      </c>
      <c r="AD45" s="52" t="s">
        <v>507</v>
      </c>
      <c r="AE45" s="52" t="str">
        <f t="shared" si="13"/>
        <v>Financiamento Imobilizado - BNDES</v>
      </c>
    </row>
    <row r="46" spans="1:31" x14ac:dyDescent="0.35">
      <c r="A46" s="7" t="s">
        <v>34</v>
      </c>
      <c r="B46" s="7" t="s">
        <v>152</v>
      </c>
      <c r="C46" s="7" t="str">
        <f t="shared" si="24"/>
        <v>Impostos, Taxas e Contribuições</v>
      </c>
      <c r="E46" s="7" t="s">
        <v>60</v>
      </c>
      <c r="F46" s="7" t="s">
        <v>157</v>
      </c>
      <c r="G46" s="7" t="str">
        <f t="shared" si="22"/>
        <v>Arrendamento mercantil</v>
      </c>
      <c r="I46" s="7" t="s">
        <v>40</v>
      </c>
      <c r="J46" s="34" t="s">
        <v>159</v>
      </c>
      <c r="K46" s="34" t="str">
        <f t="shared" si="19"/>
        <v>Debêntures</v>
      </c>
      <c r="M46" s="7" t="s">
        <v>42</v>
      </c>
      <c r="N46" s="34" t="s">
        <v>162</v>
      </c>
      <c r="O46" s="34" t="str">
        <f t="shared" si="20"/>
        <v>Receitas Diferidas, Líquidas</v>
      </c>
      <c r="Q46" s="7" t="s">
        <v>42</v>
      </c>
      <c r="R46" s="34" t="s">
        <v>162</v>
      </c>
      <c r="S46" s="34" t="str">
        <f t="shared" si="21"/>
        <v>Receitas Diferidas, Líquidas</v>
      </c>
      <c r="U46" s="12" t="s">
        <v>460</v>
      </c>
      <c r="V46" s="39" t="s">
        <v>455</v>
      </c>
      <c r="W46" s="39" t="str">
        <f t="shared" si="16"/>
        <v>(+) EBIT Ajustado</v>
      </c>
      <c r="Y46" s="7" t="s">
        <v>62</v>
      </c>
      <c r="Z46" s="34" t="s">
        <v>150</v>
      </c>
      <c r="AA46" s="34" t="str">
        <f t="shared" si="23"/>
        <v>Provisão para Manutenção</v>
      </c>
      <c r="AC46" s="52" t="s">
        <v>557</v>
      </c>
      <c r="AD46" s="52" t="s">
        <v>511</v>
      </c>
      <c r="AE46" s="52" t="str">
        <f t="shared" si="13"/>
        <v>Crédito Suplementar - BNDES</v>
      </c>
    </row>
    <row r="47" spans="1:31" x14ac:dyDescent="0.35">
      <c r="A47" s="7" t="s">
        <v>59</v>
      </c>
      <c r="B47" s="7" t="s">
        <v>153</v>
      </c>
      <c r="C47" s="7" t="str">
        <f t="shared" si="24"/>
        <v>Adiantamento de Clientes</v>
      </c>
      <c r="E47" s="7" t="s">
        <v>38</v>
      </c>
      <c r="F47" s="7" t="s">
        <v>158</v>
      </c>
      <c r="G47" s="7" t="str">
        <f t="shared" si="22"/>
        <v>Outras Obrigações</v>
      </c>
      <c r="I47" s="7" t="s">
        <v>32</v>
      </c>
      <c r="J47" s="34" t="s">
        <v>160</v>
      </c>
      <c r="K47" s="34" t="str">
        <f t="shared" si="19"/>
        <v>Obrigações da Concessão</v>
      </c>
      <c r="M47" s="7" t="s">
        <v>35</v>
      </c>
      <c r="N47" s="34" t="s">
        <v>163</v>
      </c>
      <c r="O47" s="34" t="str">
        <f t="shared" si="20"/>
        <v>Contas a pagar - partes relacionadas</v>
      </c>
      <c r="Q47" s="7" t="s">
        <v>35</v>
      </c>
      <c r="R47" s="34" t="s">
        <v>163</v>
      </c>
      <c r="S47" s="34" t="str">
        <f t="shared" si="21"/>
        <v>Contas a pagar - partes relacionadas</v>
      </c>
      <c r="U47" s="25" t="s">
        <v>458</v>
      </c>
      <c r="V47" s="25" t="s">
        <v>459</v>
      </c>
      <c r="W47" s="25" t="str">
        <f t="shared" si="16"/>
        <v>(+) EBITDA Ajustado</v>
      </c>
      <c r="Y47" s="7" t="s">
        <v>32</v>
      </c>
      <c r="Z47" s="34" t="s">
        <v>160</v>
      </c>
      <c r="AA47" s="34" t="str">
        <f t="shared" si="23"/>
        <v>Obrigações da Concessão</v>
      </c>
      <c r="AC47" s="52" t="s">
        <v>483</v>
      </c>
      <c r="AD47" s="52" t="s">
        <v>483</v>
      </c>
      <c r="AE47" s="52" t="str">
        <f t="shared" si="13"/>
        <v>FINEP</v>
      </c>
    </row>
    <row r="48" spans="1:31" x14ac:dyDescent="0.35">
      <c r="A48" s="7" t="s">
        <v>10</v>
      </c>
      <c r="B48" s="7" t="s">
        <v>154</v>
      </c>
      <c r="C48" s="7" t="str">
        <f t="shared" si="24"/>
        <v>Dividendos Propostos</v>
      </c>
      <c r="E48" s="3" t="s">
        <v>39</v>
      </c>
      <c r="F48" s="3" t="s">
        <v>147</v>
      </c>
      <c r="G48" s="3" t="str">
        <f t="shared" si="22"/>
        <v>Passivo Não Circulante</v>
      </c>
      <c r="I48" s="7" t="s">
        <v>34</v>
      </c>
      <c r="J48" s="34" t="s">
        <v>152</v>
      </c>
      <c r="K48" s="34" t="str">
        <f t="shared" si="19"/>
        <v>Impostos, Taxas e Contribuições</v>
      </c>
      <c r="M48" s="7" t="s">
        <v>43</v>
      </c>
      <c r="N48" s="34" t="s">
        <v>164</v>
      </c>
      <c r="O48" s="34" t="str">
        <f t="shared" si="20"/>
        <v>Provisões para contingência</v>
      </c>
      <c r="Q48" s="7" t="s">
        <v>43</v>
      </c>
      <c r="R48" s="34" t="s">
        <v>164</v>
      </c>
      <c r="S48" s="34" t="str">
        <f t="shared" si="21"/>
        <v>Provisões para contingência</v>
      </c>
      <c r="U48" s="25" t="s">
        <v>456</v>
      </c>
      <c r="V48" s="25" t="s">
        <v>457</v>
      </c>
      <c r="W48" s="25" t="str">
        <f t="shared" si="16"/>
        <v>(-) Depreciação e Amortização</v>
      </c>
      <c r="Y48" s="7" t="s">
        <v>34</v>
      </c>
      <c r="Z48" s="34" t="s">
        <v>152</v>
      </c>
      <c r="AA48" s="34" t="str">
        <f t="shared" si="23"/>
        <v>Impostos, Taxas e Contribuições</v>
      </c>
      <c r="AC48" s="73" t="s">
        <v>558</v>
      </c>
      <c r="AD48" s="73" t="s">
        <v>513</v>
      </c>
      <c r="AE48" s="73" t="str">
        <f t="shared" si="13"/>
        <v>Outros Financiamentos e Empréstimos</v>
      </c>
    </row>
    <row r="49" spans="1:31" x14ac:dyDescent="0.35">
      <c r="A49" s="7" t="s">
        <v>35</v>
      </c>
      <c r="B49" s="7" t="s">
        <v>155</v>
      </c>
      <c r="C49" s="7" t="str">
        <f t="shared" si="24"/>
        <v>Contas a Pagar – Partes Relacionadas</v>
      </c>
      <c r="E49" s="7" t="s">
        <v>30</v>
      </c>
      <c r="F49" s="7" t="s">
        <v>148</v>
      </c>
      <c r="G49" s="7" t="str">
        <f t="shared" si="22"/>
        <v>Empréstimos e Financiamentos</v>
      </c>
      <c r="I49" s="7" t="s">
        <v>41</v>
      </c>
      <c r="J49" s="34" t="s">
        <v>161</v>
      </c>
      <c r="K49" s="34" t="str">
        <f t="shared" si="19"/>
        <v>Imposto de Renda e Contribuição Social Diferidos</v>
      </c>
      <c r="M49" s="7" t="s">
        <v>37</v>
      </c>
      <c r="N49" s="34" t="s">
        <v>165</v>
      </c>
      <c r="O49" s="34" t="str">
        <f t="shared" si="20"/>
        <v>Arrendamento Mercantil</v>
      </c>
      <c r="Q49" s="7" t="s">
        <v>37</v>
      </c>
      <c r="R49" s="34" t="s">
        <v>165</v>
      </c>
      <c r="S49" s="34" t="str">
        <f t="shared" si="21"/>
        <v>Arrendamento Mercantil</v>
      </c>
      <c r="U49" s="40" t="s">
        <v>109</v>
      </c>
      <c r="V49" s="40" t="s">
        <v>229</v>
      </c>
      <c r="W49" s="40" t="str">
        <f t="shared" si="16"/>
        <v>(+) D&amp;A Reavaliação</v>
      </c>
      <c r="Y49" s="7" t="s">
        <v>41</v>
      </c>
      <c r="Z49" s="34" t="s">
        <v>161</v>
      </c>
      <c r="AA49" s="34" t="str">
        <f t="shared" si="23"/>
        <v>Imposto de Renda e Contribuição Social Diferidos</v>
      </c>
    </row>
    <row r="50" spans="1:31" x14ac:dyDescent="0.35">
      <c r="A50" s="7" t="s">
        <v>36</v>
      </c>
      <c r="B50" s="7" t="s">
        <v>156</v>
      </c>
      <c r="C50" s="7" t="str">
        <f t="shared" si="24"/>
        <v>Contratos de Aquisição de Ativos</v>
      </c>
      <c r="E50" s="7"/>
      <c r="F50" s="7"/>
      <c r="G50" s="7"/>
      <c r="I50" s="7"/>
      <c r="J50" s="34"/>
      <c r="K50" s="34"/>
      <c r="M50" s="7"/>
      <c r="N50" s="34"/>
      <c r="O50" s="34"/>
      <c r="Q50" s="77" t="s">
        <v>639</v>
      </c>
      <c r="R50" s="34" t="s">
        <v>639</v>
      </c>
      <c r="S50" s="34" t="str">
        <f t="shared" si="21"/>
        <v>Provisão sobre Patrimônio Líquido Negativo</v>
      </c>
      <c r="U50" s="39"/>
      <c r="V50" s="39"/>
      <c r="W50" s="39"/>
      <c r="Y50" s="7" t="s">
        <v>42</v>
      </c>
      <c r="Z50" s="34" t="s">
        <v>162</v>
      </c>
      <c r="AA50" s="34" t="str">
        <f t="shared" si="23"/>
        <v>Receitas Diferidas, Líquidas</v>
      </c>
    </row>
    <row r="51" spans="1:31" x14ac:dyDescent="0.35">
      <c r="A51" s="7"/>
      <c r="B51" s="7"/>
      <c r="C51" s="7"/>
      <c r="E51" s="7" t="s">
        <v>40</v>
      </c>
      <c r="F51" s="7" t="s">
        <v>159</v>
      </c>
      <c r="G51" s="7" t="str">
        <f t="shared" si="22"/>
        <v>Debêntures</v>
      </c>
      <c r="I51" s="7" t="s">
        <v>42</v>
      </c>
      <c r="J51" s="34" t="s">
        <v>162</v>
      </c>
      <c r="K51" s="34" t="str">
        <f t="shared" si="19"/>
        <v>Receitas Diferidas, Líquidas</v>
      </c>
      <c r="M51" s="7" t="s">
        <v>44</v>
      </c>
      <c r="N51" s="34" t="s">
        <v>166</v>
      </c>
      <c r="O51" s="34" t="str">
        <f t="shared" si="20"/>
        <v>Contrato de aquisição de ativos</v>
      </c>
      <c r="Q51" s="7" t="s">
        <v>44</v>
      </c>
      <c r="R51" s="34" t="s">
        <v>166</v>
      </c>
      <c r="S51" s="34" t="str">
        <f t="shared" si="21"/>
        <v>Contrato de aquisição de ativos</v>
      </c>
      <c r="Y51" s="4" t="s">
        <v>634</v>
      </c>
      <c r="Z51" s="31" t="s">
        <v>633</v>
      </c>
      <c r="AA51" s="31" t="str">
        <f t="shared" si="23"/>
        <v>Instrumentos Financeiros Derivativos</v>
      </c>
    </row>
    <row r="52" spans="1:31" x14ac:dyDescent="0.35">
      <c r="A52" s="7" t="s">
        <v>60</v>
      </c>
      <c r="B52" s="7" t="s">
        <v>157</v>
      </c>
      <c r="C52" s="7" t="str">
        <f t="shared" si="24"/>
        <v>Arrendamento mercantil</v>
      </c>
      <c r="E52" s="7" t="s">
        <v>32</v>
      </c>
      <c r="F52" s="7" t="s">
        <v>160</v>
      </c>
      <c r="G52" s="7" t="str">
        <f t="shared" si="22"/>
        <v>Obrigações da Concessão</v>
      </c>
      <c r="I52" s="7" t="s">
        <v>35</v>
      </c>
      <c r="J52" s="34" t="s">
        <v>163</v>
      </c>
      <c r="K52" s="34" t="str">
        <f t="shared" si="19"/>
        <v>Contas a pagar - partes relacionadas</v>
      </c>
      <c r="M52" s="7" t="s">
        <v>45</v>
      </c>
      <c r="N52" s="34" t="s">
        <v>158</v>
      </c>
      <c r="O52" s="34" t="str">
        <f t="shared" si="20"/>
        <v>Outras Obrigações</v>
      </c>
      <c r="Q52" s="7" t="s">
        <v>45</v>
      </c>
      <c r="R52" s="34" t="s">
        <v>158</v>
      </c>
      <c r="S52" s="34" t="str">
        <f t="shared" si="21"/>
        <v>Outras Obrigações</v>
      </c>
      <c r="Y52" s="7" t="s">
        <v>35</v>
      </c>
      <c r="Z52" s="34" t="s">
        <v>163</v>
      </c>
      <c r="AA52" s="34" t="str">
        <f t="shared" si="23"/>
        <v>Contas a pagar - partes relacionadas</v>
      </c>
      <c r="AC52" s="29" t="s">
        <v>559</v>
      </c>
      <c r="AD52" s="29" t="s">
        <v>477</v>
      </c>
      <c r="AE52" s="29" t="str">
        <f t="shared" ref="AE52:AE77" si="25">IF($AG$1=1,AD52,AC52)</f>
        <v>INDEXADOR</v>
      </c>
    </row>
    <row r="53" spans="1:31" x14ac:dyDescent="0.35">
      <c r="A53" s="7" t="s">
        <v>38</v>
      </c>
      <c r="B53" s="7" t="s">
        <v>158</v>
      </c>
      <c r="C53" s="7" t="str">
        <f t="shared" si="24"/>
        <v>Outras Obrigações</v>
      </c>
      <c r="E53" s="7" t="s">
        <v>34</v>
      </c>
      <c r="F53" s="7" t="s">
        <v>152</v>
      </c>
      <c r="G53" s="7" t="str">
        <f t="shared" si="22"/>
        <v>Impostos, Taxas e Contribuições</v>
      </c>
      <c r="I53" s="7" t="s">
        <v>43</v>
      </c>
      <c r="J53" s="34" t="s">
        <v>164</v>
      </c>
      <c r="K53" s="34" t="str">
        <f t="shared" si="19"/>
        <v>Provisões para contingência</v>
      </c>
      <c r="M53" s="3" t="s">
        <v>46</v>
      </c>
      <c r="N53" s="32" t="s">
        <v>178</v>
      </c>
      <c r="O53" s="32" t="str">
        <f t="shared" si="20"/>
        <v>Patrimônio Líquido</v>
      </c>
      <c r="Q53" s="3" t="s">
        <v>46</v>
      </c>
      <c r="R53" s="32" t="s">
        <v>178</v>
      </c>
      <c r="S53" s="32" t="str">
        <f t="shared" si="21"/>
        <v>Patrimônio Líquido</v>
      </c>
      <c r="Y53" s="7" t="s">
        <v>43</v>
      </c>
      <c r="Z53" s="34" t="s">
        <v>164</v>
      </c>
      <c r="AA53" s="34" t="str">
        <f t="shared" si="23"/>
        <v>Provisões para contingência</v>
      </c>
      <c r="AC53" s="52" t="s">
        <v>560</v>
      </c>
      <c r="AD53" s="52" t="s">
        <v>480</v>
      </c>
      <c r="AE53" s="52" t="str">
        <f t="shared" si="25"/>
        <v>IPCA + 8,65% a.a.</v>
      </c>
    </row>
    <row r="54" spans="1:31" x14ac:dyDescent="0.35">
      <c r="A54" s="3" t="s">
        <v>39</v>
      </c>
      <c r="B54" s="3" t="s">
        <v>147</v>
      </c>
      <c r="C54" s="3" t="str">
        <f t="shared" si="24"/>
        <v>Passivo Não Circulante</v>
      </c>
      <c r="E54" s="7" t="s">
        <v>41</v>
      </c>
      <c r="F54" s="7" t="s">
        <v>161</v>
      </c>
      <c r="G54" s="7" t="str">
        <f t="shared" si="22"/>
        <v>Imposto de Renda e Contribuição Social Diferidos</v>
      </c>
      <c r="I54" s="7" t="s">
        <v>37</v>
      </c>
      <c r="J54" s="34" t="s">
        <v>165</v>
      </c>
      <c r="K54" s="34" t="str">
        <f t="shared" si="19"/>
        <v>Arrendamento Mercantil</v>
      </c>
      <c r="M54" s="7" t="s">
        <v>47</v>
      </c>
      <c r="N54" s="34" t="s">
        <v>167</v>
      </c>
      <c r="O54" s="34" t="str">
        <f t="shared" si="20"/>
        <v>Capital Social</v>
      </c>
      <c r="Q54" s="7" t="s">
        <v>47</v>
      </c>
      <c r="R54" s="34" t="s">
        <v>167</v>
      </c>
      <c r="S54" s="34" t="str">
        <f t="shared" si="21"/>
        <v>Capital Social</v>
      </c>
      <c r="Y54" s="7" t="s">
        <v>37</v>
      </c>
      <c r="Z54" s="34" t="s">
        <v>165</v>
      </c>
      <c r="AA54" s="34" t="str">
        <f t="shared" si="23"/>
        <v>Arrendamento Mercantil</v>
      </c>
      <c r="AC54" s="52" t="s">
        <v>561</v>
      </c>
      <c r="AD54" s="52" t="s">
        <v>482</v>
      </c>
      <c r="AE54" s="52" t="str">
        <f t="shared" si="25"/>
        <v>IPCA + 7,0% a.a e CDI + 2,2%</v>
      </c>
    </row>
    <row r="55" spans="1:31" x14ac:dyDescent="0.35">
      <c r="A55" s="7" t="s">
        <v>30</v>
      </c>
      <c r="B55" s="7" t="s">
        <v>148</v>
      </c>
      <c r="C55" s="7" t="str">
        <f t="shared" si="24"/>
        <v>Empréstimos e Financiamentos</v>
      </c>
      <c r="E55" s="7" t="s">
        <v>42</v>
      </c>
      <c r="F55" s="7" t="s">
        <v>162</v>
      </c>
      <c r="G55" s="7" t="str">
        <f t="shared" si="22"/>
        <v>Receitas Diferidas, Líquidas</v>
      </c>
      <c r="I55" s="7" t="s">
        <v>44</v>
      </c>
      <c r="J55" s="34" t="s">
        <v>166</v>
      </c>
      <c r="K55" s="34" t="str">
        <f t="shared" si="19"/>
        <v>Contrato de aquisição de ativos</v>
      </c>
      <c r="M55" s="7" t="s">
        <v>48</v>
      </c>
      <c r="N55" s="34" t="s">
        <v>168</v>
      </c>
      <c r="O55" s="34" t="str">
        <f t="shared" si="20"/>
        <v>Capital a Integralizar</v>
      </c>
      <c r="Q55" s="7" t="s">
        <v>48</v>
      </c>
      <c r="R55" s="34" t="s">
        <v>168</v>
      </c>
      <c r="S55" s="34" t="str">
        <f t="shared" si="21"/>
        <v>Capital a Integralizar</v>
      </c>
      <c r="Y55" s="7" t="s">
        <v>44</v>
      </c>
      <c r="Z55" s="34" t="s">
        <v>166</v>
      </c>
      <c r="AA55" s="34" t="str">
        <f t="shared" si="23"/>
        <v>Contrato de aquisição de ativos</v>
      </c>
      <c r="AC55" s="52" t="s">
        <v>562</v>
      </c>
      <c r="AD55" s="52" t="s">
        <v>518</v>
      </c>
      <c r="AE55" s="52" t="str">
        <f t="shared" si="25"/>
        <v>CDI + 3,307% a.a.</v>
      </c>
    </row>
    <row r="56" spans="1:31" x14ac:dyDescent="0.35">
      <c r="A56" s="7" t="s">
        <v>40</v>
      </c>
      <c r="B56" s="7" t="s">
        <v>159</v>
      </c>
      <c r="C56" s="7" t="str">
        <f t="shared" si="24"/>
        <v>Debêntures</v>
      </c>
      <c r="E56" s="7" t="s">
        <v>35</v>
      </c>
      <c r="F56" s="7" t="s">
        <v>163</v>
      </c>
      <c r="G56" s="7" t="str">
        <f t="shared" si="22"/>
        <v>Contas a pagar - partes relacionadas</v>
      </c>
      <c r="I56" s="7" t="s">
        <v>45</v>
      </c>
      <c r="J56" s="34" t="s">
        <v>158</v>
      </c>
      <c r="K56" s="34" t="str">
        <f t="shared" si="19"/>
        <v>Outras Obrigações</v>
      </c>
      <c r="M56" s="7" t="s">
        <v>49</v>
      </c>
      <c r="N56" s="34" t="s">
        <v>169</v>
      </c>
      <c r="O56" s="34" t="str">
        <f t="shared" si="20"/>
        <v>Reservas de Capital</v>
      </c>
      <c r="Q56" s="7" t="s">
        <v>49</v>
      </c>
      <c r="R56" s="34" t="s">
        <v>169</v>
      </c>
      <c r="S56" s="34" t="str">
        <f t="shared" si="21"/>
        <v>Reservas de Capital</v>
      </c>
      <c r="Y56" s="7" t="s">
        <v>45</v>
      </c>
      <c r="Z56" s="34" t="s">
        <v>158</v>
      </c>
      <c r="AA56" s="34" t="str">
        <f t="shared" si="23"/>
        <v>Outras Obrigações</v>
      </c>
      <c r="AC56" s="52" t="s">
        <v>563</v>
      </c>
      <c r="AD56" s="52" t="s">
        <v>503</v>
      </c>
      <c r="AE56" s="52" t="str">
        <f t="shared" si="25"/>
        <v>126,5% do CDI</v>
      </c>
    </row>
    <row r="57" spans="1:31" x14ac:dyDescent="0.35">
      <c r="A57" s="7" t="s">
        <v>62</v>
      </c>
      <c r="B57" s="7" t="s">
        <v>150</v>
      </c>
      <c r="C57" s="7" t="str">
        <f t="shared" si="24"/>
        <v>Provisão para Manutenção</v>
      </c>
      <c r="E57" s="7" t="s">
        <v>43</v>
      </c>
      <c r="F57" s="7" t="s">
        <v>164</v>
      </c>
      <c r="G57" s="7" t="str">
        <f t="shared" si="22"/>
        <v>Provisões para contingência</v>
      </c>
      <c r="I57" s="3" t="s">
        <v>46</v>
      </c>
      <c r="J57" s="32" t="s">
        <v>178</v>
      </c>
      <c r="K57" s="32" t="str">
        <f t="shared" si="19"/>
        <v>Patrimônio Líquido</v>
      </c>
      <c r="M57" s="7" t="s">
        <v>213</v>
      </c>
      <c r="N57" s="34" t="s">
        <v>170</v>
      </c>
      <c r="O57" s="34" t="str">
        <f t="shared" si="20"/>
        <v>Reserva de reavaliação, liquida</v>
      </c>
      <c r="Q57" s="7" t="s">
        <v>213</v>
      </c>
      <c r="R57" s="34" t="s">
        <v>170</v>
      </c>
      <c r="S57" s="34" t="str">
        <f t="shared" si="21"/>
        <v>Reserva de reavaliação, liquida</v>
      </c>
      <c r="Y57" s="3" t="s">
        <v>46</v>
      </c>
      <c r="Z57" s="32" t="s">
        <v>178</v>
      </c>
      <c r="AA57" s="32" t="str">
        <f t="shared" si="23"/>
        <v>Patrimônio Líquido</v>
      </c>
      <c r="AC57" s="52" t="s">
        <v>564</v>
      </c>
      <c r="AD57" s="52" t="s">
        <v>484</v>
      </c>
      <c r="AE57" s="52" t="str">
        <f t="shared" si="25"/>
        <v>8% a.a.</v>
      </c>
    </row>
    <row r="58" spans="1:31" x14ac:dyDescent="0.35">
      <c r="A58" s="7" t="s">
        <v>32</v>
      </c>
      <c r="B58" s="7" t="s">
        <v>160</v>
      </c>
      <c r="C58" s="7" t="str">
        <f t="shared" si="24"/>
        <v>Obrigações da Concessão</v>
      </c>
      <c r="E58" s="7" t="s">
        <v>37</v>
      </c>
      <c r="F58" s="7" t="s">
        <v>165</v>
      </c>
      <c r="G58" s="7" t="str">
        <f t="shared" si="22"/>
        <v>Arrendamento Mercantil</v>
      </c>
      <c r="I58" s="7" t="s">
        <v>47</v>
      </c>
      <c r="J58" s="34" t="s">
        <v>167</v>
      </c>
      <c r="K58" s="34" t="str">
        <f t="shared" si="19"/>
        <v>Capital Social</v>
      </c>
      <c r="M58" s="7" t="s">
        <v>217</v>
      </c>
      <c r="N58" s="34" t="s">
        <v>171</v>
      </c>
      <c r="O58" s="34" t="str">
        <f t="shared" si="20"/>
        <v>Ajuste de avaliação Patrimonial, líquida</v>
      </c>
      <c r="Q58" s="7" t="s">
        <v>217</v>
      </c>
      <c r="R58" s="34" t="s">
        <v>171</v>
      </c>
      <c r="S58" s="34" t="str">
        <f t="shared" si="21"/>
        <v>Ajuste de avaliação Patrimonial, líquida</v>
      </c>
      <c r="Y58" s="7" t="s">
        <v>47</v>
      </c>
      <c r="Z58" s="34" t="s">
        <v>167</v>
      </c>
      <c r="AA58" s="34" t="str">
        <f t="shared" si="23"/>
        <v>Capital Social</v>
      </c>
      <c r="AC58" s="52" t="s">
        <v>565</v>
      </c>
      <c r="AD58" s="52" t="s">
        <v>486</v>
      </c>
      <c r="AE58" s="52" t="str">
        <f t="shared" si="25"/>
        <v xml:space="preserve">121,5%  do CDI </v>
      </c>
    </row>
    <row r="59" spans="1:31" x14ac:dyDescent="0.35">
      <c r="A59" s="7" t="s">
        <v>34</v>
      </c>
      <c r="B59" s="7" t="s">
        <v>152</v>
      </c>
      <c r="C59" s="7" t="str">
        <f t="shared" si="24"/>
        <v>Impostos, Taxas e Contribuições</v>
      </c>
      <c r="E59" s="7" t="s">
        <v>44</v>
      </c>
      <c r="F59" s="7" t="s">
        <v>166</v>
      </c>
      <c r="G59" s="7" t="str">
        <f t="shared" si="22"/>
        <v>Contrato de aquisição de ativos</v>
      </c>
      <c r="I59" s="7" t="s">
        <v>48</v>
      </c>
      <c r="J59" s="34" t="s">
        <v>168</v>
      </c>
      <c r="K59" s="34" t="str">
        <f t="shared" si="19"/>
        <v>Capital a Integralizar</v>
      </c>
      <c r="M59" s="7" t="s">
        <v>52</v>
      </c>
      <c r="N59" s="34" t="s">
        <v>172</v>
      </c>
      <c r="O59" s="34" t="str">
        <f t="shared" si="20"/>
        <v>Ágio em transações de capital</v>
      </c>
      <c r="Q59" s="76" t="s">
        <v>602</v>
      </c>
      <c r="R59" s="34" t="s">
        <v>602</v>
      </c>
      <c r="S59" s="34" t="str">
        <f t="shared" ref="S59" si="26">IF($AG$1=1,R59,Q59)</f>
        <v>Outros resultados abrangentes</v>
      </c>
      <c r="Y59" s="7" t="s">
        <v>48</v>
      </c>
      <c r="Z59" s="34" t="s">
        <v>168</v>
      </c>
      <c r="AA59" s="34" t="str">
        <f t="shared" si="23"/>
        <v>Capital a Integralizar</v>
      </c>
      <c r="AC59" s="52" t="s">
        <v>488</v>
      </c>
      <c r="AD59" s="52" t="s">
        <v>488</v>
      </c>
      <c r="AE59" s="52" t="str">
        <f t="shared" si="25"/>
        <v>CDI + 1,95%</v>
      </c>
    </row>
    <row r="60" spans="1:31" x14ac:dyDescent="0.35">
      <c r="A60" s="7" t="s">
        <v>41</v>
      </c>
      <c r="B60" s="7" t="s">
        <v>161</v>
      </c>
      <c r="C60" s="7" t="str">
        <f t="shared" si="24"/>
        <v>Imposto de Renda e Contribuição Social Diferidos</v>
      </c>
      <c r="E60" s="7" t="s">
        <v>45</v>
      </c>
      <c r="F60" s="7" t="s">
        <v>158</v>
      </c>
      <c r="G60" s="7" t="str">
        <f t="shared" si="22"/>
        <v>Outras Obrigações</v>
      </c>
      <c r="I60" s="7" t="s">
        <v>49</v>
      </c>
      <c r="J60" s="34" t="s">
        <v>169</v>
      </c>
      <c r="K60" s="34" t="str">
        <f t="shared" si="19"/>
        <v>Reservas de Capital</v>
      </c>
      <c r="M60" s="7" t="s">
        <v>53</v>
      </c>
      <c r="N60" s="34" t="s">
        <v>173</v>
      </c>
      <c r="O60" s="34" t="str">
        <f t="shared" si="20"/>
        <v>Reservas de Lucros</v>
      </c>
      <c r="Q60" s="7" t="s">
        <v>53</v>
      </c>
      <c r="R60" s="34" t="s">
        <v>173</v>
      </c>
      <c r="S60" s="34" t="str">
        <f t="shared" si="21"/>
        <v>Reservas de Lucros</v>
      </c>
      <c r="Y60" s="7" t="s">
        <v>49</v>
      </c>
      <c r="Z60" s="34" t="s">
        <v>169</v>
      </c>
      <c r="AA60" s="34" t="str">
        <f t="shared" si="23"/>
        <v>Reservas de Capital</v>
      </c>
      <c r="AC60" s="52" t="s">
        <v>566</v>
      </c>
      <c r="AD60" s="52" t="s">
        <v>490</v>
      </c>
      <c r="AE60" s="52" t="str">
        <f t="shared" si="25"/>
        <v>CDI + 2,10% a.a.</v>
      </c>
    </row>
    <row r="61" spans="1:31" x14ac:dyDescent="0.35">
      <c r="A61" s="7" t="s">
        <v>42</v>
      </c>
      <c r="B61" s="7" t="s">
        <v>162</v>
      </c>
      <c r="C61" s="7" t="str">
        <f t="shared" si="24"/>
        <v>Receitas Diferidas, Líquidas</v>
      </c>
      <c r="E61" s="3" t="s">
        <v>46</v>
      </c>
      <c r="F61" s="3" t="s">
        <v>178</v>
      </c>
      <c r="G61" s="3" t="str">
        <f t="shared" si="22"/>
        <v>Patrimônio Líquido</v>
      </c>
      <c r="I61" s="7" t="s">
        <v>213</v>
      </c>
      <c r="J61" s="34" t="s">
        <v>170</v>
      </c>
      <c r="K61" s="34" t="str">
        <f t="shared" si="19"/>
        <v>Reserva de reavaliação, liquida</v>
      </c>
      <c r="M61" s="7" t="s">
        <v>54</v>
      </c>
      <c r="N61" s="34" t="s">
        <v>174</v>
      </c>
      <c r="O61" s="34" t="str">
        <f t="shared" si="20"/>
        <v>Lucro e prejuizos acumulados</v>
      </c>
      <c r="Q61" s="7" t="s">
        <v>54</v>
      </c>
      <c r="R61" s="34" t="s">
        <v>174</v>
      </c>
      <c r="S61" s="34" t="str">
        <f t="shared" si="21"/>
        <v>Lucro e prejuizos acumulados</v>
      </c>
      <c r="Y61" s="7" t="s">
        <v>50</v>
      </c>
      <c r="Z61" s="34" t="s">
        <v>170</v>
      </c>
      <c r="AA61" s="34" t="str">
        <f t="shared" si="23"/>
        <v>Reserva de reavaliação, liquida</v>
      </c>
      <c r="AC61" s="52" t="s">
        <v>567</v>
      </c>
      <c r="AD61" s="52" t="s">
        <v>492</v>
      </c>
      <c r="AE61" s="52" t="str">
        <f t="shared" si="25"/>
        <v>8,0% a.a.</v>
      </c>
    </row>
    <row r="62" spans="1:31" x14ac:dyDescent="0.35">
      <c r="A62" s="7" t="s">
        <v>35</v>
      </c>
      <c r="B62" s="7" t="s">
        <v>163</v>
      </c>
      <c r="C62" s="7" t="str">
        <f t="shared" si="24"/>
        <v>Contas a pagar - partes relacionadas</v>
      </c>
      <c r="E62" s="7" t="s">
        <v>47</v>
      </c>
      <c r="F62" s="7" t="s">
        <v>167</v>
      </c>
      <c r="G62" s="7" t="str">
        <f t="shared" si="22"/>
        <v>Capital Social</v>
      </c>
      <c r="I62" s="7" t="s">
        <v>217</v>
      </c>
      <c r="J62" s="34" t="s">
        <v>171</v>
      </c>
      <c r="K62" s="34" t="str">
        <f t="shared" si="19"/>
        <v>Ajuste de avaliação Patrimonial, líquida</v>
      </c>
      <c r="M62" s="7" t="s">
        <v>55</v>
      </c>
      <c r="N62" s="34" t="s">
        <v>175</v>
      </c>
      <c r="O62" s="34" t="str">
        <f t="shared" si="20"/>
        <v>Adiantamentos para futuro aumento de capital  - AFAC</v>
      </c>
      <c r="Q62" s="7" t="s">
        <v>55</v>
      </c>
      <c r="R62" s="34" t="s">
        <v>175</v>
      </c>
      <c r="S62" s="34" t="str">
        <f t="shared" si="21"/>
        <v>Adiantamentos para futuro aumento de capital  - AFAC</v>
      </c>
      <c r="Y62" s="34" t="s">
        <v>411</v>
      </c>
      <c r="Z62" s="34" t="s">
        <v>387</v>
      </c>
      <c r="AA62" s="34" t="str">
        <f t="shared" si="23"/>
        <v>Outros Resultados Abrangentes</v>
      </c>
      <c r="AC62" s="52" t="s">
        <v>568</v>
      </c>
      <c r="AD62" s="52" t="s">
        <v>522</v>
      </c>
      <c r="AE62" s="52" t="str">
        <f t="shared" si="25"/>
        <v>118,0% do CDI</v>
      </c>
    </row>
    <row r="63" spans="1:31" x14ac:dyDescent="0.35">
      <c r="A63" s="7" t="s">
        <v>43</v>
      </c>
      <c r="B63" s="7" t="s">
        <v>164</v>
      </c>
      <c r="C63" s="7" t="str">
        <f t="shared" si="24"/>
        <v>Provisões para contingência</v>
      </c>
      <c r="E63" s="7" t="s">
        <v>48</v>
      </c>
      <c r="F63" s="7" t="s">
        <v>168</v>
      </c>
      <c r="G63" s="7" t="str">
        <f t="shared" si="22"/>
        <v>Capital a Integralizar</v>
      </c>
      <c r="I63" s="7" t="s">
        <v>52</v>
      </c>
      <c r="J63" s="34" t="s">
        <v>172</v>
      </c>
      <c r="K63" s="34" t="str">
        <f t="shared" si="19"/>
        <v>Ágio em transações de capital</v>
      </c>
      <c r="M63" s="7" t="s">
        <v>56</v>
      </c>
      <c r="N63" s="34" t="s">
        <v>176</v>
      </c>
      <c r="O63" s="34" t="str">
        <f t="shared" si="20"/>
        <v>Reservas Legal</v>
      </c>
      <c r="Q63" s="7" t="s">
        <v>56</v>
      </c>
      <c r="R63" s="34" t="s">
        <v>176</v>
      </c>
      <c r="S63" s="34" t="str">
        <f t="shared" si="21"/>
        <v>Reservas Legal</v>
      </c>
      <c r="Y63" s="7" t="s">
        <v>51</v>
      </c>
      <c r="Z63" s="34" t="s">
        <v>171</v>
      </c>
      <c r="AA63" s="34" t="str">
        <f t="shared" si="23"/>
        <v>Ajuste de avaliação Patrimonial, líquida</v>
      </c>
      <c r="AC63" s="52" t="s">
        <v>569</v>
      </c>
      <c r="AD63" s="52" t="s">
        <v>494</v>
      </c>
      <c r="AE63" s="52" t="str">
        <f t="shared" si="25"/>
        <v>CDI + 2,9% a.a.</v>
      </c>
    </row>
    <row r="64" spans="1:31" x14ac:dyDescent="0.35">
      <c r="A64" s="7" t="s">
        <v>37</v>
      </c>
      <c r="B64" s="7" t="s">
        <v>165</v>
      </c>
      <c r="C64" s="7" t="str">
        <f t="shared" si="24"/>
        <v>Arrendamento Mercantil</v>
      </c>
      <c r="E64" s="7" t="s">
        <v>49</v>
      </c>
      <c r="F64" s="7" t="s">
        <v>169</v>
      </c>
      <c r="G64" s="7" t="str">
        <f t="shared" si="22"/>
        <v>Reservas de Capital</v>
      </c>
      <c r="I64" s="7" t="s">
        <v>53</v>
      </c>
      <c r="J64" s="34" t="s">
        <v>173</v>
      </c>
      <c r="K64" s="34" t="str">
        <f t="shared" si="19"/>
        <v>Reservas de Lucros</v>
      </c>
      <c r="M64" s="9" t="s">
        <v>57</v>
      </c>
      <c r="N64" s="35" t="s">
        <v>177</v>
      </c>
      <c r="O64" s="35" t="str">
        <f t="shared" si="20"/>
        <v>Participações de Acionistas Não Controladores</v>
      </c>
      <c r="Q64" s="9" t="s">
        <v>57</v>
      </c>
      <c r="R64" s="35" t="s">
        <v>177</v>
      </c>
      <c r="S64" s="35" t="str">
        <f t="shared" si="21"/>
        <v>Participações de Acionistas Não Controladores</v>
      </c>
      <c r="Y64" s="7" t="s">
        <v>52</v>
      </c>
      <c r="Z64" s="34" t="s">
        <v>172</v>
      </c>
      <c r="AA64" s="34" t="str">
        <f t="shared" si="23"/>
        <v>Ágio em transações de capital</v>
      </c>
      <c r="AC64" s="52" t="s">
        <v>570</v>
      </c>
      <c r="AD64" s="52" t="s">
        <v>496</v>
      </c>
      <c r="AE64" s="52" t="str">
        <f t="shared" si="25"/>
        <v>121% do CDI</v>
      </c>
    </row>
    <row r="65" spans="1:31" x14ac:dyDescent="0.35">
      <c r="A65" s="7" t="s">
        <v>634</v>
      </c>
      <c r="B65" s="7" t="s">
        <v>633</v>
      </c>
      <c r="C65" s="7" t="str">
        <f t="shared" si="24"/>
        <v>Instrumentos Financeiros Derivativos</v>
      </c>
      <c r="E65" s="7" t="s">
        <v>213</v>
      </c>
      <c r="F65" s="7" t="s">
        <v>170</v>
      </c>
      <c r="G65" s="7" t="str">
        <f t="shared" si="22"/>
        <v>Reserva de reavaliação, liquida</v>
      </c>
      <c r="I65" s="7" t="s">
        <v>54</v>
      </c>
      <c r="J65" s="34" t="s">
        <v>174</v>
      </c>
      <c r="K65" s="34" t="str">
        <f t="shared" si="19"/>
        <v>Lucro e prejuizos acumulados</v>
      </c>
      <c r="Y65" s="7" t="s">
        <v>53</v>
      </c>
      <c r="Z65" s="34" t="s">
        <v>173</v>
      </c>
      <c r="AA65" s="34" t="str">
        <f t="shared" si="23"/>
        <v>Reservas de Lucros</v>
      </c>
      <c r="AC65" s="52" t="s">
        <v>571</v>
      </c>
      <c r="AD65" s="52" t="s">
        <v>498</v>
      </c>
      <c r="AE65" s="52" t="str">
        <f t="shared" si="25"/>
        <v>CDI + 2,25% a.a.</v>
      </c>
    </row>
    <row r="66" spans="1:31" x14ac:dyDescent="0.35">
      <c r="A66" s="7" t="s">
        <v>45</v>
      </c>
      <c r="B66" s="7" t="s">
        <v>158</v>
      </c>
      <c r="C66" s="7" t="str">
        <f t="shared" si="24"/>
        <v>Outras Obrigações</v>
      </c>
      <c r="E66" s="7" t="s">
        <v>217</v>
      </c>
      <c r="F66" s="7" t="s">
        <v>171</v>
      </c>
      <c r="G66" s="7" t="str">
        <f t="shared" si="22"/>
        <v>Ajuste de avaliação Patrimonial, líquida</v>
      </c>
      <c r="I66" s="7" t="s">
        <v>55</v>
      </c>
      <c r="J66" s="34" t="s">
        <v>175</v>
      </c>
      <c r="K66" s="34" t="str">
        <f t="shared" si="19"/>
        <v>Adiantamentos para futuro aumento de capital  - AFAC</v>
      </c>
      <c r="Y66" s="7" t="s">
        <v>54</v>
      </c>
      <c r="Z66" s="34" t="s">
        <v>174</v>
      </c>
      <c r="AA66" s="34" t="str">
        <f t="shared" si="23"/>
        <v>Lucro e prejuizos acumulados</v>
      </c>
      <c r="AC66" s="52" t="s">
        <v>572</v>
      </c>
      <c r="AD66" s="52" t="s">
        <v>500</v>
      </c>
      <c r="AE66" s="52" t="str">
        <f t="shared" si="25"/>
        <v>Variação Cambial + 0,93% a 2,5% a.a.</v>
      </c>
    </row>
    <row r="67" spans="1:31" x14ac:dyDescent="0.35">
      <c r="A67" s="3" t="s">
        <v>46</v>
      </c>
      <c r="B67" s="3" t="s">
        <v>178</v>
      </c>
      <c r="C67" s="3" t="str">
        <f t="shared" si="24"/>
        <v>Patrimônio Líquido</v>
      </c>
      <c r="E67" s="7" t="s">
        <v>52</v>
      </c>
      <c r="F67" s="7" t="s">
        <v>172</v>
      </c>
      <c r="G67" s="7" t="str">
        <f t="shared" si="22"/>
        <v>Ágio em transações de capital</v>
      </c>
      <c r="I67" s="7" t="s">
        <v>56</v>
      </c>
      <c r="J67" s="34" t="s">
        <v>176</v>
      </c>
      <c r="K67" s="34" t="str">
        <f t="shared" si="19"/>
        <v>Reservas Legal</v>
      </c>
      <c r="M67" s="47" t="s">
        <v>61</v>
      </c>
      <c r="N67" s="47" t="s">
        <v>179</v>
      </c>
      <c r="O67" s="47" t="str">
        <f t="shared" ref="O67:O86" si="27">IF($AG$1=1,N67,M67)</f>
        <v>DRE</v>
      </c>
      <c r="Q67" s="47" t="s">
        <v>61</v>
      </c>
      <c r="R67" s="29" t="s">
        <v>179</v>
      </c>
      <c r="S67" s="29" t="str">
        <f t="shared" ref="S67:S95" si="28">IF($AG$1=1,R67,Q67)</f>
        <v>DRE</v>
      </c>
      <c r="Y67" s="7" t="s">
        <v>55</v>
      </c>
      <c r="Z67" s="34" t="s">
        <v>175</v>
      </c>
      <c r="AA67" s="34" t="str">
        <f t="shared" si="23"/>
        <v>Adiantamentos para futuro aumento de capital  - AFAC</v>
      </c>
      <c r="AC67" s="52" t="s">
        <v>573</v>
      </c>
      <c r="AD67" s="52" t="s">
        <v>502</v>
      </c>
      <c r="AE67" s="52" t="str">
        <f t="shared" si="25"/>
        <v>IPCA + 7,60% a.a.</v>
      </c>
    </row>
    <row r="68" spans="1:31" x14ac:dyDescent="0.35">
      <c r="A68" s="7" t="s">
        <v>47</v>
      </c>
      <c r="B68" s="7" t="s">
        <v>167</v>
      </c>
      <c r="C68" s="7" t="str">
        <f t="shared" si="24"/>
        <v>Capital Social</v>
      </c>
      <c r="E68" s="7" t="s">
        <v>53</v>
      </c>
      <c r="F68" s="7" t="s">
        <v>173</v>
      </c>
      <c r="G68" s="7" t="str">
        <f t="shared" si="22"/>
        <v>Reservas de Lucros</v>
      </c>
      <c r="I68" s="9" t="s">
        <v>57</v>
      </c>
      <c r="J68" s="35" t="s">
        <v>177</v>
      </c>
      <c r="K68" s="35" t="str">
        <f t="shared" si="19"/>
        <v>Participações de Acionistas Não Controladores</v>
      </c>
      <c r="M68" s="36" t="s">
        <v>63</v>
      </c>
      <c r="N68" s="36" t="s">
        <v>180</v>
      </c>
      <c r="O68" s="36" t="str">
        <f t="shared" si="27"/>
        <v>Receita Bruta</v>
      </c>
      <c r="Q68" s="36" t="s">
        <v>63</v>
      </c>
      <c r="R68" s="36" t="s">
        <v>180</v>
      </c>
      <c r="S68" s="36" t="str">
        <f t="shared" si="28"/>
        <v>Receita Bruta</v>
      </c>
      <c r="Y68" s="7" t="s">
        <v>56</v>
      </c>
      <c r="Z68" s="34" t="s">
        <v>176</v>
      </c>
      <c r="AA68" s="34" t="str">
        <f t="shared" si="23"/>
        <v>Reservas Legal</v>
      </c>
      <c r="AC68" s="52" t="s">
        <v>563</v>
      </c>
      <c r="AD68" s="52" t="s">
        <v>503</v>
      </c>
      <c r="AE68" s="52" t="str">
        <f t="shared" si="25"/>
        <v>126,5% do CDI</v>
      </c>
    </row>
    <row r="69" spans="1:31" x14ac:dyDescent="0.35">
      <c r="A69" s="7" t="s">
        <v>48</v>
      </c>
      <c r="B69" s="7" t="s">
        <v>168</v>
      </c>
      <c r="C69" s="7" t="str">
        <f t="shared" si="24"/>
        <v>Capital a Integralizar</v>
      </c>
      <c r="E69" s="7" t="s">
        <v>54</v>
      </c>
      <c r="F69" s="7" t="s">
        <v>174</v>
      </c>
      <c r="G69" s="7" t="str">
        <f t="shared" si="22"/>
        <v>Lucro e prejuizos acumulados</v>
      </c>
      <c r="M69" s="34" t="s">
        <v>68</v>
      </c>
      <c r="N69" s="34" t="s">
        <v>184</v>
      </c>
      <c r="O69" s="34" t="str">
        <f t="shared" si="27"/>
        <v>Deduções da Receita Bruta</v>
      </c>
      <c r="Q69" s="38" t="s">
        <v>366</v>
      </c>
      <c r="R69" s="38" t="s">
        <v>341</v>
      </c>
      <c r="S69" s="38" t="str">
        <f t="shared" si="28"/>
        <v>Receita de Passageiros</v>
      </c>
      <c r="Y69" s="3" t="s">
        <v>57</v>
      </c>
      <c r="Z69" s="32" t="s">
        <v>177</v>
      </c>
      <c r="AA69" s="32" t="str">
        <f t="shared" si="23"/>
        <v>Participações de Acionistas Não Controladores</v>
      </c>
      <c r="AC69" s="52" t="s">
        <v>574</v>
      </c>
      <c r="AD69" s="52" t="s">
        <v>504</v>
      </c>
      <c r="AE69" s="52" t="str">
        <f t="shared" si="25"/>
        <v>CDI + 4,16%</v>
      </c>
    </row>
    <row r="70" spans="1:31" x14ac:dyDescent="0.35">
      <c r="A70" s="7" t="s">
        <v>49</v>
      </c>
      <c r="B70" s="7" t="s">
        <v>169</v>
      </c>
      <c r="C70" s="7" t="str">
        <f t="shared" si="24"/>
        <v>Reservas de Capital</v>
      </c>
      <c r="E70" s="7" t="s">
        <v>55</v>
      </c>
      <c r="F70" s="7" t="s">
        <v>175</v>
      </c>
      <c r="G70" s="7" t="str">
        <f t="shared" si="22"/>
        <v>Adiantamentos para futuro aumento de capital  - AFAC</v>
      </c>
      <c r="M70" s="58" t="s">
        <v>67</v>
      </c>
      <c r="N70" s="58" t="s">
        <v>185</v>
      </c>
      <c r="O70" s="58" t="str">
        <f t="shared" si="27"/>
        <v>Receita Operacional Líquida</v>
      </c>
      <c r="Q70" s="64" t="s">
        <v>367</v>
      </c>
      <c r="R70" s="64" t="s">
        <v>342</v>
      </c>
      <c r="S70" s="64" t="str">
        <f t="shared" si="28"/>
        <v>Embarque Doméstico</v>
      </c>
      <c r="Y70" s="74" t="s">
        <v>585</v>
      </c>
      <c r="Z70" s="75" t="s">
        <v>586</v>
      </c>
      <c r="AA70" s="75" t="str">
        <f t="shared" ref="AA70" si="29">IF($AG$1=1,Z70,Y70)</f>
        <v>Passivos de Operações Descontinuadas</v>
      </c>
      <c r="AC70" s="52" t="s">
        <v>575</v>
      </c>
      <c r="AD70" s="52" t="s">
        <v>505</v>
      </c>
      <c r="AE70" s="52" t="str">
        <f t="shared" si="25"/>
        <v>IPCA + 6,0% a.a.</v>
      </c>
    </row>
    <row r="71" spans="1:31" x14ac:dyDescent="0.35">
      <c r="A71" s="7" t="s">
        <v>50</v>
      </c>
      <c r="B71" s="7" t="s">
        <v>170</v>
      </c>
      <c r="C71" s="7" t="str">
        <f t="shared" si="24"/>
        <v>Reserva de reavaliação, liquida</v>
      </c>
      <c r="E71" s="7" t="s">
        <v>56</v>
      </c>
      <c r="F71" s="7" t="s">
        <v>176</v>
      </c>
      <c r="G71" s="7" t="str">
        <f t="shared" si="22"/>
        <v>Reservas Legal</v>
      </c>
      <c r="I71" s="21" t="s">
        <v>61</v>
      </c>
      <c r="J71" s="29" t="s">
        <v>179</v>
      </c>
      <c r="K71" s="29" t="str">
        <f t="shared" ref="K71:K104" si="30">IF($AG$1=1,J71,I71)</f>
        <v>DRE</v>
      </c>
      <c r="M71" s="58" t="s">
        <v>78</v>
      </c>
      <c r="N71" s="58" t="s">
        <v>186</v>
      </c>
      <c r="O71" s="58" t="str">
        <f t="shared" si="27"/>
        <v>Custos Operacionais</v>
      </c>
      <c r="Q71" s="39" t="s">
        <v>355</v>
      </c>
      <c r="R71" s="39" t="s">
        <v>343</v>
      </c>
      <c r="S71" s="39" t="str">
        <f t="shared" si="28"/>
        <v>Embarque Internacional</v>
      </c>
      <c r="AC71" s="52" t="s">
        <v>576</v>
      </c>
      <c r="AD71" s="52" t="s">
        <v>526</v>
      </c>
      <c r="AE71" s="52" t="str">
        <f t="shared" si="25"/>
        <v>TJLP + 2,1% a.a.</v>
      </c>
    </row>
    <row r="72" spans="1:31" x14ac:dyDescent="0.35">
      <c r="A72" s="7" t="s">
        <v>51</v>
      </c>
      <c r="B72" s="7" t="s">
        <v>171</v>
      </c>
      <c r="C72" s="7" t="str">
        <f t="shared" si="24"/>
        <v>Ajuste de avaliação Patrimonial, líquida</v>
      </c>
      <c r="E72" s="9" t="s">
        <v>57</v>
      </c>
      <c r="F72" s="9" t="s">
        <v>177</v>
      </c>
      <c r="G72" s="9" t="str">
        <f t="shared" si="22"/>
        <v>Participações de Acionistas Não Controladores</v>
      </c>
      <c r="I72" s="19" t="s">
        <v>63</v>
      </c>
      <c r="J72" s="36" t="s">
        <v>180</v>
      </c>
      <c r="K72" s="36" t="str">
        <f t="shared" si="30"/>
        <v>Receita Bruta</v>
      </c>
      <c r="M72" s="34" t="s">
        <v>340</v>
      </c>
      <c r="N72" s="34" t="s">
        <v>335</v>
      </c>
      <c r="O72" s="34" t="str">
        <f t="shared" si="27"/>
        <v>Operação de Cabotagem</v>
      </c>
      <c r="Q72" s="39" t="s">
        <v>376</v>
      </c>
      <c r="R72" s="39" t="s">
        <v>344</v>
      </c>
      <c r="S72" s="39" t="str">
        <f t="shared" si="28"/>
        <v>Conexão</v>
      </c>
      <c r="AC72" s="52" t="s">
        <v>577</v>
      </c>
      <c r="AD72" s="52" t="s">
        <v>508</v>
      </c>
      <c r="AE72" s="52" t="str">
        <f t="shared" si="25"/>
        <v>TJLP + 2,34%</v>
      </c>
    </row>
    <row r="73" spans="1:31" x14ac:dyDescent="0.35">
      <c r="A73" s="7" t="s">
        <v>52</v>
      </c>
      <c r="B73" s="7" t="s">
        <v>387</v>
      </c>
      <c r="C73" s="7" t="str">
        <f t="shared" si="24"/>
        <v>Outros Resultados Abrangentes</v>
      </c>
      <c r="I73" s="37" t="s">
        <v>326</v>
      </c>
      <c r="J73" s="37" t="s">
        <v>326</v>
      </c>
      <c r="K73" s="37" t="str">
        <f t="shared" si="30"/>
        <v>Portonave</v>
      </c>
      <c r="M73" s="34" t="s">
        <v>71</v>
      </c>
      <c r="N73" s="34" t="s">
        <v>189</v>
      </c>
      <c r="O73" s="34" t="str">
        <f t="shared" si="27"/>
        <v>Custos com Pessoal</v>
      </c>
      <c r="Q73" s="38" t="s">
        <v>630</v>
      </c>
      <c r="R73" s="38" t="s">
        <v>629</v>
      </c>
      <c r="S73" s="38" t="str">
        <f t="shared" si="28"/>
        <v>Receita de Pousos e Decolagens</v>
      </c>
      <c r="Y73" s="21" t="s">
        <v>61</v>
      </c>
      <c r="Z73" s="29" t="s">
        <v>179</v>
      </c>
      <c r="AA73" s="29" t="str">
        <f t="shared" ref="AA73:AA110" si="31">IF($AG$1=1,Z73,Y73)</f>
        <v>DRE</v>
      </c>
      <c r="AC73" s="52" t="s">
        <v>578</v>
      </c>
      <c r="AD73" s="52" t="s">
        <v>509</v>
      </c>
      <c r="AE73" s="52" t="str">
        <f t="shared" si="25"/>
        <v>IPCA + 7,89% a.a.</v>
      </c>
    </row>
    <row r="74" spans="1:31" x14ac:dyDescent="0.35">
      <c r="A74" s="7" t="s">
        <v>53</v>
      </c>
      <c r="B74" s="7" t="s">
        <v>173</v>
      </c>
      <c r="C74" s="7" t="str">
        <f t="shared" si="24"/>
        <v>Reservas de Lucros</v>
      </c>
      <c r="I74" s="72" t="s">
        <v>530</v>
      </c>
      <c r="J74" s="72" t="s">
        <v>532</v>
      </c>
      <c r="K74" s="72" t="str">
        <f t="shared" si="30"/>
        <v>Movimentação de TEUs</v>
      </c>
      <c r="M74" s="34" t="s">
        <v>72</v>
      </c>
      <c r="N74" s="34" t="s">
        <v>190</v>
      </c>
      <c r="O74" s="34" t="str">
        <f t="shared" si="27"/>
        <v>Depreciação e Amortização</v>
      </c>
      <c r="Q74" s="34" t="s">
        <v>368</v>
      </c>
      <c r="R74" s="34" t="s">
        <v>345</v>
      </c>
      <c r="S74" s="34" t="str">
        <f t="shared" si="28"/>
        <v>Receita de Carga</v>
      </c>
      <c r="Y74" s="19" t="s">
        <v>63</v>
      </c>
      <c r="Z74" s="36" t="s">
        <v>180</v>
      </c>
      <c r="AA74" s="36" t="str">
        <f t="shared" si="31"/>
        <v>Receita Bruta</v>
      </c>
      <c r="AC74" s="52" t="s">
        <v>579</v>
      </c>
      <c r="AD74" s="52" t="s">
        <v>510</v>
      </c>
      <c r="AE74" s="52" t="str">
        <f t="shared" si="25"/>
        <v>TJLP + 1,81% a.a.</v>
      </c>
    </row>
    <row r="75" spans="1:31" x14ac:dyDescent="0.35">
      <c r="A75" s="7" t="s">
        <v>54</v>
      </c>
      <c r="B75" s="7" t="s">
        <v>174</v>
      </c>
      <c r="C75" s="7" t="str">
        <f t="shared" si="24"/>
        <v>Lucro e prejuizos acumulados</v>
      </c>
      <c r="E75" s="21" t="s">
        <v>61</v>
      </c>
      <c r="F75" s="21" t="s">
        <v>179</v>
      </c>
      <c r="G75" s="21" t="str">
        <f t="shared" ref="G75:G113" si="32">IF($AG$1=1,F75,E75)</f>
        <v>DRE</v>
      </c>
      <c r="I75" s="72" t="s">
        <v>531</v>
      </c>
      <c r="J75" s="72" t="s">
        <v>533</v>
      </c>
      <c r="K75" s="72" t="str">
        <f t="shared" si="30"/>
        <v>Armazenagem e Outros Serviços Portuários</v>
      </c>
      <c r="M75" s="58" t="s">
        <v>74</v>
      </c>
      <c r="N75" s="58" t="s">
        <v>191</v>
      </c>
      <c r="O75" s="58" t="str">
        <f t="shared" si="27"/>
        <v>Despesas Operacionais</v>
      </c>
      <c r="Q75" s="34" t="s">
        <v>369</v>
      </c>
      <c r="R75" s="34" t="s">
        <v>346</v>
      </c>
      <c r="S75" s="34" t="str">
        <f t="shared" si="28"/>
        <v>Receita Comercial</v>
      </c>
      <c r="Y75" s="34" t="s">
        <v>64</v>
      </c>
      <c r="Z75" s="34" t="s">
        <v>388</v>
      </c>
      <c r="AA75" s="34" t="str">
        <f t="shared" si="31"/>
        <v>Arrecadação de pedágio</v>
      </c>
      <c r="AC75" s="52" t="s">
        <v>580</v>
      </c>
      <c r="AD75" s="52" t="s">
        <v>512</v>
      </c>
      <c r="AE75" s="52" t="str">
        <f t="shared" si="25"/>
        <v>TJLP + 2,16% a.a.</v>
      </c>
    </row>
    <row r="76" spans="1:31" x14ac:dyDescent="0.35">
      <c r="A76" s="7" t="s">
        <v>55</v>
      </c>
      <c r="B76" s="7" t="s">
        <v>175</v>
      </c>
      <c r="C76" s="7" t="str">
        <f t="shared" si="24"/>
        <v>Adiantamentos para futuro aumento de capital  - AFAC</v>
      </c>
      <c r="E76" s="19" t="s">
        <v>63</v>
      </c>
      <c r="F76" s="19" t="s">
        <v>180</v>
      </c>
      <c r="G76" s="19" t="str">
        <f t="shared" si="32"/>
        <v>Receita Bruta</v>
      </c>
      <c r="I76" s="37" t="s">
        <v>327</v>
      </c>
      <c r="J76" s="37" t="s">
        <v>327</v>
      </c>
      <c r="K76" s="37" t="str">
        <f t="shared" si="30"/>
        <v>Iceport</v>
      </c>
      <c r="M76" s="34" t="s">
        <v>75</v>
      </c>
      <c r="N76" s="34" t="s">
        <v>192</v>
      </c>
      <c r="O76" s="34" t="str">
        <f t="shared" si="27"/>
        <v>Gerais e Administrativas</v>
      </c>
      <c r="Q76" s="34" t="s">
        <v>65</v>
      </c>
      <c r="R76" s="34" t="s">
        <v>182</v>
      </c>
      <c r="S76" s="34" t="str">
        <f t="shared" si="28"/>
        <v>Receita de Construção</v>
      </c>
      <c r="Y76" s="34" t="s">
        <v>65</v>
      </c>
      <c r="Z76" s="34" t="s">
        <v>182</v>
      </c>
      <c r="AA76" s="34" t="str">
        <f t="shared" si="31"/>
        <v>Receita de Construção</v>
      </c>
      <c r="AC76" s="52" t="s">
        <v>581</v>
      </c>
      <c r="AD76" s="52" t="s">
        <v>528</v>
      </c>
      <c r="AE76" s="52" t="str">
        <f t="shared" si="25"/>
        <v>3,5% a 6,5% a.a.</v>
      </c>
    </row>
    <row r="77" spans="1:31" x14ac:dyDescent="0.35">
      <c r="A77" s="7" t="s">
        <v>56</v>
      </c>
      <c r="B77" s="7" t="s">
        <v>176</v>
      </c>
      <c r="C77" s="7" t="str">
        <f t="shared" ref="C77:C78" si="33">IF($AG$1=1,B77,A77)</f>
        <v>Reservas Legal</v>
      </c>
      <c r="E77" s="17" t="s">
        <v>312</v>
      </c>
      <c r="F77" s="17" t="s">
        <v>312</v>
      </c>
      <c r="G77" s="17" t="str">
        <f t="shared" si="32"/>
        <v>Rio Verde</v>
      </c>
      <c r="I77" s="37" t="s">
        <v>314</v>
      </c>
      <c r="J77" s="37" t="s">
        <v>319</v>
      </c>
      <c r="K77" s="37" t="str">
        <f t="shared" si="30"/>
        <v>Outros</v>
      </c>
      <c r="M77" s="34" t="s">
        <v>72</v>
      </c>
      <c r="N77" s="34" t="s">
        <v>190</v>
      </c>
      <c r="O77" s="34" t="str">
        <f t="shared" si="27"/>
        <v>Depreciação e Amortização</v>
      </c>
      <c r="Q77" s="30" t="s">
        <v>68</v>
      </c>
      <c r="R77" s="30" t="s">
        <v>184</v>
      </c>
      <c r="S77" s="30" t="str">
        <f t="shared" si="28"/>
        <v>Deduções da Receita Bruta</v>
      </c>
      <c r="Y77" s="34" t="s">
        <v>412</v>
      </c>
      <c r="Z77" s="34" t="s">
        <v>389</v>
      </c>
      <c r="AA77" s="34" t="str">
        <f t="shared" si="31"/>
        <v>Operação Portuária (carga de terceiros)</v>
      </c>
      <c r="AC77" s="73" t="s">
        <v>582</v>
      </c>
      <c r="AD77" s="73" t="s">
        <v>514</v>
      </c>
      <c r="AE77" s="73" t="str">
        <f t="shared" si="25"/>
        <v>Diversos</v>
      </c>
    </row>
    <row r="78" spans="1:31" x14ac:dyDescent="0.35">
      <c r="A78" s="9" t="s">
        <v>57</v>
      </c>
      <c r="B78" s="9" t="s">
        <v>177</v>
      </c>
      <c r="C78" s="9" t="str">
        <f t="shared" si="33"/>
        <v>Participações de Acionistas Não Controladores</v>
      </c>
      <c r="E78" s="17" t="s">
        <v>313</v>
      </c>
      <c r="F78" s="17" t="s">
        <v>313</v>
      </c>
      <c r="G78" s="17" t="str">
        <f t="shared" si="32"/>
        <v>Rio Canoas</v>
      </c>
      <c r="I78" s="15" t="s">
        <v>68</v>
      </c>
      <c r="J78" s="41" t="s">
        <v>184</v>
      </c>
      <c r="K78" s="41" t="str">
        <f t="shared" si="30"/>
        <v>Deduções da Receita Bruta</v>
      </c>
      <c r="M78" s="34" t="s">
        <v>77</v>
      </c>
      <c r="N78" s="34" t="s">
        <v>323</v>
      </c>
      <c r="O78" s="34" t="str">
        <f t="shared" si="27"/>
        <v>Outras Receitas (Despesas) Operacionais</v>
      </c>
      <c r="Q78" s="32" t="s">
        <v>67</v>
      </c>
      <c r="R78" s="32" t="s">
        <v>185</v>
      </c>
      <c r="S78" s="32" t="str">
        <f t="shared" si="28"/>
        <v>Receita Operacional Líquida</v>
      </c>
      <c r="Y78" s="34" t="s">
        <v>413</v>
      </c>
      <c r="Z78" s="34" t="s">
        <v>390</v>
      </c>
      <c r="AA78" s="34" t="str">
        <f t="shared" si="31"/>
        <v>Operação Portuária (carga Própria)</v>
      </c>
    </row>
    <row r="79" spans="1:31" x14ac:dyDescent="0.35">
      <c r="E79" s="17" t="s">
        <v>626</v>
      </c>
      <c r="F79" s="17" t="s">
        <v>626</v>
      </c>
      <c r="G79" s="17" t="str">
        <f t="shared" ref="G79" si="34">IF($AG$1=1,F79,E79)</f>
        <v>Tijoá</v>
      </c>
      <c r="I79" s="39" t="s">
        <v>326</v>
      </c>
      <c r="J79" s="39" t="s">
        <v>326</v>
      </c>
      <c r="K79" s="39" t="str">
        <f t="shared" si="30"/>
        <v>Portonave</v>
      </c>
      <c r="M79" s="36" t="s">
        <v>81</v>
      </c>
      <c r="N79" s="36" t="s">
        <v>193</v>
      </c>
      <c r="O79" s="36" t="str">
        <f t="shared" si="27"/>
        <v>EBIT - Lucro Operacional</v>
      </c>
      <c r="Q79" s="41" t="s">
        <v>78</v>
      </c>
      <c r="R79" s="41" t="s">
        <v>186</v>
      </c>
      <c r="S79" s="41" t="str">
        <f t="shared" si="28"/>
        <v>Custos Operacionais</v>
      </c>
      <c r="Y79" s="34" t="s">
        <v>414</v>
      </c>
      <c r="Z79" s="34" t="s">
        <v>391</v>
      </c>
      <c r="AA79" s="34" t="str">
        <f t="shared" si="31"/>
        <v>Geração e Venda de energia</v>
      </c>
    </row>
    <row r="80" spans="1:31" x14ac:dyDescent="0.35">
      <c r="E80" s="17" t="s">
        <v>314</v>
      </c>
      <c r="F80" s="17" t="s">
        <v>319</v>
      </c>
      <c r="G80" s="17" t="str">
        <f t="shared" si="32"/>
        <v>Outros</v>
      </c>
      <c r="I80" s="39" t="s">
        <v>327</v>
      </c>
      <c r="J80" s="39" t="s">
        <v>327</v>
      </c>
      <c r="K80" s="39" t="str">
        <f t="shared" si="30"/>
        <v>Iceport</v>
      </c>
      <c r="M80" s="42" t="s">
        <v>79</v>
      </c>
      <c r="N80" s="42" t="s">
        <v>194</v>
      </c>
      <c r="O80" s="42" t="str">
        <f t="shared" si="27"/>
        <v>Resultado Financeiro</v>
      </c>
      <c r="Q80" s="34" t="s">
        <v>370</v>
      </c>
      <c r="R80" s="34" t="s">
        <v>349</v>
      </c>
      <c r="S80" s="34" t="str">
        <f t="shared" si="28"/>
        <v>Custo de Construção</v>
      </c>
      <c r="Y80" s="34" t="s">
        <v>415</v>
      </c>
      <c r="Z80" s="34" t="s">
        <v>392</v>
      </c>
      <c r="AA80" s="34" t="str">
        <f t="shared" si="31"/>
        <v>Operação de cabotagem</v>
      </c>
    </row>
    <row r="81" spans="1:27" x14ac:dyDescent="0.35">
      <c r="A81" s="21" t="s">
        <v>61</v>
      </c>
      <c r="B81" s="21" t="s">
        <v>179</v>
      </c>
      <c r="C81" s="21" t="str">
        <f t="shared" ref="C81:C126" si="35">IF($AG$1=1,B81,A81)</f>
        <v>DRE</v>
      </c>
      <c r="E81" s="17" t="s">
        <v>315</v>
      </c>
      <c r="F81" s="17" t="s">
        <v>320</v>
      </c>
      <c r="G81" s="17" t="str">
        <f t="shared" si="32"/>
        <v>Eliminações e Ajustes</v>
      </c>
      <c r="I81" s="40" t="s">
        <v>314</v>
      </c>
      <c r="J81" s="40" t="s">
        <v>319</v>
      </c>
      <c r="K81" s="40" t="str">
        <f t="shared" si="30"/>
        <v>Outros</v>
      </c>
      <c r="M81" s="42" t="s">
        <v>80</v>
      </c>
      <c r="N81" s="42" t="s">
        <v>195</v>
      </c>
      <c r="O81" s="42" t="str">
        <f t="shared" si="27"/>
        <v>Imposto sobre o Lucro</v>
      </c>
      <c r="Q81" s="34" t="s">
        <v>372</v>
      </c>
      <c r="R81" s="34" t="s">
        <v>350</v>
      </c>
      <c r="S81" s="34" t="str">
        <f t="shared" si="28"/>
        <v>Operação Aeroportuária</v>
      </c>
      <c r="Y81" s="34" t="s">
        <v>371</v>
      </c>
      <c r="Z81" s="34" t="s">
        <v>350</v>
      </c>
      <c r="AA81" s="34" t="str">
        <f t="shared" si="31"/>
        <v>Operação Aeroportuária</v>
      </c>
    </row>
    <row r="82" spans="1:27" x14ac:dyDescent="0.35">
      <c r="A82" s="19" t="s">
        <v>63</v>
      </c>
      <c r="B82" s="19" t="s">
        <v>180</v>
      </c>
      <c r="C82" s="19" t="str">
        <f t="shared" si="35"/>
        <v>Receita Bruta</v>
      </c>
      <c r="E82" s="15" t="s">
        <v>68</v>
      </c>
      <c r="F82" s="15" t="s">
        <v>184</v>
      </c>
      <c r="G82" s="15" t="str">
        <f t="shared" si="32"/>
        <v>Deduções da Receita Bruta</v>
      </c>
      <c r="I82" s="15" t="s">
        <v>67</v>
      </c>
      <c r="J82" s="41" t="s">
        <v>185</v>
      </c>
      <c r="K82" s="41" t="str">
        <f t="shared" si="30"/>
        <v>Receita Operacional Líquida</v>
      </c>
      <c r="M82" s="46" t="s">
        <v>83</v>
      </c>
      <c r="N82" s="46" t="s">
        <v>196</v>
      </c>
      <c r="O82" s="46" t="str">
        <f t="shared" si="27"/>
        <v>Corrente</v>
      </c>
      <c r="Q82" s="34" t="s">
        <v>71</v>
      </c>
      <c r="R82" s="34" t="s">
        <v>351</v>
      </c>
      <c r="S82" s="34" t="str">
        <f t="shared" si="28"/>
        <v>Custo com Pessoal</v>
      </c>
      <c r="Y82" s="34" t="s">
        <v>610</v>
      </c>
      <c r="Z82" s="34" t="s">
        <v>609</v>
      </c>
      <c r="AA82" s="34" t="str">
        <f t="shared" si="31"/>
        <v>Margem de Construção</v>
      </c>
    </row>
    <row r="83" spans="1:27" x14ac:dyDescent="0.35">
      <c r="A83" s="17" t="s">
        <v>15</v>
      </c>
      <c r="B83" s="17" t="s">
        <v>15</v>
      </c>
      <c r="C83" s="17" t="str">
        <f t="shared" si="35"/>
        <v>Concepa</v>
      </c>
      <c r="E83" s="12" t="s">
        <v>312</v>
      </c>
      <c r="F83" s="12" t="s">
        <v>312</v>
      </c>
      <c r="G83" s="12" t="str">
        <f t="shared" si="32"/>
        <v>Rio Verde</v>
      </c>
      <c r="I83" s="39" t="s">
        <v>326</v>
      </c>
      <c r="J83" s="39" t="s">
        <v>326</v>
      </c>
      <c r="K83" s="39" t="str">
        <f t="shared" si="30"/>
        <v>Portonave</v>
      </c>
      <c r="M83" s="46" t="s">
        <v>84</v>
      </c>
      <c r="N83" s="46" t="s">
        <v>197</v>
      </c>
      <c r="O83" s="46" t="str">
        <f t="shared" si="27"/>
        <v>Diferido</v>
      </c>
      <c r="Q83" s="34" t="s">
        <v>73</v>
      </c>
      <c r="R83" s="34" t="s">
        <v>160</v>
      </c>
      <c r="S83" s="34" t="str">
        <f t="shared" si="28"/>
        <v>Obrigações da Concessão</v>
      </c>
      <c r="Y83" s="34" t="s">
        <v>416</v>
      </c>
      <c r="Z83" s="34" t="s">
        <v>183</v>
      </c>
      <c r="AA83" s="34" t="str">
        <f t="shared" si="31"/>
        <v>Outras Receitas</v>
      </c>
    </row>
    <row r="84" spans="1:27" x14ac:dyDescent="0.35">
      <c r="A84" s="17" t="s">
        <v>16</v>
      </c>
      <c r="B84" s="17" t="s">
        <v>16</v>
      </c>
      <c r="C84" s="17" t="str">
        <f t="shared" si="35"/>
        <v>Concer</v>
      </c>
      <c r="E84" s="12" t="s">
        <v>313</v>
      </c>
      <c r="F84" s="12" t="s">
        <v>313</v>
      </c>
      <c r="G84" s="12" t="str">
        <f t="shared" si="32"/>
        <v>Rio Canoas</v>
      </c>
      <c r="I84" s="39" t="s">
        <v>327</v>
      </c>
      <c r="J84" s="39" t="s">
        <v>327</v>
      </c>
      <c r="K84" s="39" t="str">
        <f t="shared" si="30"/>
        <v>Iceport</v>
      </c>
      <c r="M84" s="42" t="s">
        <v>57</v>
      </c>
      <c r="N84" s="42" t="s">
        <v>336</v>
      </c>
      <c r="O84" s="42" t="str">
        <f t="shared" si="27"/>
        <v>Participação de Acionistas Minoritários</v>
      </c>
      <c r="Q84" s="50" t="s">
        <v>72</v>
      </c>
      <c r="R84" s="50" t="s">
        <v>190</v>
      </c>
      <c r="S84" s="50" t="str">
        <f t="shared" si="28"/>
        <v>Depreciação e Amortização</v>
      </c>
      <c r="Y84" s="58" t="s">
        <v>68</v>
      </c>
      <c r="Z84" s="58" t="s">
        <v>184</v>
      </c>
      <c r="AA84" s="58" t="str">
        <f t="shared" si="31"/>
        <v>Deduções da Receita Bruta</v>
      </c>
    </row>
    <row r="85" spans="1:27" x14ac:dyDescent="0.35">
      <c r="A85" s="17" t="s">
        <v>17</v>
      </c>
      <c r="B85" s="17" t="s">
        <v>17</v>
      </c>
      <c r="C85" s="17" t="str">
        <f t="shared" si="35"/>
        <v>Econorte</v>
      </c>
      <c r="E85" s="12" t="s">
        <v>626</v>
      </c>
      <c r="F85" s="12" t="s">
        <v>626</v>
      </c>
      <c r="G85" s="12" t="str">
        <f t="shared" ref="G85" si="36">IF($AG$1=1,F85,E85)</f>
        <v>Tijoá</v>
      </c>
      <c r="I85" s="40" t="s">
        <v>314</v>
      </c>
      <c r="J85" s="40" t="s">
        <v>319</v>
      </c>
      <c r="K85" s="40" t="str">
        <f t="shared" si="30"/>
        <v>Outros</v>
      </c>
      <c r="M85" s="43" t="s">
        <v>82</v>
      </c>
      <c r="N85" s="43" t="s">
        <v>198</v>
      </c>
      <c r="O85" s="43" t="str">
        <f t="shared" si="27"/>
        <v>Lucro Líquido</v>
      </c>
      <c r="Q85" s="41" t="s">
        <v>74</v>
      </c>
      <c r="R85" s="41" t="s">
        <v>191</v>
      </c>
      <c r="S85" s="41" t="str">
        <f t="shared" si="28"/>
        <v>Despesas Operacionais</v>
      </c>
      <c r="Y85" s="41" t="s">
        <v>67</v>
      </c>
      <c r="Z85" s="41" t="s">
        <v>185</v>
      </c>
      <c r="AA85" s="41" t="str">
        <f t="shared" si="31"/>
        <v>Receita Operacional Líquida</v>
      </c>
    </row>
    <row r="86" spans="1:27" x14ac:dyDescent="0.35">
      <c r="A86" s="17" t="s">
        <v>600</v>
      </c>
      <c r="B86" s="17" t="s">
        <v>600</v>
      </c>
      <c r="C86" s="17" t="str">
        <f t="shared" si="35"/>
        <v>Concebra</v>
      </c>
      <c r="E86" s="12" t="s">
        <v>314</v>
      </c>
      <c r="F86" s="12" t="s">
        <v>319</v>
      </c>
      <c r="G86" s="12" t="str">
        <f t="shared" si="32"/>
        <v>Outros</v>
      </c>
      <c r="I86" s="15" t="s">
        <v>78</v>
      </c>
      <c r="J86" s="41" t="s">
        <v>186</v>
      </c>
      <c r="K86" s="41" t="str">
        <f t="shared" si="30"/>
        <v>Custos Operacionais</v>
      </c>
      <c r="M86" s="59" t="s">
        <v>85</v>
      </c>
      <c r="N86" s="59" t="s">
        <v>199</v>
      </c>
      <c r="O86" s="59" t="str">
        <f t="shared" si="27"/>
        <v>EBITDA Ajustado</v>
      </c>
      <c r="Q86" s="34" t="s">
        <v>75</v>
      </c>
      <c r="R86" s="34" t="s">
        <v>192</v>
      </c>
      <c r="S86" s="34" t="str">
        <f t="shared" si="28"/>
        <v>Gerais e Administrativas</v>
      </c>
      <c r="Y86" s="41" t="s">
        <v>417</v>
      </c>
      <c r="Z86" s="41" t="s">
        <v>186</v>
      </c>
      <c r="AA86" s="41" t="str">
        <f t="shared" si="31"/>
        <v>Custos Operacionais</v>
      </c>
    </row>
    <row r="87" spans="1:27" x14ac:dyDescent="0.35">
      <c r="A87" s="17" t="s">
        <v>621</v>
      </c>
      <c r="B87" s="17" t="s">
        <v>621</v>
      </c>
      <c r="C87" s="17" t="str">
        <f t="shared" si="35"/>
        <v>Transbrasiliana</v>
      </c>
      <c r="E87" s="15" t="s">
        <v>67</v>
      </c>
      <c r="F87" s="15" t="s">
        <v>185</v>
      </c>
      <c r="G87" s="15" t="str">
        <f t="shared" si="32"/>
        <v>Receita Operacional Líquida</v>
      </c>
      <c r="I87" s="39" t="s">
        <v>326</v>
      </c>
      <c r="J87" s="39" t="s">
        <v>326</v>
      </c>
      <c r="K87" s="39" t="str">
        <f t="shared" si="30"/>
        <v>Portonave</v>
      </c>
      <c r="Q87" s="34" t="s">
        <v>72</v>
      </c>
      <c r="R87" s="34" t="s">
        <v>190</v>
      </c>
      <c r="S87" s="34" t="str">
        <f t="shared" si="28"/>
        <v>Depreciação e Amortização</v>
      </c>
      <c r="Y87" s="34" t="s">
        <v>418</v>
      </c>
      <c r="Z87" s="34" t="s">
        <v>187</v>
      </c>
      <c r="AA87" s="34" t="str">
        <f t="shared" si="31"/>
        <v>Operação e Manutenção das Rodovias</v>
      </c>
    </row>
    <row r="88" spans="1:27" x14ac:dyDescent="0.35">
      <c r="A88" s="18" t="s">
        <v>64</v>
      </c>
      <c r="B88" s="18" t="s">
        <v>181</v>
      </c>
      <c r="C88" s="18" t="str">
        <f t="shared" si="35"/>
        <v>Arrecadação de Pedágio</v>
      </c>
      <c r="E88" s="55" t="s">
        <v>312</v>
      </c>
      <c r="F88" s="55" t="s">
        <v>312</v>
      </c>
      <c r="G88" s="55" t="str">
        <f t="shared" si="32"/>
        <v>Rio Verde</v>
      </c>
      <c r="I88" s="39" t="s">
        <v>327</v>
      </c>
      <c r="J88" s="39" t="s">
        <v>327</v>
      </c>
      <c r="K88" s="39" t="str">
        <f t="shared" si="30"/>
        <v>Iceport</v>
      </c>
      <c r="Q88" s="50" t="s">
        <v>77</v>
      </c>
      <c r="R88" s="50" t="s">
        <v>323</v>
      </c>
      <c r="S88" s="50" t="str">
        <f t="shared" si="28"/>
        <v>Outras Receitas (Despesas) Operacionais</v>
      </c>
      <c r="Y88" s="34" t="s">
        <v>70</v>
      </c>
      <c r="Z88" s="34" t="s">
        <v>349</v>
      </c>
      <c r="AA88" s="34" t="str">
        <f t="shared" si="31"/>
        <v>Custo de Construção</v>
      </c>
    </row>
    <row r="89" spans="1:27" x14ac:dyDescent="0.35">
      <c r="A89" s="12" t="s">
        <v>15</v>
      </c>
      <c r="B89" s="12" t="s">
        <v>15</v>
      </c>
      <c r="C89" s="12" t="str">
        <f t="shared" si="35"/>
        <v>Concepa</v>
      </c>
      <c r="E89" s="55" t="s">
        <v>313</v>
      </c>
      <c r="F89" s="55" t="s">
        <v>313</v>
      </c>
      <c r="G89" s="55" t="str">
        <f t="shared" si="32"/>
        <v>Rio Canoas</v>
      </c>
      <c r="I89" s="39" t="s">
        <v>314</v>
      </c>
      <c r="J89" s="39" t="s">
        <v>319</v>
      </c>
      <c r="K89" s="39" t="str">
        <f t="shared" si="30"/>
        <v>Outros</v>
      </c>
      <c r="M89" s="47" t="s">
        <v>90</v>
      </c>
      <c r="N89" s="47" t="s">
        <v>200</v>
      </c>
      <c r="O89" s="47" t="str">
        <f t="shared" ref="O89:O122" si="37">IF($AG$1=1,N89,M89)</f>
        <v>Dados</v>
      </c>
      <c r="Q89" s="61" t="s">
        <v>81</v>
      </c>
      <c r="R89" s="61" t="s">
        <v>193</v>
      </c>
      <c r="S89" s="61" t="str">
        <f t="shared" si="28"/>
        <v>EBIT - Lucro Operacional</v>
      </c>
      <c r="Y89" s="34" t="s">
        <v>332</v>
      </c>
      <c r="Z89" s="34" t="s">
        <v>328</v>
      </c>
      <c r="AA89" s="34" t="str">
        <f t="shared" si="31"/>
        <v>Operação Portuária</v>
      </c>
    </row>
    <row r="90" spans="1:27" x14ac:dyDescent="0.35">
      <c r="A90" s="12" t="s">
        <v>16</v>
      </c>
      <c r="B90" s="12" t="s">
        <v>16</v>
      </c>
      <c r="C90" s="12" t="str">
        <f t="shared" si="35"/>
        <v>Concer</v>
      </c>
      <c r="E90" s="12" t="s">
        <v>626</v>
      </c>
      <c r="F90" s="12" t="s">
        <v>626</v>
      </c>
      <c r="G90" s="12" t="str">
        <f t="shared" si="32"/>
        <v>Tijoá</v>
      </c>
      <c r="I90" s="39" t="s">
        <v>315</v>
      </c>
      <c r="J90" s="39" t="s">
        <v>329</v>
      </c>
      <c r="K90" s="39" t="str">
        <f t="shared" si="30"/>
        <v>Eliminação de Consolidação</v>
      </c>
      <c r="M90" s="43" t="s">
        <v>333</v>
      </c>
      <c r="N90" s="43" t="s">
        <v>333</v>
      </c>
      <c r="O90" s="43" t="str">
        <f t="shared" si="37"/>
        <v>Volumes (TEUs)</v>
      </c>
      <c r="Q90" s="42" t="s">
        <v>79</v>
      </c>
      <c r="R90" s="42" t="s">
        <v>194</v>
      </c>
      <c r="S90" s="42" t="str">
        <f t="shared" si="28"/>
        <v>Resultado Financeiro</v>
      </c>
      <c r="Y90" s="34" t="s">
        <v>340</v>
      </c>
      <c r="Z90" s="34" t="s">
        <v>335</v>
      </c>
      <c r="AA90" s="34" t="str">
        <f t="shared" si="31"/>
        <v>Operação de Cabotagem</v>
      </c>
    </row>
    <row r="91" spans="1:27" x14ac:dyDescent="0.35">
      <c r="A91" s="12" t="s">
        <v>17</v>
      </c>
      <c r="B91" s="12" t="s">
        <v>17</v>
      </c>
      <c r="C91" s="12" t="str">
        <f t="shared" si="35"/>
        <v>Econorte</v>
      </c>
      <c r="E91" s="55" t="s">
        <v>314</v>
      </c>
      <c r="F91" s="55" t="s">
        <v>319</v>
      </c>
      <c r="G91" s="55" t="str">
        <f t="shared" si="32"/>
        <v>Outros</v>
      </c>
      <c r="I91" s="38" t="s">
        <v>332</v>
      </c>
      <c r="J91" s="38" t="s">
        <v>328</v>
      </c>
      <c r="K91" s="38" t="str">
        <f t="shared" si="30"/>
        <v>Operação Portuária</v>
      </c>
      <c r="M91" s="36" t="s">
        <v>120</v>
      </c>
      <c r="N91" s="36" t="s">
        <v>203</v>
      </c>
      <c r="O91" s="36" t="str">
        <f t="shared" si="37"/>
        <v>Participação Societária</v>
      </c>
      <c r="Q91" s="41" t="s">
        <v>80</v>
      </c>
      <c r="R91" s="41" t="s">
        <v>195</v>
      </c>
      <c r="S91" s="41" t="str">
        <f t="shared" si="28"/>
        <v>Imposto sobre o Lucro</v>
      </c>
      <c r="Y91" s="34" t="s">
        <v>419</v>
      </c>
      <c r="Z91" s="34" t="s">
        <v>393</v>
      </c>
      <c r="AA91" s="34" t="str">
        <f t="shared" si="31"/>
        <v>Operação de Energia</v>
      </c>
    </row>
    <row r="92" spans="1:27" x14ac:dyDescent="0.35">
      <c r="A92" s="12" t="s">
        <v>600</v>
      </c>
      <c r="B92" s="12" t="s">
        <v>600</v>
      </c>
      <c r="C92" s="12" t="str">
        <f t="shared" ref="C92" si="38">IF($AG$1=1,B92,A92)</f>
        <v>Concebra</v>
      </c>
      <c r="E92" s="55" t="s">
        <v>315</v>
      </c>
      <c r="F92" s="55" t="s">
        <v>320</v>
      </c>
      <c r="G92" s="55" t="str">
        <f t="shared" si="32"/>
        <v>Eliminações e Ajustes</v>
      </c>
      <c r="I92" s="39" t="s">
        <v>326</v>
      </c>
      <c r="J92" s="39" t="s">
        <v>326</v>
      </c>
      <c r="K92" s="39" t="str">
        <f t="shared" si="30"/>
        <v>Portonave</v>
      </c>
      <c r="M92" s="59" t="s">
        <v>209</v>
      </c>
      <c r="N92" s="59" t="s">
        <v>209</v>
      </c>
      <c r="O92" s="59" t="str">
        <f t="shared" si="37"/>
        <v>Capex</v>
      </c>
      <c r="Q92" s="48" t="s">
        <v>83</v>
      </c>
      <c r="R92" s="48" t="s">
        <v>196</v>
      </c>
      <c r="S92" s="48" t="str">
        <f t="shared" si="28"/>
        <v>Corrente</v>
      </c>
      <c r="Y92" s="34" t="s">
        <v>371</v>
      </c>
      <c r="Z92" s="34" t="s">
        <v>350</v>
      </c>
      <c r="AA92" s="34" t="str">
        <f t="shared" si="31"/>
        <v>Operação Aeroportuária</v>
      </c>
    </row>
    <row r="93" spans="1:27" x14ac:dyDescent="0.35">
      <c r="A93" s="13" t="s">
        <v>621</v>
      </c>
      <c r="B93" s="13" t="s">
        <v>621</v>
      </c>
      <c r="C93" s="13" t="str">
        <f t="shared" ref="C93" si="39">IF($AG$1=1,B93,A93)</f>
        <v>Transbrasiliana</v>
      </c>
      <c r="E93" s="15" t="s">
        <v>78</v>
      </c>
      <c r="F93" s="15" t="s">
        <v>321</v>
      </c>
      <c r="G93" s="15" t="str">
        <f t="shared" si="32"/>
        <v>CPV - Custo dos Produtos Vendidos</v>
      </c>
      <c r="I93" s="39" t="s">
        <v>327</v>
      </c>
      <c r="J93" s="39" t="s">
        <v>327</v>
      </c>
      <c r="K93" s="39" t="str">
        <f t="shared" si="30"/>
        <v>Iceport</v>
      </c>
      <c r="M93" s="43" t="s">
        <v>72</v>
      </c>
      <c r="N93" s="43" t="s">
        <v>190</v>
      </c>
      <c r="O93" s="43" t="str">
        <f t="shared" si="37"/>
        <v>Depreciação e Amortização</v>
      </c>
      <c r="Q93" s="49" t="s">
        <v>84</v>
      </c>
      <c r="R93" s="49" t="s">
        <v>197</v>
      </c>
      <c r="S93" s="49" t="str">
        <f t="shared" si="28"/>
        <v>Diferido</v>
      </c>
      <c r="Y93" s="34" t="s">
        <v>71</v>
      </c>
      <c r="Z93" s="34" t="s">
        <v>351</v>
      </c>
      <c r="AA93" s="34" t="str">
        <f t="shared" si="31"/>
        <v>Custo com Pessoal</v>
      </c>
    </row>
    <row r="94" spans="1:27" x14ac:dyDescent="0.35">
      <c r="A94" s="18" t="s">
        <v>65</v>
      </c>
      <c r="B94" s="18" t="s">
        <v>182</v>
      </c>
      <c r="C94" s="18" t="str">
        <f t="shared" si="35"/>
        <v>Receita de Construção</v>
      </c>
      <c r="E94" s="55" t="s">
        <v>312</v>
      </c>
      <c r="F94" s="55" t="s">
        <v>312</v>
      </c>
      <c r="G94" s="55" t="str">
        <f t="shared" si="32"/>
        <v>Rio Verde</v>
      </c>
      <c r="I94" s="40" t="s">
        <v>314</v>
      </c>
      <c r="J94" s="40" t="s">
        <v>319</v>
      </c>
      <c r="K94" s="40" t="str">
        <f t="shared" si="30"/>
        <v>Outros</v>
      </c>
      <c r="M94" s="48" t="s">
        <v>87</v>
      </c>
      <c r="N94" s="48" t="s">
        <v>87</v>
      </c>
      <c r="O94" s="48" t="str">
        <f t="shared" si="37"/>
        <v>D&amp;A</v>
      </c>
      <c r="Q94" s="43" t="s">
        <v>82</v>
      </c>
      <c r="R94" s="43" t="s">
        <v>198</v>
      </c>
      <c r="S94" s="43" t="str">
        <f t="shared" si="28"/>
        <v>Lucro Líquido</v>
      </c>
      <c r="Y94" s="34" t="s">
        <v>72</v>
      </c>
      <c r="Z94" s="34" t="s">
        <v>190</v>
      </c>
      <c r="AA94" s="34" t="str">
        <f t="shared" si="31"/>
        <v>Depreciação e Amortização</v>
      </c>
    </row>
    <row r="95" spans="1:27" x14ac:dyDescent="0.35">
      <c r="A95" s="12" t="s">
        <v>15</v>
      </c>
      <c r="B95" s="12" t="s">
        <v>15</v>
      </c>
      <c r="C95" s="12" t="str">
        <f t="shared" si="35"/>
        <v>Concepa</v>
      </c>
      <c r="E95" s="55" t="s">
        <v>313</v>
      </c>
      <c r="F95" s="55" t="s">
        <v>313</v>
      </c>
      <c r="G95" s="55" t="str">
        <f t="shared" si="32"/>
        <v>Rio Canoas</v>
      </c>
      <c r="I95" s="18" t="s">
        <v>71</v>
      </c>
      <c r="J95" s="38" t="s">
        <v>189</v>
      </c>
      <c r="K95" s="38" t="str">
        <f t="shared" si="30"/>
        <v>Custos com Pessoal</v>
      </c>
      <c r="M95" s="48" t="s">
        <v>86</v>
      </c>
      <c r="N95" s="48" t="s">
        <v>204</v>
      </c>
      <c r="O95" s="48" t="str">
        <f t="shared" si="37"/>
        <v>Reavaliação</v>
      </c>
      <c r="Q95" s="59" t="s">
        <v>85</v>
      </c>
      <c r="R95" s="59" t="s">
        <v>199</v>
      </c>
      <c r="S95" s="59" t="str">
        <f t="shared" si="28"/>
        <v>EBITDA Ajustado</v>
      </c>
      <c r="Y95" s="34" t="s">
        <v>73</v>
      </c>
      <c r="Z95" s="34" t="s">
        <v>160</v>
      </c>
      <c r="AA95" s="34" t="str">
        <f t="shared" si="31"/>
        <v>Obrigações da Concessão</v>
      </c>
    </row>
    <row r="96" spans="1:27" x14ac:dyDescent="0.35">
      <c r="A96" s="12" t="s">
        <v>16</v>
      </c>
      <c r="B96" s="12" t="s">
        <v>16</v>
      </c>
      <c r="C96" s="12" t="str">
        <f t="shared" si="35"/>
        <v>Concer</v>
      </c>
      <c r="E96" s="12" t="s">
        <v>626</v>
      </c>
      <c r="F96" s="12" t="s">
        <v>626</v>
      </c>
      <c r="G96" s="12" t="str">
        <f t="shared" si="32"/>
        <v>Tijoá</v>
      </c>
      <c r="I96" s="39" t="s">
        <v>326</v>
      </c>
      <c r="J96" s="39" t="s">
        <v>326</v>
      </c>
      <c r="K96" s="39" t="str">
        <f t="shared" si="30"/>
        <v>Portonave</v>
      </c>
      <c r="M96" s="43" t="s">
        <v>79</v>
      </c>
      <c r="N96" s="43" t="s">
        <v>194</v>
      </c>
      <c r="O96" s="43" t="str">
        <f t="shared" si="37"/>
        <v>Resultado Financeiro</v>
      </c>
      <c r="Y96" s="42" t="s">
        <v>74</v>
      </c>
      <c r="Z96" s="42" t="s">
        <v>191</v>
      </c>
      <c r="AA96" s="42" t="str">
        <f t="shared" si="31"/>
        <v>Despesas Operacionais</v>
      </c>
    </row>
    <row r="97" spans="1:27" x14ac:dyDescent="0.35">
      <c r="A97" s="12" t="s">
        <v>17</v>
      </c>
      <c r="B97" s="12" t="s">
        <v>17</v>
      </c>
      <c r="C97" s="12" t="str">
        <f t="shared" si="35"/>
        <v>Econorte</v>
      </c>
      <c r="E97" s="55" t="s">
        <v>314</v>
      </c>
      <c r="F97" s="55" t="s">
        <v>319</v>
      </c>
      <c r="G97" s="55" t="str">
        <f t="shared" si="32"/>
        <v>Outros</v>
      </c>
      <c r="I97" s="39" t="s">
        <v>327</v>
      </c>
      <c r="J97" s="39" t="s">
        <v>327</v>
      </c>
      <c r="K97" s="39" t="str">
        <f t="shared" si="30"/>
        <v>Iceport</v>
      </c>
      <c r="M97" s="34" t="s">
        <v>88</v>
      </c>
      <c r="N97" s="34" t="s">
        <v>205</v>
      </c>
      <c r="O97" s="34" t="str">
        <f t="shared" si="37"/>
        <v>Receitas</v>
      </c>
      <c r="Y97" s="34" t="s">
        <v>75</v>
      </c>
      <c r="Z97" s="34" t="s">
        <v>192</v>
      </c>
      <c r="AA97" s="34" t="str">
        <f t="shared" si="31"/>
        <v>Gerais e Administrativas</v>
      </c>
    </row>
    <row r="98" spans="1:27" x14ac:dyDescent="0.35">
      <c r="A98" s="12" t="s">
        <v>600</v>
      </c>
      <c r="B98" s="12" t="s">
        <v>600</v>
      </c>
      <c r="C98" s="12" t="str">
        <f t="shared" ref="C98" si="40">IF($AG$1=1,B98,A98)</f>
        <v>Concebra</v>
      </c>
      <c r="E98" s="55" t="s">
        <v>315</v>
      </c>
      <c r="F98" s="55" t="s">
        <v>320</v>
      </c>
      <c r="G98" s="55" t="str">
        <f t="shared" si="32"/>
        <v>Eliminações e Ajustes</v>
      </c>
      <c r="I98" s="40" t="s">
        <v>314</v>
      </c>
      <c r="J98" s="40" t="s">
        <v>319</v>
      </c>
      <c r="K98" s="40" t="str">
        <f t="shared" si="30"/>
        <v>Outros</v>
      </c>
      <c r="M98" s="50" t="s">
        <v>89</v>
      </c>
      <c r="N98" s="50" t="s">
        <v>206</v>
      </c>
      <c r="O98" s="50" t="str">
        <f t="shared" si="37"/>
        <v>Despesas</v>
      </c>
      <c r="Q98" s="47" t="s">
        <v>90</v>
      </c>
      <c r="R98" s="47" t="s">
        <v>200</v>
      </c>
      <c r="S98" s="47" t="str">
        <f t="shared" ref="S98:S124" si="41">IF($AG$1=1,R98,Q98)</f>
        <v>Dados</v>
      </c>
      <c r="Y98" s="34" t="s">
        <v>72</v>
      </c>
      <c r="Z98" s="34" t="s">
        <v>190</v>
      </c>
      <c r="AA98" s="34" t="str">
        <f t="shared" si="31"/>
        <v>Depreciação e Amortização</v>
      </c>
    </row>
    <row r="99" spans="1:27" x14ac:dyDescent="0.35">
      <c r="A99" s="13" t="s">
        <v>621</v>
      </c>
      <c r="B99" s="13" t="s">
        <v>621</v>
      </c>
      <c r="C99" s="13" t="str">
        <f t="shared" ref="C99" si="42">IF($AG$1=1,B99,A99)</f>
        <v>Transbrasiliana</v>
      </c>
      <c r="E99" s="18" t="s">
        <v>316</v>
      </c>
      <c r="F99" s="18" t="s">
        <v>322</v>
      </c>
      <c r="G99" s="18" t="str">
        <f t="shared" si="32"/>
        <v>Operação de Geração de Energia</v>
      </c>
      <c r="I99" s="18" t="s">
        <v>72</v>
      </c>
      <c r="J99" s="38" t="s">
        <v>190</v>
      </c>
      <c r="K99" s="38" t="str">
        <f t="shared" si="30"/>
        <v>Depreciação e Amortização</v>
      </c>
      <c r="M99" s="43" t="s">
        <v>97</v>
      </c>
      <c r="N99" s="43" t="s">
        <v>207</v>
      </c>
      <c r="O99" s="43" t="str">
        <f t="shared" si="37"/>
        <v>Despesas Não Recorrentes</v>
      </c>
      <c r="Q99" s="61" t="s">
        <v>373</v>
      </c>
      <c r="R99" s="61" t="s">
        <v>360</v>
      </c>
      <c r="S99" s="61" t="str">
        <f t="shared" si="41"/>
        <v>Unidade Equivalente (WLU)</v>
      </c>
      <c r="Y99" s="34" t="s">
        <v>77</v>
      </c>
      <c r="Z99" s="34" t="s">
        <v>323</v>
      </c>
      <c r="AA99" s="34" t="str">
        <f t="shared" si="31"/>
        <v>Outras Receitas (Despesas) Operacionais</v>
      </c>
    </row>
    <row r="100" spans="1:27" x14ac:dyDescent="0.35">
      <c r="A100" s="7" t="s">
        <v>66</v>
      </c>
      <c r="B100" s="7" t="s">
        <v>183</v>
      </c>
      <c r="C100" s="7" t="str">
        <f t="shared" si="35"/>
        <v>Outras Receitas</v>
      </c>
      <c r="E100" s="55" t="s">
        <v>312</v>
      </c>
      <c r="F100" s="55" t="s">
        <v>312</v>
      </c>
      <c r="G100" s="55" t="str">
        <f t="shared" si="32"/>
        <v>Rio Verde</v>
      </c>
      <c r="I100" s="39" t="s">
        <v>326</v>
      </c>
      <c r="J100" s="39" t="s">
        <v>326</v>
      </c>
      <c r="K100" s="39" t="str">
        <f t="shared" si="30"/>
        <v>Portonave</v>
      </c>
      <c r="M100" s="59" t="s">
        <v>112</v>
      </c>
      <c r="N100" s="59" t="s">
        <v>208</v>
      </c>
      <c r="O100" s="59" t="str">
        <f t="shared" si="37"/>
        <v>Dívida Líquida</v>
      </c>
      <c r="Q100" s="39" t="s">
        <v>381</v>
      </c>
      <c r="R100" s="39" t="s">
        <v>352</v>
      </c>
      <c r="S100" s="39" t="str">
        <f t="shared" si="41"/>
        <v>Aeronaves (unid)</v>
      </c>
      <c r="Y100" s="36" t="s">
        <v>81</v>
      </c>
      <c r="Z100" s="36" t="s">
        <v>193</v>
      </c>
      <c r="AA100" s="36" t="str">
        <f t="shared" si="31"/>
        <v>EBIT - Lucro Operacional</v>
      </c>
    </row>
    <row r="101" spans="1:27" x14ac:dyDescent="0.35">
      <c r="A101" s="12" t="s">
        <v>15</v>
      </c>
      <c r="B101" s="12" t="s">
        <v>15</v>
      </c>
      <c r="C101" s="12" t="str">
        <f t="shared" si="35"/>
        <v>Concepa</v>
      </c>
      <c r="E101" s="55" t="s">
        <v>313</v>
      </c>
      <c r="F101" s="55" t="s">
        <v>313</v>
      </c>
      <c r="G101" s="55" t="str">
        <f t="shared" si="32"/>
        <v>Rio Canoas</v>
      </c>
      <c r="I101" s="39" t="s">
        <v>327</v>
      </c>
      <c r="J101" s="39" t="s">
        <v>327</v>
      </c>
      <c r="K101" s="39" t="str">
        <f t="shared" si="30"/>
        <v>Iceport</v>
      </c>
      <c r="M101" s="16" t="s">
        <v>91</v>
      </c>
      <c r="N101" s="43" t="s">
        <v>210</v>
      </c>
      <c r="O101" s="43" t="str">
        <f t="shared" si="37"/>
        <v>Patrimônio Líquido Ajustado</v>
      </c>
      <c r="Q101" s="64" t="s">
        <v>382</v>
      </c>
      <c r="R101" s="64" t="s">
        <v>353</v>
      </c>
      <c r="S101" s="64" t="str">
        <f t="shared" si="41"/>
        <v>Passageiros (unid)</v>
      </c>
      <c r="Y101" s="42" t="s">
        <v>420</v>
      </c>
      <c r="Z101" s="42" t="s">
        <v>330</v>
      </c>
      <c r="AA101" s="42" t="str">
        <f t="shared" si="31"/>
        <v>Resultado de Equivalência Patrimonial</v>
      </c>
    </row>
    <row r="102" spans="1:27" x14ac:dyDescent="0.35">
      <c r="A102" s="12" t="s">
        <v>16</v>
      </c>
      <c r="B102" s="12" t="s">
        <v>16</v>
      </c>
      <c r="C102" s="12" t="str">
        <f t="shared" si="35"/>
        <v>Concer</v>
      </c>
      <c r="E102" s="12" t="s">
        <v>626</v>
      </c>
      <c r="F102" s="12" t="s">
        <v>626</v>
      </c>
      <c r="G102" s="12" t="str">
        <f t="shared" si="32"/>
        <v>Tijoá</v>
      </c>
      <c r="I102" s="40" t="s">
        <v>314</v>
      </c>
      <c r="J102" s="40" t="s">
        <v>319</v>
      </c>
      <c r="K102" s="40" t="str">
        <f t="shared" si="30"/>
        <v>Outros</v>
      </c>
      <c r="M102" s="7" t="s">
        <v>92</v>
      </c>
      <c r="N102" s="34" t="s">
        <v>211</v>
      </c>
      <c r="O102" s="34" t="str">
        <f t="shared" si="37"/>
        <v>(+) Patrimônio Líquido</v>
      </c>
      <c r="Q102" s="62" t="s">
        <v>367</v>
      </c>
      <c r="R102" s="62" t="s">
        <v>354</v>
      </c>
      <c r="S102" s="62" t="str">
        <f t="shared" si="41"/>
        <v>Doméstico</v>
      </c>
      <c r="Y102" s="42" t="s">
        <v>79</v>
      </c>
      <c r="Z102" s="42" t="s">
        <v>194</v>
      </c>
      <c r="AA102" s="42" t="str">
        <f t="shared" si="31"/>
        <v>Resultado Financeiro</v>
      </c>
    </row>
    <row r="103" spans="1:27" x14ac:dyDescent="0.35">
      <c r="A103" s="12" t="s">
        <v>17</v>
      </c>
      <c r="B103" s="12" t="s">
        <v>17</v>
      </c>
      <c r="C103" s="12" t="str">
        <f t="shared" si="35"/>
        <v>Econorte</v>
      </c>
      <c r="E103" s="55" t="s">
        <v>314</v>
      </c>
      <c r="F103" s="55" t="s">
        <v>319</v>
      </c>
      <c r="G103" s="55" t="str">
        <f t="shared" si="32"/>
        <v>Outros</v>
      </c>
      <c r="I103" s="2" t="s">
        <v>74</v>
      </c>
      <c r="J103" s="42" t="s">
        <v>191</v>
      </c>
      <c r="K103" s="42" t="str">
        <f t="shared" si="30"/>
        <v>Despesas Operacionais</v>
      </c>
      <c r="M103" s="7" t="s">
        <v>93</v>
      </c>
      <c r="N103" s="34" t="s">
        <v>214</v>
      </c>
      <c r="O103" s="34" t="str">
        <f t="shared" si="37"/>
        <v>(-) Reserva de Reavaliação Líquida</v>
      </c>
      <c r="Q103" s="60" t="s">
        <v>374</v>
      </c>
      <c r="R103" s="60" t="s">
        <v>362</v>
      </c>
      <c r="S103" s="60" t="str">
        <f t="shared" si="41"/>
        <v>Embarque</v>
      </c>
      <c r="Y103" s="42" t="s">
        <v>80</v>
      </c>
      <c r="Z103" s="42" t="s">
        <v>195</v>
      </c>
      <c r="AA103" s="42" t="str">
        <f t="shared" si="31"/>
        <v>Imposto sobre o Lucro</v>
      </c>
    </row>
    <row r="104" spans="1:27" x14ac:dyDescent="0.35">
      <c r="A104" s="12" t="s">
        <v>600</v>
      </c>
      <c r="B104" s="12" t="s">
        <v>600</v>
      </c>
      <c r="C104" s="12" t="str">
        <f t="shared" si="35"/>
        <v>Concebra</v>
      </c>
      <c r="E104" s="18" t="s">
        <v>71</v>
      </c>
      <c r="F104" s="18" t="s">
        <v>189</v>
      </c>
      <c r="G104" s="18" t="str">
        <f t="shared" si="32"/>
        <v>Custos com Pessoal</v>
      </c>
      <c r="I104" s="39" t="s">
        <v>326</v>
      </c>
      <c r="J104" s="39" t="s">
        <v>326</v>
      </c>
      <c r="K104" s="39" t="str">
        <f t="shared" si="30"/>
        <v>Portonave</v>
      </c>
      <c r="M104" s="27" t="s">
        <v>94</v>
      </c>
      <c r="N104" s="50" t="s">
        <v>215</v>
      </c>
      <c r="O104" s="50" t="str">
        <f t="shared" si="37"/>
        <v>(-) Ajuste de Avaliação Patrimonial Líquida</v>
      </c>
      <c r="Q104" s="63" t="s">
        <v>375</v>
      </c>
      <c r="R104" s="63" t="s">
        <v>363</v>
      </c>
      <c r="S104" s="63" t="str">
        <f t="shared" si="41"/>
        <v>Desembarque</v>
      </c>
      <c r="Y104" s="46" t="s">
        <v>83</v>
      </c>
      <c r="Z104" s="46" t="s">
        <v>196</v>
      </c>
      <c r="AA104" s="46" t="str">
        <f t="shared" si="31"/>
        <v>Corrente</v>
      </c>
    </row>
    <row r="105" spans="1:27" x14ac:dyDescent="0.35">
      <c r="A105" s="13" t="s">
        <v>621</v>
      </c>
      <c r="B105" s="13" t="s">
        <v>621</v>
      </c>
      <c r="C105" s="13" t="str">
        <f t="shared" ref="C105" si="43">IF($AG$1=1,B105,A105)</f>
        <v>Transbrasiliana</v>
      </c>
      <c r="E105" s="55" t="s">
        <v>312</v>
      </c>
      <c r="F105" s="55" t="s">
        <v>312</v>
      </c>
      <c r="G105" s="55" t="str">
        <f t="shared" si="32"/>
        <v>Rio Verde</v>
      </c>
      <c r="I105" s="39" t="s">
        <v>327</v>
      </c>
      <c r="J105" s="39" t="s">
        <v>327</v>
      </c>
      <c r="K105" s="39" t="str">
        <f t="shared" ref="K105:K136" si="44">IF($AG$1=1,J105,I105)</f>
        <v>Iceport</v>
      </c>
      <c r="M105" s="16" t="s">
        <v>85</v>
      </c>
      <c r="N105" s="43" t="s">
        <v>199</v>
      </c>
      <c r="O105" s="43" t="str">
        <f t="shared" si="37"/>
        <v>EBITDA Ajustado</v>
      </c>
      <c r="Q105" s="62" t="s">
        <v>355</v>
      </c>
      <c r="R105" s="62" t="s">
        <v>355</v>
      </c>
      <c r="S105" s="62" t="str">
        <f t="shared" si="41"/>
        <v>International</v>
      </c>
      <c r="Y105" s="46" t="s">
        <v>84</v>
      </c>
      <c r="Z105" s="46" t="s">
        <v>197</v>
      </c>
      <c r="AA105" s="46" t="str">
        <f t="shared" si="31"/>
        <v>Diferido</v>
      </c>
    </row>
    <row r="106" spans="1:27" x14ac:dyDescent="0.35">
      <c r="A106" s="15" t="s">
        <v>68</v>
      </c>
      <c r="B106" s="15" t="s">
        <v>184</v>
      </c>
      <c r="C106" s="15" t="str">
        <f t="shared" si="35"/>
        <v>Deduções da Receita Bruta</v>
      </c>
      <c r="E106" s="55" t="s">
        <v>313</v>
      </c>
      <c r="F106" s="55" t="s">
        <v>313</v>
      </c>
      <c r="G106" s="55" t="str">
        <f t="shared" si="32"/>
        <v>Rio Canoas</v>
      </c>
      <c r="I106" s="39" t="s">
        <v>314</v>
      </c>
      <c r="J106" s="39" t="s">
        <v>319</v>
      </c>
      <c r="K106" s="39" t="str">
        <f t="shared" si="44"/>
        <v>Outros</v>
      </c>
      <c r="M106" s="7" t="s">
        <v>95</v>
      </c>
      <c r="N106" s="34" t="s">
        <v>95</v>
      </c>
      <c r="O106" s="34" t="str">
        <f t="shared" si="37"/>
        <v>(+) EBIT</v>
      </c>
      <c r="Q106" s="60" t="s">
        <v>374</v>
      </c>
      <c r="R106" s="60" t="s">
        <v>362</v>
      </c>
      <c r="S106" s="60" t="str">
        <f t="shared" si="41"/>
        <v>Embarque</v>
      </c>
      <c r="Y106" s="42" t="s">
        <v>57</v>
      </c>
      <c r="Z106" s="42" t="s">
        <v>336</v>
      </c>
      <c r="AA106" s="42" t="str">
        <f t="shared" si="31"/>
        <v>Participação de Acionistas Minoritários</v>
      </c>
    </row>
    <row r="107" spans="1:27" x14ac:dyDescent="0.35">
      <c r="A107" s="12" t="s">
        <v>15</v>
      </c>
      <c r="B107" s="12" t="s">
        <v>15</v>
      </c>
      <c r="C107" s="12" t="str">
        <f t="shared" si="35"/>
        <v>Concepa</v>
      </c>
      <c r="E107" s="12" t="s">
        <v>626</v>
      </c>
      <c r="F107" s="12" t="s">
        <v>626</v>
      </c>
      <c r="G107" s="12" t="str">
        <f t="shared" si="32"/>
        <v>Tijoá</v>
      </c>
      <c r="I107" s="40" t="s">
        <v>315</v>
      </c>
      <c r="J107" s="40" t="s">
        <v>329</v>
      </c>
      <c r="K107" s="40" t="str">
        <f t="shared" si="44"/>
        <v>Eliminação de Consolidação</v>
      </c>
      <c r="M107" s="7" t="s">
        <v>98</v>
      </c>
      <c r="N107" s="34" t="s">
        <v>218</v>
      </c>
      <c r="O107" s="34" t="str">
        <f t="shared" si="37"/>
        <v>(+) Depreciação e Amortização</v>
      </c>
      <c r="Q107" s="63" t="s">
        <v>375</v>
      </c>
      <c r="R107" s="63" t="s">
        <v>363</v>
      </c>
      <c r="S107" s="63" t="str">
        <f t="shared" si="41"/>
        <v>Desembarque</v>
      </c>
      <c r="Y107" s="36" t="s">
        <v>590</v>
      </c>
      <c r="Z107" s="36" t="s">
        <v>515</v>
      </c>
      <c r="AA107" s="36" t="str">
        <f t="shared" ref="AA107:AA108" si="45">IF($AG$1=1,Z107,Y107)</f>
        <v>Lucro de Operações em Continuidade</v>
      </c>
    </row>
    <row r="108" spans="1:27" x14ac:dyDescent="0.35">
      <c r="A108" s="12" t="s">
        <v>16</v>
      </c>
      <c r="B108" s="12" t="s">
        <v>16</v>
      </c>
      <c r="C108" s="12" t="str">
        <f t="shared" si="35"/>
        <v>Concer</v>
      </c>
      <c r="E108" s="55" t="s">
        <v>314</v>
      </c>
      <c r="F108" s="55" t="s">
        <v>319</v>
      </c>
      <c r="G108" s="55" t="str">
        <f t="shared" si="32"/>
        <v>Outros</v>
      </c>
      <c r="I108" s="18" t="s">
        <v>75</v>
      </c>
      <c r="J108" s="38" t="s">
        <v>192</v>
      </c>
      <c r="K108" s="38" t="str">
        <f t="shared" si="44"/>
        <v>Gerais e Administrativas</v>
      </c>
      <c r="M108" s="27" t="s">
        <v>99</v>
      </c>
      <c r="N108" s="50" t="s">
        <v>220</v>
      </c>
      <c r="O108" s="50" t="str">
        <f t="shared" si="37"/>
        <v>(+) Despesas Não Recorrentes</v>
      </c>
      <c r="Q108" s="65" t="s">
        <v>376</v>
      </c>
      <c r="R108" s="65" t="s">
        <v>344</v>
      </c>
      <c r="S108" s="65" t="str">
        <f t="shared" si="41"/>
        <v>Conexão</v>
      </c>
      <c r="Y108" s="36" t="s">
        <v>591</v>
      </c>
      <c r="Z108" s="36" t="s">
        <v>589</v>
      </c>
      <c r="AA108" s="36" t="str">
        <f t="shared" si="45"/>
        <v>Resultado de Operações Descontinuadas</v>
      </c>
    </row>
    <row r="109" spans="1:27" x14ac:dyDescent="0.35">
      <c r="A109" s="12" t="s">
        <v>17</v>
      </c>
      <c r="B109" s="12" t="s">
        <v>17</v>
      </c>
      <c r="C109" s="12" t="str">
        <f t="shared" si="35"/>
        <v>Econorte</v>
      </c>
      <c r="E109" s="18" t="s">
        <v>72</v>
      </c>
      <c r="F109" s="18" t="s">
        <v>190</v>
      </c>
      <c r="G109" s="18" t="str">
        <f t="shared" si="32"/>
        <v>Depreciação e Amortização</v>
      </c>
      <c r="I109" s="39" t="s">
        <v>326</v>
      </c>
      <c r="J109" s="39" t="s">
        <v>326</v>
      </c>
      <c r="K109" s="39" t="str">
        <f t="shared" si="44"/>
        <v>Portonave</v>
      </c>
      <c r="M109" s="16" t="s">
        <v>103</v>
      </c>
      <c r="N109" s="43" t="s">
        <v>221</v>
      </c>
      <c r="O109" s="43" t="str">
        <f t="shared" si="37"/>
        <v>NCG: Necessidade de Capital de Giro</v>
      </c>
      <c r="Q109" s="64" t="s">
        <v>377</v>
      </c>
      <c r="R109" s="64" t="s">
        <v>356</v>
      </c>
      <c r="S109" s="64" t="str">
        <f t="shared" si="41"/>
        <v>Carga (ton)</v>
      </c>
      <c r="Y109" s="36" t="s">
        <v>82</v>
      </c>
      <c r="Z109" s="36" t="s">
        <v>198</v>
      </c>
      <c r="AA109" s="36" t="str">
        <f t="shared" si="31"/>
        <v>Lucro Líquido</v>
      </c>
    </row>
    <row r="110" spans="1:27" x14ac:dyDescent="0.35">
      <c r="A110" s="12" t="s">
        <v>600</v>
      </c>
      <c r="B110" s="12" t="s">
        <v>600</v>
      </c>
      <c r="C110" s="12" t="str">
        <f t="shared" si="35"/>
        <v>Concebra</v>
      </c>
      <c r="E110" s="55" t="s">
        <v>312</v>
      </c>
      <c r="F110" s="55" t="s">
        <v>312</v>
      </c>
      <c r="G110" s="55" t="str">
        <f t="shared" si="32"/>
        <v>Rio Verde</v>
      </c>
      <c r="I110" s="39" t="s">
        <v>327</v>
      </c>
      <c r="J110" s="39" t="s">
        <v>327</v>
      </c>
      <c r="K110" s="39" t="str">
        <f t="shared" si="44"/>
        <v>Iceport</v>
      </c>
      <c r="M110" s="7" t="s">
        <v>104</v>
      </c>
      <c r="N110" s="34" t="s">
        <v>222</v>
      </c>
      <c r="O110" s="34" t="str">
        <f t="shared" si="37"/>
        <v>(+) Ativo Operacional Circulante</v>
      </c>
      <c r="Q110" s="48" t="s">
        <v>378</v>
      </c>
      <c r="R110" s="48" t="s">
        <v>357</v>
      </c>
      <c r="S110" s="48" t="str">
        <f t="shared" si="41"/>
        <v>Importação (ton)</v>
      </c>
      <c r="Y110" s="36" t="s">
        <v>85</v>
      </c>
      <c r="Z110" s="36" t="s">
        <v>199</v>
      </c>
      <c r="AA110" s="36" t="str">
        <f t="shared" si="31"/>
        <v>EBITDA Ajustado</v>
      </c>
    </row>
    <row r="111" spans="1:27" x14ac:dyDescent="0.35">
      <c r="A111" s="13" t="s">
        <v>621</v>
      </c>
      <c r="B111" s="13" t="s">
        <v>621</v>
      </c>
      <c r="C111" s="13" t="str">
        <f t="shared" ref="C111" si="46">IF($AG$1=1,B111,A111)</f>
        <v>Transbrasiliana</v>
      </c>
      <c r="E111" s="55" t="s">
        <v>313</v>
      </c>
      <c r="F111" s="55" t="s">
        <v>313</v>
      </c>
      <c r="G111" s="55" t="str">
        <f t="shared" si="32"/>
        <v>Rio Canoas</v>
      </c>
      <c r="I111" s="39" t="s">
        <v>314</v>
      </c>
      <c r="J111" s="39" t="s">
        <v>319</v>
      </c>
      <c r="K111" s="39" t="str">
        <f t="shared" si="44"/>
        <v>Outros</v>
      </c>
      <c r="M111" s="27" t="s">
        <v>105</v>
      </c>
      <c r="N111" s="50" t="s">
        <v>223</v>
      </c>
      <c r="O111" s="50" t="str">
        <f t="shared" si="37"/>
        <v>(-) Passivo Operacional Circulante</v>
      </c>
      <c r="Q111" s="48" t="s">
        <v>379</v>
      </c>
      <c r="R111" s="48" t="s">
        <v>358</v>
      </c>
      <c r="S111" s="48" t="str">
        <f t="shared" si="41"/>
        <v>Exportação (ton)</v>
      </c>
    </row>
    <row r="112" spans="1:27" x14ac:dyDescent="0.35">
      <c r="A112" s="15" t="s">
        <v>67</v>
      </c>
      <c r="B112" s="15" t="s">
        <v>185</v>
      </c>
      <c r="C112" s="15" t="str">
        <f t="shared" si="35"/>
        <v>Receita Operacional Líquida</v>
      </c>
      <c r="E112" s="12" t="s">
        <v>626</v>
      </c>
      <c r="F112" s="12" t="s">
        <v>626</v>
      </c>
      <c r="G112" s="12" t="str">
        <f t="shared" si="32"/>
        <v>Tijoá</v>
      </c>
      <c r="I112" s="18" t="s">
        <v>72</v>
      </c>
      <c r="J112" s="38" t="s">
        <v>190</v>
      </c>
      <c r="K112" s="38" t="str">
        <f t="shared" si="44"/>
        <v>Depreciação e Amortização</v>
      </c>
      <c r="M112" s="16" t="s">
        <v>102</v>
      </c>
      <c r="N112" s="43" t="s">
        <v>224</v>
      </c>
      <c r="O112" s="43" t="str">
        <f t="shared" si="37"/>
        <v>Ativo Operacional</v>
      </c>
      <c r="Q112" s="49" t="s">
        <v>380</v>
      </c>
      <c r="R112" s="49" t="s">
        <v>359</v>
      </c>
      <c r="S112" s="49" t="str">
        <f t="shared" si="41"/>
        <v>Outros (ton)</v>
      </c>
    </row>
    <row r="113" spans="1:27" x14ac:dyDescent="0.35">
      <c r="A113" s="12" t="s">
        <v>15</v>
      </c>
      <c r="B113" s="12" t="s">
        <v>15</v>
      </c>
      <c r="C113" s="12" t="str">
        <f t="shared" si="35"/>
        <v>Concepa</v>
      </c>
      <c r="E113" s="55" t="s">
        <v>314</v>
      </c>
      <c r="F113" s="55" t="s">
        <v>319</v>
      </c>
      <c r="G113" s="55" t="str">
        <f t="shared" si="32"/>
        <v>Outros</v>
      </c>
      <c r="I113" s="39" t="s">
        <v>326</v>
      </c>
      <c r="J113" s="39" t="s">
        <v>326</v>
      </c>
      <c r="K113" s="39" t="str">
        <f t="shared" si="44"/>
        <v>Portonave</v>
      </c>
      <c r="M113" s="7" t="s">
        <v>106</v>
      </c>
      <c r="N113" s="34" t="s">
        <v>226</v>
      </c>
      <c r="O113" s="34" t="str">
        <f t="shared" si="37"/>
        <v>(+)  Imobilizado Líquido</v>
      </c>
      <c r="Q113" s="43" t="s">
        <v>120</v>
      </c>
      <c r="R113" s="43" t="s">
        <v>203</v>
      </c>
      <c r="S113" s="43" t="str">
        <f t="shared" si="41"/>
        <v>Participação Societária</v>
      </c>
      <c r="Y113" s="24" t="s">
        <v>90</v>
      </c>
      <c r="Z113" s="47" t="s">
        <v>200</v>
      </c>
      <c r="AA113" s="47" t="str">
        <f t="shared" ref="AA113:AA191" si="47">IF($AG$1=1,Z113,Y113)</f>
        <v>Dados</v>
      </c>
    </row>
    <row r="114" spans="1:27" x14ac:dyDescent="0.35">
      <c r="A114" s="12" t="s">
        <v>16</v>
      </c>
      <c r="B114" s="12" t="s">
        <v>16</v>
      </c>
      <c r="C114" s="12" t="str">
        <f t="shared" si="35"/>
        <v>Concer</v>
      </c>
      <c r="E114" s="18" t="s">
        <v>73</v>
      </c>
      <c r="F114" s="18" t="s">
        <v>160</v>
      </c>
      <c r="G114" s="18" t="str">
        <f t="shared" ref="G114:G152" si="48">IF($AG$1=1,F114,E114)</f>
        <v>Obrigações da Concessão</v>
      </c>
      <c r="I114" s="39" t="s">
        <v>327</v>
      </c>
      <c r="J114" s="39" t="s">
        <v>327</v>
      </c>
      <c r="K114" s="39" t="str">
        <f t="shared" si="44"/>
        <v>Iceport</v>
      </c>
      <c r="M114" s="7" t="s">
        <v>107</v>
      </c>
      <c r="N114" s="34" t="s">
        <v>225</v>
      </c>
      <c r="O114" s="34" t="str">
        <f t="shared" si="37"/>
        <v>(+)  Intangível Líquido</v>
      </c>
      <c r="Q114" s="59" t="s">
        <v>209</v>
      </c>
      <c r="R114" s="59" t="s">
        <v>209</v>
      </c>
      <c r="S114" s="59" t="str">
        <f t="shared" si="41"/>
        <v>Capex</v>
      </c>
      <c r="Y114" s="43" t="s">
        <v>400</v>
      </c>
      <c r="Z114" s="43" t="s">
        <v>400</v>
      </c>
      <c r="AA114" s="43" t="str">
        <f t="shared" si="47"/>
        <v>Volumes</v>
      </c>
    </row>
    <row r="115" spans="1:27" x14ac:dyDescent="0.35">
      <c r="A115" s="12" t="s">
        <v>17</v>
      </c>
      <c r="B115" s="12" t="s">
        <v>17</v>
      </c>
      <c r="C115" s="12" t="str">
        <f t="shared" si="35"/>
        <v>Econorte</v>
      </c>
      <c r="E115" s="55" t="s">
        <v>312</v>
      </c>
      <c r="F115" s="55" t="s">
        <v>312</v>
      </c>
      <c r="G115" s="55" t="str">
        <f t="shared" si="48"/>
        <v>Rio Verde</v>
      </c>
      <c r="I115" s="39" t="s">
        <v>314</v>
      </c>
      <c r="J115" s="39" t="s">
        <v>319</v>
      </c>
      <c r="K115" s="39" t="str">
        <f t="shared" si="44"/>
        <v>Outros</v>
      </c>
      <c r="M115" s="7" t="s">
        <v>108</v>
      </c>
      <c r="N115" s="34" t="s">
        <v>227</v>
      </c>
      <c r="O115" s="34" t="str">
        <f t="shared" si="37"/>
        <v>(+)  NCG</v>
      </c>
      <c r="Q115" s="43" t="s">
        <v>72</v>
      </c>
      <c r="R115" s="43" t="s">
        <v>190</v>
      </c>
      <c r="S115" s="43" t="str">
        <f t="shared" si="41"/>
        <v>Depreciação e Amortização</v>
      </c>
      <c r="Y115" s="66" t="s">
        <v>421</v>
      </c>
      <c r="Z115" s="66" t="s">
        <v>401</v>
      </c>
      <c r="AA115" s="66" t="str">
        <f t="shared" si="47"/>
        <v>Concessões Rodoviárias (Veículos Equivalentes)</v>
      </c>
    </row>
    <row r="116" spans="1:27" x14ac:dyDescent="0.35">
      <c r="A116" s="12" t="s">
        <v>600</v>
      </c>
      <c r="B116" s="12" t="s">
        <v>600</v>
      </c>
      <c r="C116" s="12" t="str">
        <f t="shared" si="35"/>
        <v>Concebra</v>
      </c>
      <c r="E116" s="55" t="s">
        <v>313</v>
      </c>
      <c r="F116" s="55" t="s">
        <v>313</v>
      </c>
      <c r="G116" s="55" t="str">
        <f t="shared" si="48"/>
        <v>Rio Canoas</v>
      </c>
      <c r="I116" s="18" t="s">
        <v>77</v>
      </c>
      <c r="J116" s="38" t="s">
        <v>323</v>
      </c>
      <c r="K116" s="38" t="str">
        <f t="shared" si="44"/>
        <v>Outras Receitas (Despesas) Operacionais</v>
      </c>
      <c r="M116" s="16" t="s">
        <v>110</v>
      </c>
      <c r="N116" s="43" t="s">
        <v>110</v>
      </c>
      <c r="O116" s="43" t="str">
        <f t="shared" si="37"/>
        <v>NOPAT</v>
      </c>
      <c r="Q116" s="48" t="s">
        <v>87</v>
      </c>
      <c r="R116" s="48" t="s">
        <v>87</v>
      </c>
      <c r="S116" s="48" t="str">
        <f t="shared" si="41"/>
        <v>D&amp;A</v>
      </c>
      <c r="Y116" s="39" t="s">
        <v>15</v>
      </c>
      <c r="Z116" s="39" t="s">
        <v>15</v>
      </c>
      <c r="AA116" s="39" t="str">
        <f t="shared" si="47"/>
        <v>Concepa</v>
      </c>
    </row>
    <row r="117" spans="1:27" x14ac:dyDescent="0.35">
      <c r="A117" s="13" t="s">
        <v>621</v>
      </c>
      <c r="B117" s="13" t="s">
        <v>621</v>
      </c>
      <c r="C117" s="13" t="str">
        <f t="shared" ref="C117" si="49">IF($AG$1=1,B117,A117)</f>
        <v>Transbrasiliana</v>
      </c>
      <c r="E117" s="12" t="s">
        <v>626</v>
      </c>
      <c r="F117" s="12" t="s">
        <v>626</v>
      </c>
      <c r="G117" s="12" t="str">
        <f t="shared" si="48"/>
        <v>Tijoá</v>
      </c>
      <c r="I117" s="39" t="s">
        <v>326</v>
      </c>
      <c r="J117" s="39" t="s">
        <v>326</v>
      </c>
      <c r="K117" s="39" t="str">
        <f t="shared" si="44"/>
        <v>Portonave</v>
      </c>
      <c r="M117" s="7" t="s">
        <v>118</v>
      </c>
      <c r="N117" s="34" t="s">
        <v>228</v>
      </c>
      <c r="O117" s="34" t="str">
        <f t="shared" si="37"/>
        <v>(*1-) Impostos</v>
      </c>
      <c r="Q117" s="49" t="s">
        <v>86</v>
      </c>
      <c r="R117" s="49" t="s">
        <v>204</v>
      </c>
      <c r="S117" s="49" t="str">
        <f t="shared" si="41"/>
        <v>Reavaliação</v>
      </c>
      <c r="Y117" s="39" t="s">
        <v>16</v>
      </c>
      <c r="Z117" s="39" t="s">
        <v>16</v>
      </c>
      <c r="AA117" s="39" t="str">
        <f t="shared" si="47"/>
        <v>Concer</v>
      </c>
    </row>
    <row r="118" spans="1:27" x14ac:dyDescent="0.35">
      <c r="A118" s="15" t="s">
        <v>78</v>
      </c>
      <c r="B118" s="15" t="s">
        <v>186</v>
      </c>
      <c r="C118" s="15" t="str">
        <f t="shared" si="35"/>
        <v>Custos Operacionais</v>
      </c>
      <c r="E118" s="56" t="s">
        <v>314</v>
      </c>
      <c r="F118" s="56" t="s">
        <v>319</v>
      </c>
      <c r="G118" s="56" t="str">
        <f t="shared" si="48"/>
        <v>Outros</v>
      </c>
      <c r="I118" s="39" t="s">
        <v>327</v>
      </c>
      <c r="J118" s="39" t="s">
        <v>327</v>
      </c>
      <c r="K118" s="39" t="str">
        <f t="shared" si="44"/>
        <v>Iceport</v>
      </c>
      <c r="M118" s="7" t="s">
        <v>462</v>
      </c>
      <c r="N118" s="34" t="s">
        <v>461</v>
      </c>
      <c r="O118" s="34" t="str">
        <f t="shared" si="37"/>
        <v>(=) EBIT Ajustado antes do D&amp;A Reavaliação</v>
      </c>
      <c r="Q118" s="43" t="s">
        <v>79</v>
      </c>
      <c r="R118" s="43" t="s">
        <v>194</v>
      </c>
      <c r="S118" s="43" t="str">
        <f t="shared" si="41"/>
        <v>Resultado Financeiro</v>
      </c>
      <c r="Y118" s="39" t="s">
        <v>17</v>
      </c>
      <c r="Z118" s="39" t="s">
        <v>17</v>
      </c>
      <c r="AA118" s="39" t="str">
        <f t="shared" si="47"/>
        <v>Econorte</v>
      </c>
    </row>
    <row r="119" spans="1:27" x14ac:dyDescent="0.35">
      <c r="A119" s="12" t="s">
        <v>15</v>
      </c>
      <c r="B119" s="12" t="s">
        <v>15</v>
      </c>
      <c r="C119" s="12" t="str">
        <f t="shared" si="35"/>
        <v>Concepa</v>
      </c>
      <c r="E119" s="2" t="s">
        <v>74</v>
      </c>
      <c r="F119" s="2" t="s">
        <v>191</v>
      </c>
      <c r="G119" s="2" t="str">
        <f t="shared" si="48"/>
        <v>Despesas Operacionais</v>
      </c>
      <c r="I119" s="39" t="s">
        <v>314</v>
      </c>
      <c r="J119" s="39" t="s">
        <v>319</v>
      </c>
      <c r="K119" s="39" t="str">
        <f t="shared" si="44"/>
        <v>Outros</v>
      </c>
      <c r="M119" s="12" t="s">
        <v>460</v>
      </c>
      <c r="N119" s="39" t="s">
        <v>455</v>
      </c>
      <c r="O119" s="39" t="str">
        <f t="shared" si="37"/>
        <v>(+) EBIT Ajustado</v>
      </c>
      <c r="Q119" s="34" t="s">
        <v>88</v>
      </c>
      <c r="R119" s="34" t="s">
        <v>205</v>
      </c>
      <c r="S119" s="34" t="str">
        <f t="shared" si="41"/>
        <v>Receitas</v>
      </c>
      <c r="Y119" s="39" t="s">
        <v>600</v>
      </c>
      <c r="Z119" s="39" t="s">
        <v>600</v>
      </c>
      <c r="AA119" s="39" t="s">
        <v>600</v>
      </c>
    </row>
    <row r="120" spans="1:27" x14ac:dyDescent="0.35">
      <c r="A120" s="12" t="s">
        <v>16</v>
      </c>
      <c r="B120" s="12" t="s">
        <v>16</v>
      </c>
      <c r="C120" s="12" t="str">
        <f t="shared" si="35"/>
        <v>Concer</v>
      </c>
      <c r="E120" s="55" t="s">
        <v>312</v>
      </c>
      <c r="F120" s="55" t="s">
        <v>312</v>
      </c>
      <c r="G120" s="55" t="str">
        <f t="shared" si="48"/>
        <v>Rio Verde</v>
      </c>
      <c r="I120" s="16" t="s">
        <v>81</v>
      </c>
      <c r="J120" s="43" t="s">
        <v>193</v>
      </c>
      <c r="K120" s="43" t="str">
        <f t="shared" si="44"/>
        <v>EBIT - Lucro Operacional</v>
      </c>
      <c r="M120" s="25" t="s">
        <v>458</v>
      </c>
      <c r="N120" s="25" t="s">
        <v>459</v>
      </c>
      <c r="O120" s="25" t="str">
        <f t="shared" si="37"/>
        <v>(+) EBITDA Ajustado</v>
      </c>
      <c r="Q120" s="34" t="s">
        <v>89</v>
      </c>
      <c r="R120" s="34" t="s">
        <v>206</v>
      </c>
      <c r="S120" s="34" t="str">
        <f t="shared" si="41"/>
        <v>Despesas</v>
      </c>
      <c r="Y120" s="39" t="s">
        <v>621</v>
      </c>
      <c r="Z120" s="39" t="s">
        <v>621</v>
      </c>
      <c r="AA120" s="39" t="s">
        <v>621</v>
      </c>
    </row>
    <row r="121" spans="1:27" x14ac:dyDescent="0.35">
      <c r="A121" s="12" t="s">
        <v>17</v>
      </c>
      <c r="B121" s="12" t="s">
        <v>17</v>
      </c>
      <c r="C121" s="12" t="str">
        <f t="shared" si="35"/>
        <v>Econorte</v>
      </c>
      <c r="E121" s="55" t="s">
        <v>313</v>
      </c>
      <c r="F121" s="55" t="s">
        <v>313</v>
      </c>
      <c r="G121" s="55" t="str">
        <f t="shared" si="48"/>
        <v>Rio Canoas</v>
      </c>
      <c r="I121" s="37" t="s">
        <v>326</v>
      </c>
      <c r="J121" s="37" t="s">
        <v>326</v>
      </c>
      <c r="K121" s="37" t="str">
        <f t="shared" si="44"/>
        <v>Portonave</v>
      </c>
      <c r="M121" s="25" t="s">
        <v>456</v>
      </c>
      <c r="N121" s="25" t="s">
        <v>457</v>
      </c>
      <c r="O121" s="25" t="str">
        <f t="shared" si="37"/>
        <v>(-) Depreciação e Amortização</v>
      </c>
      <c r="Q121" s="43" t="s">
        <v>96</v>
      </c>
      <c r="R121" s="43" t="s">
        <v>150</v>
      </c>
      <c r="S121" s="43" t="str">
        <f t="shared" si="41"/>
        <v>Provisão para Manutenção</v>
      </c>
      <c r="Y121" s="66" t="s">
        <v>422</v>
      </c>
      <c r="Z121" s="66" t="s">
        <v>402</v>
      </c>
      <c r="AA121" s="66" t="str">
        <f t="shared" si="47"/>
        <v>Energia (MWh)</v>
      </c>
    </row>
    <row r="122" spans="1:27" x14ac:dyDescent="0.35">
      <c r="A122" s="12" t="s">
        <v>600</v>
      </c>
      <c r="B122" s="12" t="s">
        <v>600</v>
      </c>
      <c r="C122" s="12" t="str">
        <f t="shared" si="35"/>
        <v>Concebra</v>
      </c>
      <c r="E122" s="12" t="s">
        <v>626</v>
      </c>
      <c r="F122" s="12" t="s">
        <v>626</v>
      </c>
      <c r="G122" s="12" t="str">
        <f t="shared" si="48"/>
        <v>Tijoá</v>
      </c>
      <c r="I122" s="37" t="s">
        <v>327</v>
      </c>
      <c r="J122" s="37" t="s">
        <v>327</v>
      </c>
      <c r="K122" s="37" t="str">
        <f t="shared" si="44"/>
        <v>Iceport</v>
      </c>
      <c r="M122" s="13" t="s">
        <v>109</v>
      </c>
      <c r="N122" s="40" t="s">
        <v>229</v>
      </c>
      <c r="O122" s="40" t="str">
        <f t="shared" si="37"/>
        <v>(+) D&amp;A Reavaliação</v>
      </c>
      <c r="Q122" s="36" t="s">
        <v>97</v>
      </c>
      <c r="R122" s="36" t="s">
        <v>207</v>
      </c>
      <c r="S122" s="36" t="str">
        <f t="shared" si="41"/>
        <v>Despesas Não Recorrentes</v>
      </c>
      <c r="Y122" s="39" t="s">
        <v>312</v>
      </c>
      <c r="Z122" s="39" t="s">
        <v>312</v>
      </c>
      <c r="AA122" s="39" t="str">
        <f t="shared" si="47"/>
        <v>Rio Verde</v>
      </c>
    </row>
    <row r="123" spans="1:27" x14ac:dyDescent="0.35">
      <c r="A123" s="13" t="s">
        <v>621</v>
      </c>
      <c r="B123" s="13" t="s">
        <v>621</v>
      </c>
      <c r="C123" s="13" t="str">
        <f t="shared" ref="C123" si="50">IF($AG$1=1,B123,A123)</f>
        <v>Transbrasiliana</v>
      </c>
      <c r="E123" s="56" t="s">
        <v>314</v>
      </c>
      <c r="F123" s="56" t="s">
        <v>319</v>
      </c>
      <c r="G123" s="56" t="str">
        <f t="shared" si="48"/>
        <v>Outros</v>
      </c>
      <c r="I123" s="44" t="s">
        <v>314</v>
      </c>
      <c r="J123" s="44" t="s">
        <v>319</v>
      </c>
      <c r="K123" s="44" t="str">
        <f t="shared" si="44"/>
        <v>Outros</v>
      </c>
      <c r="Q123" s="36" t="s">
        <v>112</v>
      </c>
      <c r="R123" s="36" t="s">
        <v>208</v>
      </c>
      <c r="S123" s="36" t="str">
        <f t="shared" si="41"/>
        <v>Dívida Líquida</v>
      </c>
      <c r="Y123" s="39" t="s">
        <v>313</v>
      </c>
      <c r="Z123" s="39" t="s">
        <v>313</v>
      </c>
      <c r="AA123" s="39" t="str">
        <f t="shared" si="47"/>
        <v>Rio Canoas</v>
      </c>
    </row>
    <row r="124" spans="1:27" x14ac:dyDescent="0.35">
      <c r="A124" s="18" t="s">
        <v>69</v>
      </c>
      <c r="B124" s="18" t="s">
        <v>187</v>
      </c>
      <c r="C124" s="18" t="str">
        <f t="shared" si="35"/>
        <v>Operação e Manutenção das Rodovias</v>
      </c>
      <c r="E124" s="18" t="s">
        <v>75</v>
      </c>
      <c r="F124" s="18" t="s">
        <v>192</v>
      </c>
      <c r="G124" s="18" t="str">
        <f t="shared" si="48"/>
        <v>Gerais e Administrativas</v>
      </c>
      <c r="I124" s="42" t="s">
        <v>420</v>
      </c>
      <c r="J124" s="42" t="s">
        <v>330</v>
      </c>
      <c r="K124" s="42" t="str">
        <f t="shared" si="44"/>
        <v>Resultado de Equivalência Patrimonial</v>
      </c>
      <c r="Q124" s="43" t="s">
        <v>348</v>
      </c>
      <c r="R124" s="43" t="s">
        <v>347</v>
      </c>
      <c r="S124" s="43" t="str">
        <f t="shared" si="41"/>
        <v>Receita Líquida Ajustada</v>
      </c>
      <c r="Y124" s="39" t="s">
        <v>626</v>
      </c>
      <c r="Z124" s="39" t="s">
        <v>626</v>
      </c>
      <c r="AA124" s="39" t="s">
        <v>626</v>
      </c>
    </row>
    <row r="125" spans="1:27" x14ac:dyDescent="0.35">
      <c r="A125" s="12" t="s">
        <v>15</v>
      </c>
      <c r="B125" s="12" t="s">
        <v>15</v>
      </c>
      <c r="C125" s="12" t="str">
        <f t="shared" si="35"/>
        <v>Concepa</v>
      </c>
      <c r="E125" s="55" t="s">
        <v>312</v>
      </c>
      <c r="F125" s="55" t="s">
        <v>312</v>
      </c>
      <c r="G125" s="55" t="str">
        <f t="shared" si="48"/>
        <v>Rio Verde</v>
      </c>
      <c r="I125" s="45" t="s">
        <v>326</v>
      </c>
      <c r="J125" s="45" t="s">
        <v>326</v>
      </c>
      <c r="K125" s="45" t="str">
        <f t="shared" si="44"/>
        <v>Portonave</v>
      </c>
      <c r="M125" s="47" t="s">
        <v>123</v>
      </c>
      <c r="N125" s="47" t="s">
        <v>201</v>
      </c>
      <c r="O125" s="47" t="str">
        <f t="shared" ref="O125:O133" si="51">IF($AG$1=1,N125,M125)</f>
        <v>Dados Relevantes</v>
      </c>
      <c r="Q125" s="25" t="s">
        <v>409</v>
      </c>
      <c r="R125" s="25" t="s">
        <v>408</v>
      </c>
      <c r="S125" s="25" t="str">
        <f t="shared" ref="S125:S126" si="52">IF($AG$1=1,R125,Q125)</f>
        <v>(+) Receita Líquida</v>
      </c>
      <c r="Y125" s="39" t="s">
        <v>314</v>
      </c>
      <c r="Z125" s="39" t="s">
        <v>319</v>
      </c>
      <c r="AA125" s="39" t="s">
        <v>319</v>
      </c>
    </row>
    <row r="126" spans="1:27" x14ac:dyDescent="0.35">
      <c r="A126" s="12" t="s">
        <v>16</v>
      </c>
      <c r="B126" s="12" t="s">
        <v>16</v>
      </c>
      <c r="C126" s="12" t="str">
        <f t="shared" si="35"/>
        <v>Concer</v>
      </c>
      <c r="E126" s="55" t="s">
        <v>313</v>
      </c>
      <c r="F126" s="55" t="s">
        <v>313</v>
      </c>
      <c r="G126" s="55" t="str">
        <f t="shared" si="48"/>
        <v>Rio Canoas</v>
      </c>
      <c r="I126" s="45" t="s">
        <v>327</v>
      </c>
      <c r="J126" s="45" t="s">
        <v>327</v>
      </c>
      <c r="K126" s="45" t="str">
        <f t="shared" si="44"/>
        <v>Iceport</v>
      </c>
      <c r="M126" s="51" t="s">
        <v>101</v>
      </c>
      <c r="N126" s="51" t="s">
        <v>101</v>
      </c>
      <c r="O126" s="51" t="str">
        <f t="shared" si="51"/>
        <v>ROAE</v>
      </c>
      <c r="Q126" s="26" t="s">
        <v>410</v>
      </c>
      <c r="R126" s="26" t="s">
        <v>406</v>
      </c>
      <c r="S126" s="26" t="str">
        <f t="shared" si="52"/>
        <v>(-) Receita de Construção</v>
      </c>
      <c r="Y126" s="66" t="s">
        <v>423</v>
      </c>
      <c r="Z126" s="66" t="s">
        <v>403</v>
      </c>
      <c r="AA126" s="66" t="str">
        <f>IF($AG$1=1,Z126,Y126)</f>
        <v>Portos (TEUs)</v>
      </c>
    </row>
    <row r="127" spans="1:27" x14ac:dyDescent="0.35">
      <c r="A127" s="12" t="s">
        <v>17</v>
      </c>
      <c r="B127" s="12" t="s">
        <v>17</v>
      </c>
      <c r="C127" s="12" t="str">
        <f t="shared" ref="C127:C173" si="53">IF($AG$1=1,B127,A127)</f>
        <v>Econorte</v>
      </c>
      <c r="E127" s="12" t="s">
        <v>626</v>
      </c>
      <c r="F127" s="12" t="s">
        <v>626</v>
      </c>
      <c r="G127" s="12" t="str">
        <f t="shared" si="48"/>
        <v>Tijoá</v>
      </c>
      <c r="I127" s="45" t="s">
        <v>314</v>
      </c>
      <c r="J127" s="45" t="s">
        <v>319</v>
      </c>
      <c r="K127" s="45" t="str">
        <f t="shared" si="44"/>
        <v>Outros</v>
      </c>
      <c r="M127" s="52" t="s">
        <v>111</v>
      </c>
      <c r="N127" s="52" t="s">
        <v>111</v>
      </c>
      <c r="O127" s="52" t="str">
        <f t="shared" si="51"/>
        <v>ROIC</v>
      </c>
      <c r="Q127" s="36" t="s">
        <v>91</v>
      </c>
      <c r="R127" s="36" t="s">
        <v>210</v>
      </c>
      <c r="S127" s="36" t="str">
        <f t="shared" ref="S127:S151" si="54">IF($AG$1=1,R127,Q127)</f>
        <v>Patrimônio Líquido Ajustado</v>
      </c>
      <c r="Y127" s="66" t="s">
        <v>424</v>
      </c>
      <c r="Z127" s="66" t="s">
        <v>404</v>
      </c>
      <c r="AA127" s="66" t="str">
        <f t="shared" si="47"/>
        <v>Cabotagem (TEUs)</v>
      </c>
    </row>
    <row r="128" spans="1:27" x14ac:dyDescent="0.35">
      <c r="A128" s="12" t="s">
        <v>600</v>
      </c>
      <c r="B128" s="12" t="s">
        <v>600</v>
      </c>
      <c r="C128" s="12" t="str">
        <f t="shared" si="53"/>
        <v>Concebra</v>
      </c>
      <c r="E128" s="56" t="s">
        <v>314</v>
      </c>
      <c r="F128" s="56" t="s">
        <v>319</v>
      </c>
      <c r="G128" s="56" t="str">
        <f t="shared" si="48"/>
        <v>Outros</v>
      </c>
      <c r="I128" s="15" t="s">
        <v>79</v>
      </c>
      <c r="J128" s="42" t="s">
        <v>194</v>
      </c>
      <c r="K128" s="42" t="str">
        <f t="shared" si="44"/>
        <v>Resultado Financeiro</v>
      </c>
      <c r="M128" s="53" t="s">
        <v>117</v>
      </c>
      <c r="N128" s="53" t="s">
        <v>117</v>
      </c>
      <c r="O128" s="53" t="str">
        <f t="shared" si="51"/>
        <v>ROAA</v>
      </c>
      <c r="Q128" s="34" t="s">
        <v>92</v>
      </c>
      <c r="R128" s="34" t="s">
        <v>211</v>
      </c>
      <c r="S128" s="34" t="str">
        <f t="shared" si="54"/>
        <v>(+) Patrimônio Líquido</v>
      </c>
      <c r="Y128" s="66" t="s">
        <v>425</v>
      </c>
      <c r="Z128" s="66" t="s">
        <v>405</v>
      </c>
      <c r="AA128" s="66" t="str">
        <f t="shared" si="47"/>
        <v>Aeroportos (WLU)</v>
      </c>
    </row>
    <row r="129" spans="1:27" x14ac:dyDescent="0.35">
      <c r="A129" s="13" t="s">
        <v>621</v>
      </c>
      <c r="B129" s="13" t="s">
        <v>621</v>
      </c>
      <c r="C129" s="13" t="str">
        <f t="shared" ref="C129" si="55">IF($AG$1=1,B129,A129)</f>
        <v>Transbrasiliana</v>
      </c>
      <c r="E129" s="18" t="s">
        <v>72</v>
      </c>
      <c r="F129" s="18" t="s">
        <v>190</v>
      </c>
      <c r="G129" s="18" t="str">
        <f t="shared" si="48"/>
        <v>Depreciação e Amortização</v>
      </c>
      <c r="I129" s="45" t="s">
        <v>326</v>
      </c>
      <c r="J129" s="45" t="s">
        <v>326</v>
      </c>
      <c r="K129" s="45" t="str">
        <f t="shared" si="44"/>
        <v>Portonave</v>
      </c>
      <c r="M129" s="43" t="s">
        <v>113</v>
      </c>
      <c r="N129" s="43" t="s">
        <v>230</v>
      </c>
      <c r="O129" s="43" t="str">
        <f t="shared" si="51"/>
        <v>Margem Bruta</v>
      </c>
      <c r="Q129" s="34" t="s">
        <v>93</v>
      </c>
      <c r="R129" s="34" t="s">
        <v>214</v>
      </c>
      <c r="S129" s="34" t="str">
        <f t="shared" si="54"/>
        <v>(-) Reserva de Reavaliação Líquida</v>
      </c>
      <c r="Y129" s="16" t="s">
        <v>120</v>
      </c>
      <c r="Z129" s="43" t="s">
        <v>203</v>
      </c>
      <c r="AA129" s="43" t="str">
        <f t="shared" si="47"/>
        <v>Participação Societária</v>
      </c>
    </row>
    <row r="130" spans="1:27" x14ac:dyDescent="0.35">
      <c r="A130" s="18" t="s">
        <v>70</v>
      </c>
      <c r="B130" s="18" t="s">
        <v>188</v>
      </c>
      <c r="C130" s="18" t="str">
        <f t="shared" si="53"/>
        <v>Custos de Construção</v>
      </c>
      <c r="E130" s="55" t="s">
        <v>312</v>
      </c>
      <c r="F130" s="55" t="s">
        <v>312</v>
      </c>
      <c r="G130" s="55" t="str">
        <f t="shared" si="48"/>
        <v>Rio Verde</v>
      </c>
      <c r="I130" s="45" t="s">
        <v>327</v>
      </c>
      <c r="J130" s="45" t="s">
        <v>327</v>
      </c>
      <c r="K130" s="45" t="str">
        <f t="shared" si="44"/>
        <v>Iceport</v>
      </c>
      <c r="M130" s="36" t="s">
        <v>114</v>
      </c>
      <c r="N130" s="36" t="s">
        <v>231</v>
      </c>
      <c r="O130" s="36" t="str">
        <f t="shared" si="51"/>
        <v>Margem EBITDA</v>
      </c>
      <c r="Q130" s="50" t="s">
        <v>94</v>
      </c>
      <c r="R130" s="50" t="s">
        <v>215</v>
      </c>
      <c r="S130" s="50" t="str">
        <f t="shared" si="54"/>
        <v>(-) Ajuste de Avaliação Patrimonial Líquida</v>
      </c>
      <c r="Y130" s="66" t="s">
        <v>64</v>
      </c>
      <c r="Z130" s="66" t="s">
        <v>394</v>
      </c>
      <c r="AA130" s="66" t="str">
        <f t="shared" si="47"/>
        <v>Concessões Rodoviárias</v>
      </c>
    </row>
    <row r="131" spans="1:27" x14ac:dyDescent="0.35">
      <c r="A131" s="12" t="s">
        <v>15</v>
      </c>
      <c r="B131" s="12" t="s">
        <v>15</v>
      </c>
      <c r="C131" s="12" t="str">
        <f t="shared" si="53"/>
        <v>Concepa</v>
      </c>
      <c r="E131" s="55" t="s">
        <v>313</v>
      </c>
      <c r="F131" s="55" t="s">
        <v>313</v>
      </c>
      <c r="G131" s="55" t="str">
        <f t="shared" si="48"/>
        <v>Rio Canoas</v>
      </c>
      <c r="I131" s="45" t="s">
        <v>314</v>
      </c>
      <c r="J131" s="45" t="s">
        <v>319</v>
      </c>
      <c r="K131" s="45" t="str">
        <f t="shared" si="44"/>
        <v>Outros</v>
      </c>
      <c r="M131" s="36" t="s">
        <v>115</v>
      </c>
      <c r="N131" s="36" t="s">
        <v>232</v>
      </c>
      <c r="O131" s="36" t="str">
        <f t="shared" si="51"/>
        <v>Margem Líquida</v>
      </c>
      <c r="Q131" s="43" t="s">
        <v>85</v>
      </c>
      <c r="R131" s="43" t="s">
        <v>199</v>
      </c>
      <c r="S131" s="43" t="str">
        <f t="shared" si="54"/>
        <v>EBITDA Ajustado</v>
      </c>
      <c r="Y131" s="39" t="s">
        <v>15</v>
      </c>
      <c r="Z131" s="39" t="s">
        <v>15</v>
      </c>
      <c r="AA131" s="39" t="str">
        <f t="shared" si="47"/>
        <v>Concepa</v>
      </c>
    </row>
    <row r="132" spans="1:27" x14ac:dyDescent="0.35">
      <c r="A132" s="12" t="s">
        <v>16</v>
      </c>
      <c r="B132" s="12" t="s">
        <v>16</v>
      </c>
      <c r="C132" s="12" t="str">
        <f t="shared" si="53"/>
        <v>Concer</v>
      </c>
      <c r="E132" s="12" t="s">
        <v>626</v>
      </c>
      <c r="F132" s="12" t="s">
        <v>626</v>
      </c>
      <c r="G132" s="12" t="str">
        <f t="shared" si="48"/>
        <v>Tijoá</v>
      </c>
      <c r="I132" s="2" t="s">
        <v>80</v>
      </c>
      <c r="J132" s="42" t="s">
        <v>195</v>
      </c>
      <c r="K132" s="42" t="str">
        <f t="shared" si="44"/>
        <v>Imposto sobre o Lucro</v>
      </c>
      <c r="M132" s="36" t="s">
        <v>121</v>
      </c>
      <c r="N132" s="36" t="s">
        <v>233</v>
      </c>
      <c r="O132" s="36" t="str">
        <f t="shared" si="51"/>
        <v>Tarifa Média</v>
      </c>
      <c r="Q132" s="34" t="s">
        <v>95</v>
      </c>
      <c r="R132" s="34" t="s">
        <v>95</v>
      </c>
      <c r="S132" s="34" t="str">
        <f t="shared" si="54"/>
        <v>(+) EBIT</v>
      </c>
      <c r="Y132" s="39" t="s">
        <v>16</v>
      </c>
      <c r="Z132" s="39" t="s">
        <v>16</v>
      </c>
      <c r="AA132" s="39" t="str">
        <f t="shared" si="47"/>
        <v>Concer</v>
      </c>
    </row>
    <row r="133" spans="1:27" x14ac:dyDescent="0.35">
      <c r="A133" s="12" t="s">
        <v>17</v>
      </c>
      <c r="B133" s="12" t="s">
        <v>17</v>
      </c>
      <c r="C133" s="12" t="str">
        <f t="shared" si="53"/>
        <v>Econorte</v>
      </c>
      <c r="E133" s="56" t="s">
        <v>314</v>
      </c>
      <c r="F133" s="56" t="s">
        <v>319</v>
      </c>
      <c r="G133" s="56" t="str">
        <f t="shared" si="48"/>
        <v>Outros</v>
      </c>
      <c r="I133" s="45" t="s">
        <v>326</v>
      </c>
      <c r="J133" s="45" t="s">
        <v>326</v>
      </c>
      <c r="K133" s="45" t="str">
        <f t="shared" si="44"/>
        <v>Portonave</v>
      </c>
      <c r="M133" s="59" t="s">
        <v>122</v>
      </c>
      <c r="N133" s="59" t="s">
        <v>234</v>
      </c>
      <c r="O133" s="59" t="str">
        <f t="shared" si="51"/>
        <v>Crescimento Anual da Tarifa Média</v>
      </c>
      <c r="Q133" s="34" t="s">
        <v>98</v>
      </c>
      <c r="R133" s="34" t="s">
        <v>218</v>
      </c>
      <c r="S133" s="34" t="str">
        <f t="shared" si="54"/>
        <v>(+) Depreciação e Amortização</v>
      </c>
      <c r="Y133" s="39" t="s">
        <v>17</v>
      </c>
      <c r="Z133" s="39" t="s">
        <v>17</v>
      </c>
      <c r="AA133" s="39" t="str">
        <f t="shared" si="47"/>
        <v>Econorte</v>
      </c>
    </row>
    <row r="134" spans="1:27" x14ac:dyDescent="0.35">
      <c r="A134" s="12" t="s">
        <v>600</v>
      </c>
      <c r="B134" s="12" t="s">
        <v>600</v>
      </c>
      <c r="C134" s="12" t="str">
        <f t="shared" ref="C134" si="56">IF($AG$1=1,B134,A134)</f>
        <v>Concebra</v>
      </c>
      <c r="E134" s="18" t="s">
        <v>77</v>
      </c>
      <c r="F134" s="18" t="s">
        <v>323</v>
      </c>
      <c r="G134" s="18" t="str">
        <f t="shared" si="48"/>
        <v>Outras Receitas (Despesas) Operacionais</v>
      </c>
      <c r="I134" s="46" t="s">
        <v>83</v>
      </c>
      <c r="J134" s="46" t="s">
        <v>196</v>
      </c>
      <c r="K134" s="46" t="str">
        <f t="shared" si="44"/>
        <v>Corrente</v>
      </c>
      <c r="Q134" s="34" t="s">
        <v>410</v>
      </c>
      <c r="R134" s="34" t="s">
        <v>406</v>
      </c>
      <c r="S134" s="34" t="s">
        <v>406</v>
      </c>
      <c r="Y134" s="39" t="s">
        <v>600</v>
      </c>
      <c r="Z134" s="39" t="s">
        <v>600</v>
      </c>
      <c r="AA134" s="39" t="s">
        <v>600</v>
      </c>
    </row>
    <row r="135" spans="1:27" x14ac:dyDescent="0.35">
      <c r="A135" s="13" t="s">
        <v>621</v>
      </c>
      <c r="B135" s="13" t="s">
        <v>621</v>
      </c>
      <c r="C135" s="13" t="str">
        <f t="shared" ref="C135" si="57">IF($AG$1=1,B135,A135)</f>
        <v>Transbrasiliana</v>
      </c>
      <c r="E135" s="55" t="s">
        <v>312</v>
      </c>
      <c r="F135" s="55" t="s">
        <v>312</v>
      </c>
      <c r="G135" s="55" t="str">
        <f t="shared" si="48"/>
        <v>Rio Verde</v>
      </c>
      <c r="I135" s="46" t="s">
        <v>84</v>
      </c>
      <c r="J135" s="46" t="s">
        <v>197</v>
      </c>
      <c r="K135" s="46" t="str">
        <f t="shared" si="44"/>
        <v>Diferido</v>
      </c>
      <c r="Q135" s="34" t="s">
        <v>469</v>
      </c>
      <c r="R135" s="34" t="s">
        <v>407</v>
      </c>
      <c r="S135" s="34" t="s">
        <v>407</v>
      </c>
      <c r="Y135" s="39" t="s">
        <v>621</v>
      </c>
      <c r="Z135" s="39" t="s">
        <v>621</v>
      </c>
      <c r="AA135" s="39" t="s">
        <v>621</v>
      </c>
    </row>
    <row r="136" spans="1:27" x14ac:dyDescent="0.35">
      <c r="A136" s="18" t="s">
        <v>71</v>
      </c>
      <c r="B136" s="18" t="s">
        <v>189</v>
      </c>
      <c r="C136" s="18" t="str">
        <f t="shared" si="53"/>
        <v>Custos com Pessoal</v>
      </c>
      <c r="E136" s="55" t="s">
        <v>313</v>
      </c>
      <c r="F136" s="55" t="s">
        <v>313</v>
      </c>
      <c r="G136" s="55" t="str">
        <f t="shared" si="48"/>
        <v>Rio Canoas</v>
      </c>
      <c r="I136" s="45" t="s">
        <v>327</v>
      </c>
      <c r="J136" s="45" t="s">
        <v>327</v>
      </c>
      <c r="K136" s="45" t="str">
        <f t="shared" si="44"/>
        <v>Iceport</v>
      </c>
      <c r="Q136" s="34" t="s">
        <v>100</v>
      </c>
      <c r="R136" s="34" t="s">
        <v>219</v>
      </c>
      <c r="S136" s="34" t="str">
        <f t="shared" si="54"/>
        <v>(+) Provisão para Manutenção</v>
      </c>
      <c r="Y136" s="66" t="s">
        <v>414</v>
      </c>
      <c r="Z136" s="66" t="s">
        <v>395</v>
      </c>
      <c r="AA136" s="66" t="str">
        <f>IF($AG$1=1,Z136,Y136)</f>
        <v>Energia</v>
      </c>
    </row>
    <row r="137" spans="1:27" x14ac:dyDescent="0.35">
      <c r="A137" s="12" t="s">
        <v>15</v>
      </c>
      <c r="B137" s="12" t="s">
        <v>15</v>
      </c>
      <c r="C137" s="12" t="str">
        <f t="shared" si="53"/>
        <v>Concepa</v>
      </c>
      <c r="E137" s="12" t="s">
        <v>626</v>
      </c>
      <c r="F137" s="12" t="s">
        <v>626</v>
      </c>
      <c r="G137" s="12" t="str">
        <f t="shared" si="48"/>
        <v>Tijoá</v>
      </c>
      <c r="I137" s="46" t="s">
        <v>83</v>
      </c>
      <c r="J137" s="46" t="s">
        <v>196</v>
      </c>
      <c r="K137" s="46" t="str">
        <f t="shared" ref="K137:K150" si="58">IF($AG$1=1,J137,I137)</f>
        <v>Corrente</v>
      </c>
      <c r="Q137" s="50" t="s">
        <v>99</v>
      </c>
      <c r="R137" s="50" t="s">
        <v>220</v>
      </c>
      <c r="S137" s="50" t="str">
        <f t="shared" si="54"/>
        <v>(+) Despesas Não Recorrentes</v>
      </c>
      <c r="Y137" s="39" t="s">
        <v>312</v>
      </c>
      <c r="Z137" s="39" t="s">
        <v>312</v>
      </c>
      <c r="AA137" s="39" t="str">
        <f t="shared" si="47"/>
        <v>Rio Verde</v>
      </c>
    </row>
    <row r="138" spans="1:27" x14ac:dyDescent="0.35">
      <c r="A138" s="12" t="s">
        <v>16</v>
      </c>
      <c r="B138" s="12" t="s">
        <v>16</v>
      </c>
      <c r="C138" s="12" t="str">
        <f t="shared" si="53"/>
        <v>Concer</v>
      </c>
      <c r="E138" s="56" t="s">
        <v>314</v>
      </c>
      <c r="F138" s="56" t="s">
        <v>319</v>
      </c>
      <c r="G138" s="56" t="str">
        <f t="shared" si="48"/>
        <v>Outros</v>
      </c>
      <c r="I138" s="46" t="s">
        <v>84</v>
      </c>
      <c r="J138" s="46" t="s">
        <v>197</v>
      </c>
      <c r="K138" s="46" t="str">
        <f t="shared" si="58"/>
        <v>Diferido</v>
      </c>
      <c r="Q138" s="43" t="s">
        <v>103</v>
      </c>
      <c r="R138" s="43" t="s">
        <v>221</v>
      </c>
      <c r="S138" s="43" t="str">
        <f t="shared" si="54"/>
        <v>NCG: Necessidade de Capital de Giro</v>
      </c>
      <c r="Y138" s="39" t="s">
        <v>313</v>
      </c>
      <c r="Z138" s="39" t="s">
        <v>313</v>
      </c>
      <c r="AA138" s="39" t="str">
        <f t="shared" si="47"/>
        <v>Rio Canoas</v>
      </c>
    </row>
    <row r="139" spans="1:27" x14ac:dyDescent="0.35">
      <c r="A139" s="12" t="s">
        <v>17</v>
      </c>
      <c r="B139" s="12" t="s">
        <v>17</v>
      </c>
      <c r="C139" s="12" t="str">
        <f t="shared" si="53"/>
        <v>Econorte</v>
      </c>
      <c r="E139" s="16" t="s">
        <v>81</v>
      </c>
      <c r="F139" s="16" t="s">
        <v>193</v>
      </c>
      <c r="G139" s="16" t="str">
        <f t="shared" si="48"/>
        <v>EBIT - Lucro Operacional</v>
      </c>
      <c r="I139" s="45" t="s">
        <v>314</v>
      </c>
      <c r="J139" s="45" t="s">
        <v>319</v>
      </c>
      <c r="K139" s="45" t="str">
        <f t="shared" si="58"/>
        <v>Outros</v>
      </c>
      <c r="Q139" s="34" t="s">
        <v>104</v>
      </c>
      <c r="R139" s="34" t="s">
        <v>222</v>
      </c>
      <c r="S139" s="34" t="str">
        <f t="shared" si="54"/>
        <v>(+) Ativo Operacional Circulante</v>
      </c>
      <c r="Y139" s="39" t="s">
        <v>626</v>
      </c>
      <c r="Z139" s="39" t="s">
        <v>626</v>
      </c>
      <c r="AA139" s="39" t="s">
        <v>626</v>
      </c>
    </row>
    <row r="140" spans="1:27" x14ac:dyDescent="0.35">
      <c r="A140" s="12" t="s">
        <v>600</v>
      </c>
      <c r="B140" s="12" t="s">
        <v>600</v>
      </c>
      <c r="C140" s="12" t="str">
        <f t="shared" si="53"/>
        <v>Concebra</v>
      </c>
      <c r="E140" s="17" t="s">
        <v>312</v>
      </c>
      <c r="F140" s="17" t="s">
        <v>312</v>
      </c>
      <c r="G140" s="17" t="str">
        <f t="shared" si="48"/>
        <v>Rio Verde</v>
      </c>
      <c r="I140" s="46" t="s">
        <v>83</v>
      </c>
      <c r="J140" s="46" t="s">
        <v>196</v>
      </c>
      <c r="K140" s="46" t="str">
        <f t="shared" si="58"/>
        <v>Corrente</v>
      </c>
      <c r="Q140" s="50" t="s">
        <v>105</v>
      </c>
      <c r="R140" s="50" t="s">
        <v>223</v>
      </c>
      <c r="S140" s="50" t="str">
        <f t="shared" si="54"/>
        <v>(-) Passivo Operacional Circulante</v>
      </c>
      <c r="Y140" s="39" t="s">
        <v>314</v>
      </c>
      <c r="Z140" s="39" t="s">
        <v>319</v>
      </c>
      <c r="AA140" s="39" t="s">
        <v>319</v>
      </c>
    </row>
    <row r="141" spans="1:27" x14ac:dyDescent="0.35">
      <c r="A141" s="13" t="s">
        <v>621</v>
      </c>
      <c r="B141" s="13" t="s">
        <v>621</v>
      </c>
      <c r="C141" s="13" t="str">
        <f t="shared" ref="C141" si="59">IF($AG$1=1,B141,A141)</f>
        <v>Transbrasiliana</v>
      </c>
      <c r="E141" s="17" t="s">
        <v>313</v>
      </c>
      <c r="F141" s="17" t="s">
        <v>313</v>
      </c>
      <c r="G141" s="17" t="str">
        <f t="shared" si="48"/>
        <v>Rio Canoas</v>
      </c>
      <c r="I141" s="46" t="s">
        <v>84</v>
      </c>
      <c r="J141" s="46" t="s">
        <v>197</v>
      </c>
      <c r="K141" s="46" t="str">
        <f t="shared" si="58"/>
        <v>Diferido</v>
      </c>
      <c r="Q141" s="43" t="s">
        <v>102</v>
      </c>
      <c r="R141" s="43" t="s">
        <v>224</v>
      </c>
      <c r="S141" s="43" t="str">
        <f t="shared" si="54"/>
        <v>Ativo Operacional</v>
      </c>
      <c r="Y141" s="66" t="s">
        <v>426</v>
      </c>
      <c r="Z141" s="66" t="s">
        <v>396</v>
      </c>
      <c r="AA141" s="66" t="str">
        <f t="shared" si="47"/>
        <v>Portos</v>
      </c>
    </row>
    <row r="142" spans="1:27" x14ac:dyDescent="0.35">
      <c r="A142" s="18" t="s">
        <v>72</v>
      </c>
      <c r="B142" s="18" t="s">
        <v>190</v>
      </c>
      <c r="C142" s="18" t="str">
        <f t="shared" si="53"/>
        <v>Depreciação e Amortização</v>
      </c>
      <c r="E142" s="17" t="s">
        <v>626</v>
      </c>
      <c r="F142" s="17" t="s">
        <v>626</v>
      </c>
      <c r="G142" s="17" t="str">
        <f t="shared" ref="G142" si="60">IF($AG$1=1,F142,E142)</f>
        <v>Tijoá</v>
      </c>
      <c r="I142" s="42" t="s">
        <v>57</v>
      </c>
      <c r="J142" s="42" t="s">
        <v>336</v>
      </c>
      <c r="K142" s="42" t="str">
        <f t="shared" si="58"/>
        <v>Participação de Acionistas Minoritários</v>
      </c>
      <c r="Q142" s="34" t="s">
        <v>106</v>
      </c>
      <c r="R142" s="34" t="s">
        <v>226</v>
      </c>
      <c r="S142" s="34" t="str">
        <f t="shared" si="54"/>
        <v>(+)  Imobilizado Líquido</v>
      </c>
      <c r="Y142" s="39" t="s">
        <v>326</v>
      </c>
      <c r="Z142" s="39" t="s">
        <v>326</v>
      </c>
      <c r="AA142" s="39" t="str">
        <f t="shared" si="47"/>
        <v>Portonave</v>
      </c>
    </row>
    <row r="143" spans="1:27" x14ac:dyDescent="0.35">
      <c r="A143" s="12" t="s">
        <v>15</v>
      </c>
      <c r="B143" s="12" t="s">
        <v>15</v>
      </c>
      <c r="C143" s="12" t="str">
        <f t="shared" si="53"/>
        <v>Concepa</v>
      </c>
      <c r="E143" s="22" t="s">
        <v>314</v>
      </c>
      <c r="F143" s="22" t="s">
        <v>319</v>
      </c>
      <c r="G143" s="22" t="str">
        <f t="shared" si="48"/>
        <v>Outros</v>
      </c>
      <c r="I143" s="16" t="s">
        <v>82</v>
      </c>
      <c r="J143" s="43" t="s">
        <v>198</v>
      </c>
      <c r="K143" s="43" t="str">
        <f t="shared" si="58"/>
        <v>Lucro Líquido</v>
      </c>
      <c r="Q143" s="34" t="s">
        <v>107</v>
      </c>
      <c r="R143" s="34" t="s">
        <v>225</v>
      </c>
      <c r="S143" s="34" t="str">
        <f t="shared" si="54"/>
        <v>(+)  Intangível Líquido</v>
      </c>
      <c r="Y143" s="39" t="s">
        <v>327</v>
      </c>
      <c r="Z143" s="39" t="s">
        <v>327</v>
      </c>
      <c r="AA143" s="39" t="str">
        <f t="shared" si="47"/>
        <v>Iceport</v>
      </c>
    </row>
    <row r="144" spans="1:27" x14ac:dyDescent="0.35">
      <c r="A144" s="12" t="s">
        <v>16</v>
      </c>
      <c r="B144" s="12" t="s">
        <v>16</v>
      </c>
      <c r="C144" s="12" t="str">
        <f t="shared" si="53"/>
        <v>Concer</v>
      </c>
      <c r="E144" s="15" t="s">
        <v>79</v>
      </c>
      <c r="F144" s="15" t="s">
        <v>194</v>
      </c>
      <c r="G144" s="15" t="str">
        <f t="shared" si="48"/>
        <v>Resultado Financeiro</v>
      </c>
      <c r="I144" s="37" t="s">
        <v>326</v>
      </c>
      <c r="J144" s="37" t="s">
        <v>326</v>
      </c>
      <c r="K144" s="37" t="str">
        <f t="shared" si="58"/>
        <v>Portonave</v>
      </c>
      <c r="Q144" s="34" t="s">
        <v>108</v>
      </c>
      <c r="R144" s="34" t="s">
        <v>227</v>
      </c>
      <c r="S144" s="34" t="str">
        <f t="shared" si="54"/>
        <v>(+)  NCG</v>
      </c>
      <c r="Y144" s="39" t="s">
        <v>314</v>
      </c>
      <c r="Z144" s="39" t="s">
        <v>319</v>
      </c>
      <c r="AA144" s="39" t="str">
        <f t="shared" ref="AA144" si="61">IF($AG$1=1,Z144,Y144)</f>
        <v>Outros</v>
      </c>
    </row>
    <row r="145" spans="1:27" x14ac:dyDescent="0.35">
      <c r="A145" s="12" t="s">
        <v>17</v>
      </c>
      <c r="B145" s="12" t="s">
        <v>17</v>
      </c>
      <c r="C145" s="12" t="str">
        <f t="shared" si="53"/>
        <v>Econorte</v>
      </c>
      <c r="E145" s="55" t="s">
        <v>312</v>
      </c>
      <c r="F145" s="55" t="s">
        <v>312</v>
      </c>
      <c r="G145" s="55" t="str">
        <f t="shared" si="48"/>
        <v>Rio Verde</v>
      </c>
      <c r="I145" s="37" t="s">
        <v>327</v>
      </c>
      <c r="J145" s="37" t="s">
        <v>327</v>
      </c>
      <c r="K145" s="37" t="str">
        <f t="shared" si="58"/>
        <v>Iceport</v>
      </c>
      <c r="Q145" s="43" t="s">
        <v>110</v>
      </c>
      <c r="R145" s="43" t="s">
        <v>110</v>
      </c>
      <c r="S145" s="43" t="str">
        <f t="shared" si="54"/>
        <v>NOPAT</v>
      </c>
      <c r="Y145" s="66" t="s">
        <v>415</v>
      </c>
      <c r="Z145" s="66" t="s">
        <v>397</v>
      </c>
      <c r="AA145" s="66" t="str">
        <f t="shared" si="47"/>
        <v>Cabotagem</v>
      </c>
    </row>
    <row r="146" spans="1:27" x14ac:dyDescent="0.35">
      <c r="A146" s="12" t="s">
        <v>600</v>
      </c>
      <c r="B146" s="12" t="s">
        <v>600</v>
      </c>
      <c r="C146" s="12" t="str">
        <f t="shared" si="53"/>
        <v>Concebra</v>
      </c>
      <c r="E146" s="55" t="s">
        <v>313</v>
      </c>
      <c r="F146" s="55" t="s">
        <v>313</v>
      </c>
      <c r="G146" s="55" t="str">
        <f t="shared" si="48"/>
        <v>Rio Canoas</v>
      </c>
      <c r="I146" s="37" t="s">
        <v>314</v>
      </c>
      <c r="J146" s="37" t="s">
        <v>319</v>
      </c>
      <c r="K146" s="37" t="str">
        <f t="shared" si="58"/>
        <v>Outros</v>
      </c>
      <c r="Q146" s="34" t="s">
        <v>118</v>
      </c>
      <c r="R146" s="34" t="s">
        <v>228</v>
      </c>
      <c r="S146" s="34" t="str">
        <f t="shared" si="54"/>
        <v>(*1-) Impostos</v>
      </c>
      <c r="Y146" s="66" t="s">
        <v>427</v>
      </c>
      <c r="Z146" s="66" t="s">
        <v>398</v>
      </c>
      <c r="AA146" s="66" t="str">
        <f t="shared" si="47"/>
        <v>Aeroportos</v>
      </c>
    </row>
    <row r="147" spans="1:27" x14ac:dyDescent="0.35">
      <c r="A147" s="12" t="s">
        <v>621</v>
      </c>
      <c r="B147" s="12" t="s">
        <v>621</v>
      </c>
      <c r="C147" s="12" t="str">
        <f t="shared" ref="C147" si="62">IF($AG$1=1,B147,A147)</f>
        <v>Transbrasiliana</v>
      </c>
      <c r="E147" s="12" t="s">
        <v>626</v>
      </c>
      <c r="F147" s="12" t="s">
        <v>626</v>
      </c>
      <c r="G147" s="12" t="str">
        <f t="shared" si="48"/>
        <v>Tijoá</v>
      </c>
      <c r="I147" s="16" t="s">
        <v>85</v>
      </c>
      <c r="J147" s="43" t="s">
        <v>199</v>
      </c>
      <c r="K147" s="43" t="str">
        <f t="shared" si="58"/>
        <v>EBITDA Ajustado</v>
      </c>
      <c r="Q147" s="7" t="s">
        <v>462</v>
      </c>
      <c r="R147" s="34" t="s">
        <v>461</v>
      </c>
      <c r="S147" s="34" t="str">
        <f t="shared" si="54"/>
        <v>(=) EBIT Ajustado antes do D&amp;A Reavaliação</v>
      </c>
      <c r="Y147" s="43" t="s">
        <v>209</v>
      </c>
      <c r="Z147" s="43" t="s">
        <v>209</v>
      </c>
      <c r="AA147" s="43" t="str">
        <f t="shared" si="47"/>
        <v>Capex</v>
      </c>
    </row>
    <row r="148" spans="1:27" x14ac:dyDescent="0.35">
      <c r="A148" s="18" t="s">
        <v>73</v>
      </c>
      <c r="B148" s="18" t="s">
        <v>160</v>
      </c>
      <c r="C148" s="18" t="str">
        <f t="shared" si="53"/>
        <v>Obrigações da Concessão</v>
      </c>
      <c r="E148" s="56" t="s">
        <v>314</v>
      </c>
      <c r="F148" s="56" t="s">
        <v>319</v>
      </c>
      <c r="G148" s="56" t="str">
        <f t="shared" si="48"/>
        <v>Outros</v>
      </c>
      <c r="I148" s="37" t="s">
        <v>326</v>
      </c>
      <c r="J148" s="37" t="s">
        <v>326</v>
      </c>
      <c r="K148" s="37" t="str">
        <f t="shared" si="58"/>
        <v>Portonave</v>
      </c>
      <c r="Q148" s="12" t="s">
        <v>460</v>
      </c>
      <c r="R148" s="39" t="s">
        <v>455</v>
      </c>
      <c r="S148" s="39" t="str">
        <f t="shared" si="54"/>
        <v>(+) EBIT Ajustado</v>
      </c>
      <c r="Y148" s="66" t="s">
        <v>64</v>
      </c>
      <c r="Z148" s="66" t="s">
        <v>394</v>
      </c>
      <c r="AA148" s="66" t="str">
        <f t="shared" si="47"/>
        <v>Concessões Rodoviárias</v>
      </c>
    </row>
    <row r="149" spans="1:27" x14ac:dyDescent="0.35">
      <c r="A149" s="12" t="s">
        <v>15</v>
      </c>
      <c r="B149" s="12" t="s">
        <v>15</v>
      </c>
      <c r="C149" s="12" t="str">
        <f t="shared" si="53"/>
        <v>Concepa</v>
      </c>
      <c r="E149" s="2" t="s">
        <v>80</v>
      </c>
      <c r="F149" s="2" t="s">
        <v>195</v>
      </c>
      <c r="G149" s="2" t="str">
        <f t="shared" si="48"/>
        <v>Imposto sobre o Lucro</v>
      </c>
      <c r="I149" s="37" t="s">
        <v>327</v>
      </c>
      <c r="J149" s="37" t="s">
        <v>327</v>
      </c>
      <c r="K149" s="37" t="str">
        <f t="shared" si="58"/>
        <v>Iceport</v>
      </c>
      <c r="Q149" s="25" t="s">
        <v>458</v>
      </c>
      <c r="R149" s="25" t="s">
        <v>459</v>
      </c>
      <c r="S149" s="25" t="str">
        <f t="shared" si="54"/>
        <v>(+) EBITDA Ajustado</v>
      </c>
      <c r="Y149" s="39" t="s">
        <v>15</v>
      </c>
      <c r="Z149" s="39" t="s">
        <v>15</v>
      </c>
      <c r="AA149" s="39" t="str">
        <f t="shared" si="47"/>
        <v>Concepa</v>
      </c>
    </row>
    <row r="150" spans="1:27" x14ac:dyDescent="0.35">
      <c r="A150" s="12" t="s">
        <v>16</v>
      </c>
      <c r="B150" s="12" t="s">
        <v>16</v>
      </c>
      <c r="C150" s="12" t="str">
        <f t="shared" si="53"/>
        <v>Concer</v>
      </c>
      <c r="E150" s="46" t="s">
        <v>83</v>
      </c>
      <c r="F150" s="46" t="s">
        <v>196</v>
      </c>
      <c r="G150" s="46" t="str">
        <f t="shared" si="48"/>
        <v>Corrente</v>
      </c>
      <c r="I150" s="44" t="s">
        <v>314</v>
      </c>
      <c r="J150" s="44" t="s">
        <v>319</v>
      </c>
      <c r="K150" s="44" t="str">
        <f t="shared" si="58"/>
        <v>Outros</v>
      </c>
      <c r="Q150" s="25" t="s">
        <v>456</v>
      </c>
      <c r="R150" s="25" t="s">
        <v>457</v>
      </c>
      <c r="S150" s="25" t="str">
        <f t="shared" si="54"/>
        <v>(-) Depreciação e Amortização</v>
      </c>
      <c r="Y150" s="39" t="s">
        <v>16</v>
      </c>
      <c r="Z150" s="39" t="s">
        <v>16</v>
      </c>
      <c r="AA150" s="39" t="str">
        <f t="shared" si="47"/>
        <v>Concer</v>
      </c>
    </row>
    <row r="151" spans="1:27" x14ac:dyDescent="0.35">
      <c r="A151" s="12" t="s">
        <v>17</v>
      </c>
      <c r="B151" s="12" t="s">
        <v>17</v>
      </c>
      <c r="C151" s="12" t="str">
        <f t="shared" si="53"/>
        <v>Econorte</v>
      </c>
      <c r="E151" s="46" t="s">
        <v>84</v>
      </c>
      <c r="F151" s="46" t="s">
        <v>197</v>
      </c>
      <c r="G151" s="46" t="str">
        <f t="shared" si="48"/>
        <v>Diferido</v>
      </c>
      <c r="Q151" s="40" t="s">
        <v>109</v>
      </c>
      <c r="R151" s="40" t="s">
        <v>229</v>
      </c>
      <c r="S151" s="40" t="str">
        <f t="shared" si="54"/>
        <v>(+) D&amp;A Reavaliação</v>
      </c>
      <c r="Y151" s="39" t="s">
        <v>17</v>
      </c>
      <c r="Z151" s="39" t="s">
        <v>17</v>
      </c>
      <c r="AA151" s="39" t="str">
        <f t="shared" si="47"/>
        <v>Econorte</v>
      </c>
    </row>
    <row r="152" spans="1:27" x14ac:dyDescent="0.35">
      <c r="A152" s="12" t="s">
        <v>600</v>
      </c>
      <c r="B152" s="12" t="s">
        <v>600</v>
      </c>
      <c r="C152" s="12" t="str">
        <f t="shared" si="53"/>
        <v>Concebra</v>
      </c>
      <c r="E152" s="10" t="s">
        <v>312</v>
      </c>
      <c r="F152" s="10" t="s">
        <v>312</v>
      </c>
      <c r="G152" s="10" t="str">
        <f t="shared" si="48"/>
        <v>Rio Verde</v>
      </c>
      <c r="Y152" s="39" t="s">
        <v>600</v>
      </c>
      <c r="Z152" s="39" t="s">
        <v>600</v>
      </c>
      <c r="AA152" s="39" t="s">
        <v>600</v>
      </c>
    </row>
    <row r="153" spans="1:27" x14ac:dyDescent="0.35">
      <c r="A153" s="13" t="s">
        <v>621</v>
      </c>
      <c r="B153" s="13" t="s">
        <v>621</v>
      </c>
      <c r="C153" s="13" t="str">
        <f t="shared" ref="C153" si="63">IF($AG$1=1,B153,A153)</f>
        <v>Transbrasiliana</v>
      </c>
      <c r="E153" s="46" t="s">
        <v>83</v>
      </c>
      <c r="F153" s="46" t="s">
        <v>196</v>
      </c>
      <c r="G153" s="46" t="str">
        <f t="shared" ref="G153:G173" si="64">IF($AG$1=1,F153,E153)</f>
        <v>Corrente</v>
      </c>
      <c r="I153" s="24" t="s">
        <v>90</v>
      </c>
      <c r="J153" s="47" t="s">
        <v>200</v>
      </c>
      <c r="K153" s="47" t="str">
        <f t="shared" ref="K153:K184" si="65">IF($AG$1=1,J153,I153)</f>
        <v>Dados</v>
      </c>
      <c r="Y153" s="39" t="s">
        <v>621</v>
      </c>
      <c r="Z153" s="39" t="s">
        <v>621</v>
      </c>
      <c r="AA153" s="39" t="s">
        <v>621</v>
      </c>
    </row>
    <row r="154" spans="1:27" x14ac:dyDescent="0.35">
      <c r="A154" s="2" t="s">
        <v>74</v>
      </c>
      <c r="B154" s="2" t="s">
        <v>191</v>
      </c>
      <c r="C154" s="2" t="str">
        <f t="shared" si="53"/>
        <v>Despesas Operacionais</v>
      </c>
      <c r="E154" s="46" t="s">
        <v>84</v>
      </c>
      <c r="F154" s="46" t="s">
        <v>197</v>
      </c>
      <c r="G154" s="46" t="str">
        <f t="shared" si="64"/>
        <v>Diferido</v>
      </c>
      <c r="I154" s="43" t="s">
        <v>333</v>
      </c>
      <c r="J154" s="43" t="s">
        <v>333</v>
      </c>
      <c r="K154" s="43" t="str">
        <f t="shared" si="65"/>
        <v>Volumes (TEUs)</v>
      </c>
      <c r="Q154" s="47" t="s">
        <v>123</v>
      </c>
      <c r="R154" s="47" t="s">
        <v>201</v>
      </c>
      <c r="S154" s="47" t="str">
        <f t="shared" ref="S154:S176" si="66">IF($AG$1=1,R154,Q154)</f>
        <v>Dados Relevantes</v>
      </c>
      <c r="Y154" s="66" t="s">
        <v>414</v>
      </c>
      <c r="Z154" s="66" t="s">
        <v>395</v>
      </c>
      <c r="AA154" s="66" t="str">
        <f>IF($AG$1=1,Z154,Y154)</f>
        <v>Energia</v>
      </c>
    </row>
    <row r="155" spans="1:27" x14ac:dyDescent="0.35">
      <c r="A155" s="12" t="s">
        <v>15</v>
      </c>
      <c r="B155" s="12" t="s">
        <v>15</v>
      </c>
      <c r="C155" s="12" t="str">
        <f t="shared" si="53"/>
        <v>Concepa</v>
      </c>
      <c r="E155" s="10" t="s">
        <v>313</v>
      </c>
      <c r="F155" s="10" t="s">
        <v>313</v>
      </c>
      <c r="G155" s="10" t="str">
        <f t="shared" si="64"/>
        <v>Rio Canoas</v>
      </c>
      <c r="I155" s="39" t="s">
        <v>326</v>
      </c>
      <c r="J155" s="39" t="s">
        <v>326</v>
      </c>
      <c r="K155" s="39" t="str">
        <f t="shared" si="65"/>
        <v>Portonave</v>
      </c>
      <c r="Q155" s="51" t="s">
        <v>101</v>
      </c>
      <c r="R155" s="51" t="s">
        <v>101</v>
      </c>
      <c r="S155" s="51" t="str">
        <f t="shared" si="66"/>
        <v>ROAE</v>
      </c>
      <c r="Y155" s="39" t="s">
        <v>312</v>
      </c>
      <c r="Z155" s="39" t="s">
        <v>312</v>
      </c>
      <c r="AA155" s="39" t="str">
        <f t="shared" si="47"/>
        <v>Rio Verde</v>
      </c>
    </row>
    <row r="156" spans="1:27" x14ac:dyDescent="0.35">
      <c r="A156" s="12" t="s">
        <v>16</v>
      </c>
      <c r="B156" s="12" t="s">
        <v>16</v>
      </c>
      <c r="C156" s="12" t="str">
        <f t="shared" si="53"/>
        <v>Concer</v>
      </c>
      <c r="E156" s="46" t="s">
        <v>83</v>
      </c>
      <c r="F156" s="46" t="s">
        <v>196</v>
      </c>
      <c r="G156" s="46" t="str">
        <f t="shared" si="64"/>
        <v>Corrente</v>
      </c>
      <c r="I156" s="16" t="s">
        <v>120</v>
      </c>
      <c r="J156" s="43" t="s">
        <v>203</v>
      </c>
      <c r="K156" s="43" t="str">
        <f t="shared" si="65"/>
        <v>Participação Societária</v>
      </c>
      <c r="Q156" s="52" t="s">
        <v>111</v>
      </c>
      <c r="R156" s="52" t="s">
        <v>111</v>
      </c>
      <c r="S156" s="52" t="str">
        <f t="shared" si="66"/>
        <v>ROIC</v>
      </c>
      <c r="Y156" s="39" t="s">
        <v>313</v>
      </c>
      <c r="Z156" s="39" t="s">
        <v>313</v>
      </c>
      <c r="AA156" s="39" t="str">
        <f t="shared" si="47"/>
        <v>Rio Canoas</v>
      </c>
    </row>
    <row r="157" spans="1:27" x14ac:dyDescent="0.35">
      <c r="A157" s="12" t="s">
        <v>17</v>
      </c>
      <c r="B157" s="12" t="s">
        <v>17</v>
      </c>
      <c r="C157" s="12" t="str">
        <f t="shared" si="53"/>
        <v>Econorte</v>
      </c>
      <c r="E157" s="46" t="s">
        <v>84</v>
      </c>
      <c r="F157" s="46" t="s">
        <v>197</v>
      </c>
      <c r="G157" s="46" t="str">
        <f t="shared" si="64"/>
        <v>Diferido</v>
      </c>
      <c r="I157" s="39" t="s">
        <v>326</v>
      </c>
      <c r="J157" s="39" t="s">
        <v>326</v>
      </c>
      <c r="K157" s="39" t="str">
        <f t="shared" si="65"/>
        <v>Portonave</v>
      </c>
      <c r="Q157" s="53" t="s">
        <v>117</v>
      </c>
      <c r="R157" s="53" t="s">
        <v>117</v>
      </c>
      <c r="S157" s="53" t="str">
        <f t="shared" si="66"/>
        <v>ROAA</v>
      </c>
      <c r="Y157" s="39" t="s">
        <v>626</v>
      </c>
      <c r="Z157" s="39" t="s">
        <v>626</v>
      </c>
      <c r="AA157" s="39" t="s">
        <v>626</v>
      </c>
    </row>
    <row r="158" spans="1:27" x14ac:dyDescent="0.35">
      <c r="A158" s="12" t="s">
        <v>76</v>
      </c>
      <c r="B158" s="12" t="s">
        <v>76</v>
      </c>
      <c r="C158" s="12" t="str">
        <f t="shared" si="53"/>
        <v>Convale</v>
      </c>
      <c r="E158" s="10" t="s">
        <v>626</v>
      </c>
      <c r="F158" s="10" t="s">
        <v>626</v>
      </c>
      <c r="G158" s="10" t="str">
        <f t="shared" ref="G158:G160" si="67">IF($AG$1=1,F158,E158)</f>
        <v>Tijoá</v>
      </c>
      <c r="I158" s="39" t="s">
        <v>327</v>
      </c>
      <c r="J158" s="39" t="s">
        <v>327</v>
      </c>
      <c r="K158" s="39" t="str">
        <f t="shared" si="65"/>
        <v>Iceport</v>
      </c>
      <c r="Q158" s="43" t="s">
        <v>113</v>
      </c>
      <c r="R158" s="43" t="s">
        <v>230</v>
      </c>
      <c r="S158" s="43" t="str">
        <f t="shared" si="66"/>
        <v>Margem Bruta</v>
      </c>
      <c r="Y158" s="39" t="s">
        <v>314</v>
      </c>
      <c r="Z158" s="39" t="s">
        <v>319</v>
      </c>
      <c r="AA158" s="39" t="str">
        <f t="shared" si="47"/>
        <v>Outros</v>
      </c>
    </row>
    <row r="159" spans="1:27" x14ac:dyDescent="0.35">
      <c r="A159" s="12" t="s">
        <v>600</v>
      </c>
      <c r="B159" s="12" t="s">
        <v>600</v>
      </c>
      <c r="C159" s="12" t="str">
        <f t="shared" si="53"/>
        <v>Concebra</v>
      </c>
      <c r="E159" s="46" t="s">
        <v>83</v>
      </c>
      <c r="F159" s="46" t="s">
        <v>196</v>
      </c>
      <c r="G159" s="46" t="str">
        <f t="shared" si="67"/>
        <v>Corrente</v>
      </c>
      <c r="I159" s="43" t="s">
        <v>209</v>
      </c>
      <c r="J159" s="43" t="s">
        <v>209</v>
      </c>
      <c r="K159" s="43" t="str">
        <f t="shared" si="65"/>
        <v>Capex</v>
      </c>
      <c r="Q159" s="36" t="s">
        <v>114</v>
      </c>
      <c r="R159" s="36" t="s">
        <v>231</v>
      </c>
      <c r="S159" s="36" t="str">
        <f t="shared" si="66"/>
        <v>Margem EBITDA</v>
      </c>
      <c r="Y159" s="66" t="s">
        <v>426</v>
      </c>
      <c r="Z159" s="66" t="s">
        <v>396</v>
      </c>
      <c r="AA159" s="66" t="str">
        <f t="shared" si="47"/>
        <v>Portos</v>
      </c>
    </row>
    <row r="160" spans="1:27" x14ac:dyDescent="0.35">
      <c r="A160" s="13" t="s">
        <v>621</v>
      </c>
      <c r="B160" s="13" t="s">
        <v>621</v>
      </c>
      <c r="C160" s="13" t="str">
        <f t="shared" ref="C160" si="68">IF($AG$1=1,B160,A160)</f>
        <v>Transbrasiliana</v>
      </c>
      <c r="E160" s="46" t="s">
        <v>84</v>
      </c>
      <c r="F160" s="46" t="s">
        <v>197</v>
      </c>
      <c r="G160" s="46" t="str">
        <f t="shared" si="67"/>
        <v>Diferido</v>
      </c>
      <c r="I160" s="39" t="s">
        <v>326</v>
      </c>
      <c r="J160" s="39" t="s">
        <v>326</v>
      </c>
      <c r="K160" s="39" t="str">
        <f t="shared" si="65"/>
        <v>Portonave</v>
      </c>
      <c r="Q160" s="59" t="s">
        <v>115</v>
      </c>
      <c r="R160" s="59" t="s">
        <v>232</v>
      </c>
      <c r="S160" s="59" t="str">
        <f t="shared" si="66"/>
        <v>Margem Líquida</v>
      </c>
      <c r="Y160" s="39" t="s">
        <v>326</v>
      </c>
      <c r="Z160" s="39" t="s">
        <v>326</v>
      </c>
      <c r="AA160" s="39" t="str">
        <f t="shared" si="47"/>
        <v>Portonave</v>
      </c>
    </row>
    <row r="161" spans="1:27" x14ac:dyDescent="0.35">
      <c r="A161" s="18" t="s">
        <v>75</v>
      </c>
      <c r="B161" s="18" t="s">
        <v>192</v>
      </c>
      <c r="C161" s="18" t="str">
        <f t="shared" si="53"/>
        <v>Gerais e Administrativas</v>
      </c>
      <c r="E161" s="10" t="s">
        <v>314</v>
      </c>
      <c r="F161" s="10" t="s">
        <v>319</v>
      </c>
      <c r="G161" s="10" t="str">
        <f t="shared" si="64"/>
        <v>Outros</v>
      </c>
      <c r="I161" s="39" t="s">
        <v>327</v>
      </c>
      <c r="J161" s="39" t="s">
        <v>327</v>
      </c>
      <c r="K161" s="39" t="str">
        <f t="shared" si="65"/>
        <v>Iceport</v>
      </c>
      <c r="Q161" s="36" t="s">
        <v>121</v>
      </c>
      <c r="R161" s="36" t="s">
        <v>233</v>
      </c>
      <c r="S161" s="36" t="str">
        <f t="shared" si="66"/>
        <v>Tarifa Média</v>
      </c>
      <c r="Y161" s="39" t="s">
        <v>327</v>
      </c>
      <c r="Z161" s="39" t="s">
        <v>327</v>
      </c>
      <c r="AA161" s="39" t="str">
        <f t="shared" si="47"/>
        <v>Iceport</v>
      </c>
    </row>
    <row r="162" spans="1:27" x14ac:dyDescent="0.35">
      <c r="A162" s="12" t="s">
        <v>15</v>
      </c>
      <c r="B162" s="12" t="s">
        <v>15</v>
      </c>
      <c r="C162" s="12" t="str">
        <f t="shared" si="53"/>
        <v>Concepa</v>
      </c>
      <c r="E162" s="46" t="s">
        <v>83</v>
      </c>
      <c r="F162" s="46" t="s">
        <v>196</v>
      </c>
      <c r="G162" s="46" t="str">
        <f t="shared" si="64"/>
        <v>Corrente</v>
      </c>
      <c r="I162" s="40" t="s">
        <v>314</v>
      </c>
      <c r="J162" s="40" t="s">
        <v>319</v>
      </c>
      <c r="K162" s="40" t="str">
        <f t="shared" si="65"/>
        <v>Outros</v>
      </c>
      <c r="Q162" s="38" t="s">
        <v>383</v>
      </c>
      <c r="R162" s="38" t="s">
        <v>341</v>
      </c>
      <c r="S162" s="38" t="str">
        <f t="shared" si="66"/>
        <v>Receita de Passageiros</v>
      </c>
      <c r="Y162" s="39" t="s">
        <v>314</v>
      </c>
      <c r="Z162" s="39" t="s">
        <v>319</v>
      </c>
      <c r="AA162" s="39" t="str">
        <f t="shared" si="47"/>
        <v>Outros</v>
      </c>
    </row>
    <row r="163" spans="1:27" x14ac:dyDescent="0.35">
      <c r="A163" s="12" t="s">
        <v>16</v>
      </c>
      <c r="B163" s="12" t="s">
        <v>16</v>
      </c>
      <c r="C163" s="12" t="str">
        <f t="shared" si="53"/>
        <v>Concer</v>
      </c>
      <c r="E163" s="46" t="s">
        <v>84</v>
      </c>
      <c r="F163" s="46" t="s">
        <v>197</v>
      </c>
      <c r="G163" s="46" t="str">
        <f t="shared" si="64"/>
        <v>Diferido</v>
      </c>
      <c r="I163" s="16" t="s">
        <v>72</v>
      </c>
      <c r="J163" s="43" t="s">
        <v>190</v>
      </c>
      <c r="K163" s="43" t="str">
        <f t="shared" si="65"/>
        <v>Depreciação e Amortização</v>
      </c>
      <c r="Q163" s="39" t="s">
        <v>367</v>
      </c>
      <c r="R163" s="39" t="s">
        <v>342</v>
      </c>
      <c r="S163" s="39" t="str">
        <f t="shared" si="66"/>
        <v>Embarque Doméstico</v>
      </c>
      <c r="Y163" s="66" t="s">
        <v>415</v>
      </c>
      <c r="Z163" s="66" t="s">
        <v>397</v>
      </c>
      <c r="AA163" s="66" t="str">
        <f t="shared" si="47"/>
        <v>Cabotagem</v>
      </c>
    </row>
    <row r="164" spans="1:27" x14ac:dyDescent="0.35">
      <c r="A164" s="12" t="s">
        <v>17</v>
      </c>
      <c r="B164" s="12" t="s">
        <v>17</v>
      </c>
      <c r="C164" s="12" t="str">
        <f t="shared" si="53"/>
        <v>Econorte</v>
      </c>
      <c r="E164" s="16" t="s">
        <v>82</v>
      </c>
      <c r="F164" s="16" t="s">
        <v>198</v>
      </c>
      <c r="G164" s="16" t="str">
        <f t="shared" si="64"/>
        <v>Lucro Líquido</v>
      </c>
      <c r="I164" s="25" t="s">
        <v>87</v>
      </c>
      <c r="J164" s="48" t="s">
        <v>87</v>
      </c>
      <c r="K164" s="48" t="str">
        <f t="shared" si="65"/>
        <v>D&amp;A</v>
      </c>
      <c r="Q164" s="39" t="s">
        <v>355</v>
      </c>
      <c r="R164" s="39" t="s">
        <v>343</v>
      </c>
      <c r="S164" s="39" t="str">
        <f t="shared" si="66"/>
        <v>Embarque Internacional</v>
      </c>
      <c r="Y164" s="66" t="s">
        <v>427</v>
      </c>
      <c r="Z164" s="66" t="s">
        <v>398</v>
      </c>
      <c r="AA164" s="66" t="str">
        <f t="shared" si="47"/>
        <v>Aeroportos</v>
      </c>
    </row>
    <row r="165" spans="1:27" x14ac:dyDescent="0.35">
      <c r="A165" s="12" t="s">
        <v>76</v>
      </c>
      <c r="B165" s="12" t="s">
        <v>76</v>
      </c>
      <c r="C165" s="12" t="str">
        <f t="shared" si="53"/>
        <v>Convale</v>
      </c>
      <c r="E165" s="17" t="s">
        <v>312</v>
      </c>
      <c r="F165" s="17" t="s">
        <v>312</v>
      </c>
      <c r="G165" s="17" t="str">
        <f t="shared" si="64"/>
        <v>Rio Verde</v>
      </c>
      <c r="I165" s="25" t="s">
        <v>86</v>
      </c>
      <c r="J165" s="48" t="s">
        <v>204</v>
      </c>
      <c r="K165" s="48" t="str">
        <f t="shared" si="65"/>
        <v>Reavaliação</v>
      </c>
      <c r="Q165" s="39" t="s">
        <v>376</v>
      </c>
      <c r="R165" s="39" t="s">
        <v>344</v>
      </c>
      <c r="S165" s="39" t="str">
        <f t="shared" si="66"/>
        <v>Conexão</v>
      </c>
      <c r="Y165" s="66" t="s">
        <v>428</v>
      </c>
      <c r="Z165" s="66" t="s">
        <v>399</v>
      </c>
      <c r="AA165" s="66" t="str">
        <f t="shared" si="47"/>
        <v>Holding e Outros</v>
      </c>
    </row>
    <row r="166" spans="1:27" x14ac:dyDescent="0.35">
      <c r="A166" s="12" t="s">
        <v>600</v>
      </c>
      <c r="B166" s="12" t="s">
        <v>600</v>
      </c>
      <c r="C166" s="12" t="str">
        <f t="shared" si="53"/>
        <v>Concebra</v>
      </c>
      <c r="E166" s="17" t="s">
        <v>313</v>
      </c>
      <c r="F166" s="17" t="s">
        <v>313</v>
      </c>
      <c r="G166" s="17" t="str">
        <f t="shared" si="64"/>
        <v>Rio Canoas</v>
      </c>
      <c r="I166" s="39" t="s">
        <v>326</v>
      </c>
      <c r="J166" s="39" t="s">
        <v>326</v>
      </c>
      <c r="K166" s="39" t="str">
        <f t="shared" si="65"/>
        <v>Portonave</v>
      </c>
      <c r="Q166" s="40" t="s">
        <v>314</v>
      </c>
      <c r="R166" s="40" t="s">
        <v>364</v>
      </c>
      <c r="S166" s="40" t="str">
        <f t="shared" si="66"/>
        <v>Outras por WLU</v>
      </c>
      <c r="Y166" s="16" t="s">
        <v>72</v>
      </c>
      <c r="Z166" s="43" t="s">
        <v>190</v>
      </c>
      <c r="AA166" s="43" t="str">
        <f t="shared" si="47"/>
        <v>Depreciação e Amortização</v>
      </c>
    </row>
    <row r="167" spans="1:27" x14ac:dyDescent="0.35">
      <c r="A167" s="13" t="s">
        <v>621</v>
      </c>
      <c r="B167" s="13" t="s">
        <v>621</v>
      </c>
      <c r="C167" s="13" t="str">
        <f t="shared" ref="C167" si="69">IF($AG$1=1,B167,A167)</f>
        <v>Transbrasiliana</v>
      </c>
      <c r="E167" s="17" t="s">
        <v>626</v>
      </c>
      <c r="F167" s="17" t="s">
        <v>626</v>
      </c>
      <c r="G167" s="17" t="str">
        <f t="shared" ref="G167" si="70">IF($AG$1=1,F167,E167)</f>
        <v>Tijoá</v>
      </c>
      <c r="I167" s="25" t="s">
        <v>87</v>
      </c>
      <c r="J167" s="48" t="s">
        <v>87</v>
      </c>
      <c r="K167" s="48" t="str">
        <f t="shared" si="65"/>
        <v>D&amp;A</v>
      </c>
      <c r="Q167" s="38" t="s">
        <v>384</v>
      </c>
      <c r="R167" s="38" t="s">
        <v>345</v>
      </c>
      <c r="S167" s="38" t="str">
        <f t="shared" si="66"/>
        <v>Receita de Carga</v>
      </c>
      <c r="Y167" s="25" t="s">
        <v>87</v>
      </c>
      <c r="Z167" s="48" t="s">
        <v>87</v>
      </c>
      <c r="AA167" s="48" t="str">
        <f t="shared" si="47"/>
        <v>D&amp;A</v>
      </c>
    </row>
    <row r="168" spans="1:27" x14ac:dyDescent="0.35">
      <c r="A168" s="18" t="s">
        <v>72</v>
      </c>
      <c r="B168" s="18" t="s">
        <v>190</v>
      </c>
      <c r="C168" s="18" t="str">
        <f t="shared" si="53"/>
        <v>Depreciação e Amortização</v>
      </c>
      <c r="E168" s="22" t="s">
        <v>314</v>
      </c>
      <c r="F168" s="22" t="s">
        <v>319</v>
      </c>
      <c r="G168" s="22" t="str">
        <f t="shared" si="64"/>
        <v>Outros</v>
      </c>
      <c r="I168" s="25" t="s">
        <v>86</v>
      </c>
      <c r="J168" s="48" t="s">
        <v>204</v>
      </c>
      <c r="K168" s="48" t="str">
        <f t="shared" si="65"/>
        <v>Reavaliação</v>
      </c>
      <c r="Q168" s="50" t="s">
        <v>385</v>
      </c>
      <c r="R168" s="50" t="s">
        <v>361</v>
      </c>
      <c r="S168" s="50" t="str">
        <f t="shared" si="66"/>
        <v>Receita Comercial por WLU</v>
      </c>
      <c r="Y168" s="25" t="s">
        <v>86</v>
      </c>
      <c r="Z168" s="48" t="s">
        <v>204</v>
      </c>
      <c r="AA168" s="48" t="str">
        <f t="shared" si="47"/>
        <v>Reavaliação</v>
      </c>
    </row>
    <row r="169" spans="1:27" x14ac:dyDescent="0.35">
      <c r="A169" s="12" t="s">
        <v>15</v>
      </c>
      <c r="B169" s="12" t="s">
        <v>15</v>
      </c>
      <c r="C169" s="12" t="str">
        <f t="shared" si="53"/>
        <v>Concepa</v>
      </c>
      <c r="E169" s="16" t="s">
        <v>85</v>
      </c>
      <c r="F169" s="16" t="s">
        <v>199</v>
      </c>
      <c r="G169" s="16" t="str">
        <f t="shared" si="64"/>
        <v>EBITDA Ajustado</v>
      </c>
      <c r="I169" s="39" t="s">
        <v>327</v>
      </c>
      <c r="J169" s="39" t="s">
        <v>327</v>
      </c>
      <c r="K169" s="39" t="str">
        <f t="shared" si="65"/>
        <v>Iceport</v>
      </c>
      <c r="Q169" s="36" t="s">
        <v>122</v>
      </c>
      <c r="R169" s="36" t="s">
        <v>365</v>
      </c>
      <c r="S169" s="36" t="str">
        <f t="shared" si="66"/>
        <v>Crescimento Anual na Tarifa Média</v>
      </c>
      <c r="Y169" s="43" t="s">
        <v>79</v>
      </c>
      <c r="Z169" s="43" t="s">
        <v>194</v>
      </c>
      <c r="AA169" s="43" t="str">
        <f t="shared" si="47"/>
        <v>Resultado Financeiro</v>
      </c>
    </row>
    <row r="170" spans="1:27" x14ac:dyDescent="0.35">
      <c r="A170" s="12" t="s">
        <v>16</v>
      </c>
      <c r="B170" s="12" t="s">
        <v>16</v>
      </c>
      <c r="C170" s="12" t="str">
        <f t="shared" si="53"/>
        <v>Concer</v>
      </c>
      <c r="E170" s="17" t="s">
        <v>312</v>
      </c>
      <c r="F170" s="17" t="s">
        <v>312</v>
      </c>
      <c r="G170" s="17" t="str">
        <f t="shared" si="64"/>
        <v>Rio Verde</v>
      </c>
      <c r="I170" s="25" t="s">
        <v>87</v>
      </c>
      <c r="J170" s="48" t="s">
        <v>87</v>
      </c>
      <c r="K170" s="48" t="str">
        <f t="shared" si="65"/>
        <v>D&amp;A</v>
      </c>
      <c r="Q170" s="38" t="s">
        <v>383</v>
      </c>
      <c r="R170" s="38" t="s">
        <v>341</v>
      </c>
      <c r="S170" s="38" t="str">
        <f t="shared" si="66"/>
        <v>Receita de Passageiros</v>
      </c>
      <c r="Y170" s="34" t="s">
        <v>88</v>
      </c>
      <c r="Z170" s="34" t="s">
        <v>205</v>
      </c>
      <c r="AA170" s="34" t="str">
        <f t="shared" si="47"/>
        <v>Receitas</v>
      </c>
    </row>
    <row r="171" spans="1:27" x14ac:dyDescent="0.35">
      <c r="A171" s="12" t="s">
        <v>17</v>
      </c>
      <c r="B171" s="12" t="s">
        <v>17</v>
      </c>
      <c r="C171" s="12" t="str">
        <f t="shared" si="53"/>
        <v>Econorte</v>
      </c>
      <c r="E171" s="17" t="s">
        <v>313</v>
      </c>
      <c r="F171" s="17" t="s">
        <v>313</v>
      </c>
      <c r="G171" s="17" t="str">
        <f t="shared" si="64"/>
        <v>Rio Canoas</v>
      </c>
      <c r="I171" s="25" t="s">
        <v>86</v>
      </c>
      <c r="J171" s="48" t="s">
        <v>204</v>
      </c>
      <c r="K171" s="48" t="str">
        <f t="shared" si="65"/>
        <v>Reavaliação</v>
      </c>
      <c r="Q171" s="39" t="s">
        <v>367</v>
      </c>
      <c r="R171" s="39" t="s">
        <v>342</v>
      </c>
      <c r="S171" s="39" t="str">
        <f t="shared" si="66"/>
        <v>Embarque Doméstico</v>
      </c>
      <c r="Y171" s="34" t="s">
        <v>89</v>
      </c>
      <c r="Z171" s="34" t="s">
        <v>206</v>
      </c>
      <c r="AA171" s="34" t="str">
        <f t="shared" si="47"/>
        <v>Despesas</v>
      </c>
    </row>
    <row r="172" spans="1:27" x14ac:dyDescent="0.35">
      <c r="A172" s="12" t="s">
        <v>76</v>
      </c>
      <c r="B172" s="12" t="s">
        <v>76</v>
      </c>
      <c r="C172" s="12" t="str">
        <f t="shared" si="53"/>
        <v>Convale</v>
      </c>
      <c r="E172" s="17" t="s">
        <v>626</v>
      </c>
      <c r="F172" s="17" t="s">
        <v>626</v>
      </c>
      <c r="G172" s="17" t="str">
        <f t="shared" si="64"/>
        <v>Tijoá</v>
      </c>
      <c r="I172" s="39" t="s">
        <v>314</v>
      </c>
      <c r="J172" s="39" t="s">
        <v>319</v>
      </c>
      <c r="K172" s="39" t="str">
        <f t="shared" si="65"/>
        <v>Outros</v>
      </c>
      <c r="Q172" s="39" t="s">
        <v>355</v>
      </c>
      <c r="R172" s="39" t="s">
        <v>343</v>
      </c>
      <c r="S172" s="39" t="str">
        <f t="shared" si="66"/>
        <v>Embarque Internacional</v>
      </c>
      <c r="Y172" s="34" t="s">
        <v>334</v>
      </c>
      <c r="Z172" s="34" t="s">
        <v>331</v>
      </c>
      <c r="AA172" s="34" t="str">
        <f t="shared" si="47"/>
        <v>Variação Cambial</v>
      </c>
    </row>
    <row r="173" spans="1:27" x14ac:dyDescent="0.35">
      <c r="A173" s="12" t="s">
        <v>600</v>
      </c>
      <c r="B173" s="12" t="s">
        <v>600</v>
      </c>
      <c r="C173" s="12" t="str">
        <f t="shared" si="53"/>
        <v>Concebra</v>
      </c>
      <c r="E173" s="22" t="s">
        <v>314</v>
      </c>
      <c r="F173" s="22" t="s">
        <v>319</v>
      </c>
      <c r="G173" s="22" t="str">
        <f t="shared" si="64"/>
        <v>Outros</v>
      </c>
      <c r="I173" s="25" t="s">
        <v>87</v>
      </c>
      <c r="J173" s="48" t="s">
        <v>87</v>
      </c>
      <c r="K173" s="48" t="str">
        <f t="shared" si="65"/>
        <v>D&amp;A</v>
      </c>
      <c r="Q173" s="39" t="s">
        <v>376</v>
      </c>
      <c r="R173" s="39" t="s">
        <v>344</v>
      </c>
      <c r="S173" s="39" t="str">
        <f t="shared" si="66"/>
        <v>Conexão</v>
      </c>
      <c r="Y173" s="36" t="s">
        <v>96</v>
      </c>
      <c r="Z173" s="36" t="s">
        <v>150</v>
      </c>
      <c r="AA173" s="36" t="str">
        <f t="shared" si="47"/>
        <v>Provisão para Manutenção</v>
      </c>
    </row>
    <row r="174" spans="1:27" x14ac:dyDescent="0.35">
      <c r="A174" s="13" t="s">
        <v>621</v>
      </c>
      <c r="B174" s="13" t="s">
        <v>621</v>
      </c>
      <c r="C174" s="13" t="str">
        <f t="shared" ref="C174" si="71">IF($AG$1=1,B174,A174)</f>
        <v>Transbrasiliana</v>
      </c>
      <c r="I174" s="25" t="s">
        <v>86</v>
      </c>
      <c r="J174" s="49" t="s">
        <v>204</v>
      </c>
      <c r="K174" s="49" t="str">
        <f t="shared" si="65"/>
        <v>Reavaliação</v>
      </c>
      <c r="Q174" s="40" t="s">
        <v>314</v>
      </c>
      <c r="R174" s="40" t="s">
        <v>364</v>
      </c>
      <c r="S174" s="40" t="str">
        <f t="shared" si="66"/>
        <v>Outras por WLU</v>
      </c>
      <c r="Y174" s="36" t="s">
        <v>97</v>
      </c>
      <c r="Z174" s="36" t="s">
        <v>207</v>
      </c>
      <c r="AA174" s="36" t="str">
        <f t="shared" si="47"/>
        <v>Despesas Não Recorrentes</v>
      </c>
    </row>
    <row r="175" spans="1:27" x14ac:dyDescent="0.35">
      <c r="A175" s="18" t="s">
        <v>77</v>
      </c>
      <c r="B175" s="18" t="s">
        <v>323</v>
      </c>
      <c r="C175" s="18" t="str">
        <f t="shared" ref="C175:C220" si="72">IF($AG$1=1,B175,A175)</f>
        <v>Outras Receitas (Despesas) Operacionais</v>
      </c>
      <c r="I175" s="43" t="s">
        <v>79</v>
      </c>
      <c r="J175" s="43" t="s">
        <v>194</v>
      </c>
      <c r="K175" s="43" t="str">
        <f t="shared" si="65"/>
        <v>Resultado Financeiro</v>
      </c>
      <c r="Q175" s="38" t="s">
        <v>384</v>
      </c>
      <c r="R175" s="38" t="s">
        <v>345</v>
      </c>
      <c r="S175" s="38" t="str">
        <f t="shared" si="66"/>
        <v>Receita de Carga</v>
      </c>
      <c r="Y175" s="36" t="s">
        <v>112</v>
      </c>
      <c r="Z175" s="36" t="s">
        <v>208</v>
      </c>
      <c r="AA175" s="36" t="str">
        <f t="shared" si="47"/>
        <v>Dívida Líquida</v>
      </c>
    </row>
    <row r="176" spans="1:27" x14ac:dyDescent="0.35">
      <c r="A176" s="12" t="s">
        <v>15</v>
      </c>
      <c r="B176" s="12" t="s">
        <v>15</v>
      </c>
      <c r="C176" s="12" t="str">
        <f t="shared" si="72"/>
        <v>Concepa</v>
      </c>
      <c r="E176" s="24" t="s">
        <v>90</v>
      </c>
      <c r="F176" s="24" t="s">
        <v>200</v>
      </c>
      <c r="G176" s="24" t="str">
        <f t="shared" ref="G176:G213" si="73">IF($AG$1=1,F176,E176)</f>
        <v>Dados</v>
      </c>
      <c r="I176" s="34" t="s">
        <v>88</v>
      </c>
      <c r="J176" s="34" t="s">
        <v>205</v>
      </c>
      <c r="K176" s="34" t="str">
        <f t="shared" si="65"/>
        <v>Receitas</v>
      </c>
      <c r="Q176" s="50" t="s">
        <v>385</v>
      </c>
      <c r="R176" s="50" t="s">
        <v>361</v>
      </c>
      <c r="S176" s="50" t="str">
        <f t="shared" si="66"/>
        <v>Receita Comercial por WLU</v>
      </c>
      <c r="Y176" s="66" t="s">
        <v>64</v>
      </c>
      <c r="Z176" s="66" t="s">
        <v>394</v>
      </c>
      <c r="AA176" s="66" t="str">
        <f t="shared" si="47"/>
        <v>Concessões Rodoviárias</v>
      </c>
    </row>
    <row r="177" spans="1:27" x14ac:dyDescent="0.35">
      <c r="A177" s="12" t="s">
        <v>16</v>
      </c>
      <c r="B177" s="12" t="s">
        <v>16</v>
      </c>
      <c r="C177" s="12" t="str">
        <f t="shared" si="72"/>
        <v>Concer</v>
      </c>
      <c r="E177" s="16" t="s">
        <v>317</v>
      </c>
      <c r="F177" s="16" t="s">
        <v>324</v>
      </c>
      <c r="G177" s="16" t="str">
        <f t="shared" si="73"/>
        <v>Energia Assegurada Vendida(MWh)</v>
      </c>
      <c r="I177" s="34" t="s">
        <v>89</v>
      </c>
      <c r="J177" s="34" t="s">
        <v>206</v>
      </c>
      <c r="K177" s="34" t="str">
        <f t="shared" si="65"/>
        <v>Despesas</v>
      </c>
      <c r="Y177" s="39" t="s">
        <v>15</v>
      </c>
      <c r="Z177" s="39" t="s">
        <v>15</v>
      </c>
      <c r="AA177" s="39" t="str">
        <f t="shared" si="47"/>
        <v>Concepa</v>
      </c>
    </row>
    <row r="178" spans="1:27" x14ac:dyDescent="0.35">
      <c r="A178" s="12" t="s">
        <v>17</v>
      </c>
      <c r="B178" s="12" t="s">
        <v>17</v>
      </c>
      <c r="C178" s="12" t="str">
        <f t="shared" si="72"/>
        <v>Econorte</v>
      </c>
      <c r="E178" s="12" t="s">
        <v>312</v>
      </c>
      <c r="F178" s="12" t="s">
        <v>312</v>
      </c>
      <c r="G178" s="12" t="str">
        <f t="shared" si="73"/>
        <v>Rio Verde</v>
      </c>
      <c r="I178" s="50" t="s">
        <v>334</v>
      </c>
      <c r="J178" s="50" t="s">
        <v>331</v>
      </c>
      <c r="K178" s="50" t="str">
        <f t="shared" si="65"/>
        <v>Variação Cambial</v>
      </c>
      <c r="Y178" s="39" t="s">
        <v>16</v>
      </c>
      <c r="Z178" s="39" t="s">
        <v>16</v>
      </c>
      <c r="AA178" s="39" t="str">
        <f t="shared" si="47"/>
        <v>Concer</v>
      </c>
    </row>
    <row r="179" spans="1:27" x14ac:dyDescent="0.35">
      <c r="A179" s="12" t="s">
        <v>76</v>
      </c>
      <c r="B179" s="12" t="s">
        <v>76</v>
      </c>
      <c r="C179" s="12" t="str">
        <f t="shared" si="72"/>
        <v>Convale</v>
      </c>
      <c r="E179" s="12" t="s">
        <v>313</v>
      </c>
      <c r="F179" s="12" t="s">
        <v>313</v>
      </c>
      <c r="G179" s="12" t="str">
        <f t="shared" si="73"/>
        <v>Rio Canoas</v>
      </c>
      <c r="I179" s="16" t="s">
        <v>97</v>
      </c>
      <c r="J179" s="43" t="s">
        <v>207</v>
      </c>
      <c r="K179" s="43" t="str">
        <f t="shared" si="65"/>
        <v>Despesas Não Recorrentes</v>
      </c>
      <c r="Y179" s="39" t="s">
        <v>17</v>
      </c>
      <c r="Z179" s="39" t="s">
        <v>17</v>
      </c>
      <c r="AA179" s="39" t="str">
        <f t="shared" si="47"/>
        <v>Econorte</v>
      </c>
    </row>
    <row r="180" spans="1:27" x14ac:dyDescent="0.35">
      <c r="A180" s="12" t="s">
        <v>600</v>
      </c>
      <c r="B180" s="12" t="s">
        <v>600</v>
      </c>
      <c r="C180" s="12" t="str">
        <f t="shared" si="72"/>
        <v>Concebra</v>
      </c>
      <c r="E180" s="13" t="s">
        <v>314</v>
      </c>
      <c r="F180" s="13" t="s">
        <v>319</v>
      </c>
      <c r="G180" s="13" t="str">
        <f t="shared" si="73"/>
        <v>Outros</v>
      </c>
      <c r="I180" s="39" t="s">
        <v>326</v>
      </c>
      <c r="J180" s="39" t="s">
        <v>326</v>
      </c>
      <c r="K180" s="39" t="str">
        <f t="shared" si="65"/>
        <v>Portonave</v>
      </c>
      <c r="Y180" s="39" t="s">
        <v>600</v>
      </c>
      <c r="Z180" s="39" t="s">
        <v>600</v>
      </c>
      <c r="AA180" s="39" t="s">
        <v>600</v>
      </c>
    </row>
    <row r="181" spans="1:27" x14ac:dyDescent="0.35">
      <c r="A181" s="13" t="s">
        <v>621</v>
      </c>
      <c r="B181" s="13" t="s">
        <v>621</v>
      </c>
      <c r="C181" s="13" t="str">
        <f t="shared" ref="C181" si="74">IF($AG$1=1,B181,A181)</f>
        <v>Transbrasiliana</v>
      </c>
      <c r="E181" s="16" t="s">
        <v>120</v>
      </c>
      <c r="F181" s="16" t="s">
        <v>325</v>
      </c>
      <c r="G181" s="16" t="str">
        <f t="shared" si="73"/>
        <v>Participação</v>
      </c>
      <c r="I181" s="39" t="s">
        <v>327</v>
      </c>
      <c r="J181" s="39" t="s">
        <v>327</v>
      </c>
      <c r="K181" s="39" t="str">
        <f t="shared" si="65"/>
        <v>Iceport</v>
      </c>
      <c r="Y181" s="39" t="s">
        <v>621</v>
      </c>
      <c r="Z181" s="39" t="s">
        <v>621</v>
      </c>
      <c r="AA181" s="39" t="s">
        <v>621</v>
      </c>
    </row>
    <row r="182" spans="1:27" x14ac:dyDescent="0.35">
      <c r="A182" s="16" t="s">
        <v>81</v>
      </c>
      <c r="B182" s="16" t="s">
        <v>193</v>
      </c>
      <c r="C182" s="16" t="str">
        <f t="shared" si="72"/>
        <v>EBIT - Lucro Operacional</v>
      </c>
      <c r="E182" s="12" t="s">
        <v>312</v>
      </c>
      <c r="F182" s="12" t="s">
        <v>312</v>
      </c>
      <c r="G182" s="12" t="str">
        <f t="shared" si="73"/>
        <v>Rio Verde</v>
      </c>
      <c r="I182" s="40" t="s">
        <v>314</v>
      </c>
      <c r="J182" s="40" t="s">
        <v>319</v>
      </c>
      <c r="K182" s="40" t="str">
        <f t="shared" si="65"/>
        <v>Outros</v>
      </c>
      <c r="Y182" s="66" t="s">
        <v>414</v>
      </c>
      <c r="Z182" s="66" t="s">
        <v>395</v>
      </c>
      <c r="AA182" s="66" t="str">
        <f t="shared" si="47"/>
        <v>Energia</v>
      </c>
    </row>
    <row r="183" spans="1:27" x14ac:dyDescent="0.35">
      <c r="A183" s="17" t="s">
        <v>15</v>
      </c>
      <c r="B183" s="17" t="s">
        <v>15</v>
      </c>
      <c r="C183" s="17" t="str">
        <f t="shared" si="72"/>
        <v>Concepa</v>
      </c>
      <c r="E183" s="12" t="s">
        <v>313</v>
      </c>
      <c r="F183" s="12" t="s">
        <v>313</v>
      </c>
      <c r="G183" s="12" t="str">
        <f t="shared" si="73"/>
        <v>Rio Canoas</v>
      </c>
      <c r="I183" s="16" t="s">
        <v>112</v>
      </c>
      <c r="J183" s="43" t="s">
        <v>208</v>
      </c>
      <c r="K183" s="43" t="str">
        <f t="shared" si="65"/>
        <v>Dívida Líquida</v>
      </c>
      <c r="Y183" s="39" t="s">
        <v>312</v>
      </c>
      <c r="Z183" s="39" t="s">
        <v>312</v>
      </c>
      <c r="AA183" s="39" t="str">
        <f t="shared" si="47"/>
        <v>Rio Verde</v>
      </c>
    </row>
    <row r="184" spans="1:27" x14ac:dyDescent="0.35">
      <c r="A184" s="17" t="s">
        <v>16</v>
      </c>
      <c r="B184" s="17" t="s">
        <v>16</v>
      </c>
      <c r="C184" s="17" t="str">
        <f t="shared" si="72"/>
        <v>Concer</v>
      </c>
      <c r="E184" s="12" t="s">
        <v>626</v>
      </c>
      <c r="F184" s="12" t="s">
        <v>626</v>
      </c>
      <c r="G184" s="12" t="str">
        <f t="shared" ref="G184" si="75">IF($AG$1=1,F184,E184)</f>
        <v>Tijoá</v>
      </c>
      <c r="I184" s="39" t="s">
        <v>326</v>
      </c>
      <c r="J184" s="39" t="s">
        <v>326</v>
      </c>
      <c r="K184" s="39" t="str">
        <f t="shared" si="65"/>
        <v>Portonave</v>
      </c>
      <c r="Y184" s="39" t="s">
        <v>313</v>
      </c>
      <c r="Z184" s="39" t="s">
        <v>313</v>
      </c>
      <c r="AA184" s="39" t="str">
        <f t="shared" si="47"/>
        <v>Rio Canoas</v>
      </c>
    </row>
    <row r="185" spans="1:27" x14ac:dyDescent="0.35">
      <c r="A185" s="17" t="s">
        <v>17</v>
      </c>
      <c r="B185" s="17" t="s">
        <v>17</v>
      </c>
      <c r="C185" s="17" t="str">
        <f t="shared" si="72"/>
        <v>Econorte</v>
      </c>
      <c r="E185" s="16" t="s">
        <v>209</v>
      </c>
      <c r="F185" s="16" t="s">
        <v>209</v>
      </c>
      <c r="G185" s="16" t="str">
        <f t="shared" si="73"/>
        <v>Capex</v>
      </c>
      <c r="I185" s="39" t="s">
        <v>327</v>
      </c>
      <c r="J185" s="39" t="s">
        <v>327</v>
      </c>
      <c r="K185" s="39" t="str">
        <f t="shared" ref="K185:K208" si="76">IF($AG$1=1,J185,I185)</f>
        <v>Iceport</v>
      </c>
      <c r="Y185" s="39" t="s">
        <v>626</v>
      </c>
      <c r="Z185" s="39" t="s">
        <v>626</v>
      </c>
      <c r="AA185" s="39" t="s">
        <v>626</v>
      </c>
    </row>
    <row r="186" spans="1:27" x14ac:dyDescent="0.35">
      <c r="A186" s="17" t="s">
        <v>76</v>
      </c>
      <c r="B186" s="17" t="s">
        <v>76</v>
      </c>
      <c r="C186" s="17" t="str">
        <f t="shared" si="72"/>
        <v>Convale</v>
      </c>
      <c r="E186" s="12" t="s">
        <v>312</v>
      </c>
      <c r="F186" s="12" t="s">
        <v>312</v>
      </c>
      <c r="G186" s="12" t="str">
        <f t="shared" si="73"/>
        <v>Rio Verde</v>
      </c>
      <c r="I186" s="40" t="s">
        <v>314</v>
      </c>
      <c r="J186" s="40" t="s">
        <v>319</v>
      </c>
      <c r="K186" s="40" t="str">
        <f t="shared" si="76"/>
        <v>Outros</v>
      </c>
      <c r="Y186" s="39" t="s">
        <v>314</v>
      </c>
      <c r="Z186" s="39" t="s">
        <v>319</v>
      </c>
      <c r="AA186" s="39" t="str">
        <f t="shared" si="47"/>
        <v>Outros</v>
      </c>
    </row>
    <row r="187" spans="1:27" x14ac:dyDescent="0.35">
      <c r="A187" s="17" t="s">
        <v>600</v>
      </c>
      <c r="B187" s="17" t="s">
        <v>600</v>
      </c>
      <c r="C187" s="17" t="str">
        <f t="shared" ref="C187" si="77">IF($AG$1=1,B187,A187)</f>
        <v>Concebra</v>
      </c>
      <c r="E187" s="12" t="s">
        <v>313</v>
      </c>
      <c r="F187" s="12" t="s">
        <v>313</v>
      </c>
      <c r="G187" s="12" t="str">
        <f t="shared" si="73"/>
        <v>Rio Canoas</v>
      </c>
      <c r="I187" s="16" t="s">
        <v>91</v>
      </c>
      <c r="J187" s="43" t="s">
        <v>210</v>
      </c>
      <c r="K187" s="43" t="str">
        <f t="shared" si="76"/>
        <v>Patrimônio Líquido Ajustado</v>
      </c>
      <c r="Y187" s="66" t="s">
        <v>426</v>
      </c>
      <c r="Z187" s="66" t="s">
        <v>396</v>
      </c>
      <c r="AA187" s="66" t="str">
        <f t="shared" si="47"/>
        <v>Portos</v>
      </c>
    </row>
    <row r="188" spans="1:27" x14ac:dyDescent="0.35">
      <c r="A188" s="22" t="s">
        <v>621</v>
      </c>
      <c r="B188" s="22" t="s">
        <v>621</v>
      </c>
      <c r="C188" s="22" t="str">
        <f t="shared" ref="C188" si="78">IF($AG$1=1,B188,A188)</f>
        <v>Transbrasiliana</v>
      </c>
      <c r="E188" s="12" t="s">
        <v>626</v>
      </c>
      <c r="F188" s="12" t="s">
        <v>626</v>
      </c>
      <c r="G188" s="12" t="str">
        <f t="shared" si="73"/>
        <v>Tijoá</v>
      </c>
      <c r="I188" s="7" t="s">
        <v>92</v>
      </c>
      <c r="J188" s="34" t="s">
        <v>211</v>
      </c>
      <c r="K188" s="34" t="str">
        <f t="shared" si="76"/>
        <v>(+) Patrimônio Líquido</v>
      </c>
      <c r="Y188" s="39" t="s">
        <v>326</v>
      </c>
      <c r="Z188" s="39" t="s">
        <v>326</v>
      </c>
      <c r="AA188" s="39" t="str">
        <f t="shared" si="47"/>
        <v>Portonave</v>
      </c>
    </row>
    <row r="189" spans="1:27" x14ac:dyDescent="0.35">
      <c r="A189" s="2" t="s">
        <v>79</v>
      </c>
      <c r="B189" s="2" t="s">
        <v>194</v>
      </c>
      <c r="C189" s="2" t="str">
        <f t="shared" si="72"/>
        <v>Resultado Financeiro</v>
      </c>
      <c r="E189" s="13" t="s">
        <v>314</v>
      </c>
      <c r="F189" s="13" t="s">
        <v>319</v>
      </c>
      <c r="G189" s="13" t="str">
        <f t="shared" si="73"/>
        <v>Outros</v>
      </c>
      <c r="I189" s="7" t="s">
        <v>463</v>
      </c>
      <c r="J189" s="34" t="s">
        <v>464</v>
      </c>
      <c r="K189" s="34" t="str">
        <f t="shared" si="76"/>
        <v>(-) Ágio em transações de capital: Vetria</v>
      </c>
      <c r="Y189" s="39" t="s">
        <v>327</v>
      </c>
      <c r="Z189" s="39" t="s">
        <v>327</v>
      </c>
      <c r="AA189" s="39" t="str">
        <f t="shared" si="47"/>
        <v>Iceport</v>
      </c>
    </row>
    <row r="190" spans="1:27" x14ac:dyDescent="0.35">
      <c r="A190" s="10" t="s">
        <v>15</v>
      </c>
      <c r="B190" s="10" t="s">
        <v>15</v>
      </c>
      <c r="C190" s="10" t="str">
        <f t="shared" si="72"/>
        <v>Concepa</v>
      </c>
      <c r="E190" s="16" t="s">
        <v>72</v>
      </c>
      <c r="F190" s="16" t="s">
        <v>190</v>
      </c>
      <c r="G190" s="16" t="str">
        <f t="shared" si="73"/>
        <v>Depreciação e Amortização</v>
      </c>
      <c r="I190" s="27" t="s">
        <v>94</v>
      </c>
      <c r="J190" s="50" t="s">
        <v>215</v>
      </c>
      <c r="K190" s="50" t="str">
        <f t="shared" si="76"/>
        <v>(-) Ajuste de Avaliação Patrimonial Líquida</v>
      </c>
      <c r="Y190" s="39" t="s">
        <v>314</v>
      </c>
      <c r="Z190" s="39" t="s">
        <v>319</v>
      </c>
      <c r="AA190" s="39" t="str">
        <f t="shared" si="47"/>
        <v>Outros</v>
      </c>
    </row>
    <row r="191" spans="1:27" x14ac:dyDescent="0.35">
      <c r="A191" s="10" t="s">
        <v>16</v>
      </c>
      <c r="B191" s="10" t="s">
        <v>16</v>
      </c>
      <c r="C191" s="10" t="str">
        <f t="shared" si="72"/>
        <v>Concer</v>
      </c>
      <c r="E191" s="25" t="s">
        <v>87</v>
      </c>
      <c r="F191" s="25" t="s">
        <v>87</v>
      </c>
      <c r="G191" s="25" t="str">
        <f t="shared" si="73"/>
        <v>D&amp;A</v>
      </c>
      <c r="I191" s="16" t="s">
        <v>85</v>
      </c>
      <c r="J191" s="43" t="s">
        <v>199</v>
      </c>
      <c r="K191" s="43" t="str">
        <f t="shared" si="76"/>
        <v>EBITDA Ajustado</v>
      </c>
      <c r="Y191" s="66" t="s">
        <v>415</v>
      </c>
      <c r="Z191" s="66" t="s">
        <v>397</v>
      </c>
      <c r="AA191" s="66" t="str">
        <f t="shared" si="47"/>
        <v>Cabotagem</v>
      </c>
    </row>
    <row r="192" spans="1:27" x14ac:dyDescent="0.35">
      <c r="A192" s="10" t="s">
        <v>17</v>
      </c>
      <c r="B192" s="10" t="s">
        <v>17</v>
      </c>
      <c r="C192" s="10" t="str">
        <f t="shared" si="72"/>
        <v>Econorte</v>
      </c>
      <c r="E192" s="25" t="s">
        <v>86</v>
      </c>
      <c r="F192" s="25" t="s">
        <v>204</v>
      </c>
      <c r="G192" s="25" t="str">
        <f t="shared" si="73"/>
        <v>Reavaliação</v>
      </c>
      <c r="I192" s="7" t="s">
        <v>95</v>
      </c>
      <c r="J192" s="34" t="s">
        <v>95</v>
      </c>
      <c r="K192" s="34" t="str">
        <f t="shared" si="76"/>
        <v>(+) EBIT</v>
      </c>
      <c r="Y192" s="66" t="s">
        <v>427</v>
      </c>
      <c r="Z192" s="66" t="s">
        <v>398</v>
      </c>
      <c r="AA192" s="66" t="str">
        <f t="shared" ref="AA192:AA233" si="79">IF($AG$1=1,Z192,Y192)</f>
        <v>Aeroportos</v>
      </c>
    </row>
    <row r="193" spans="1:27" x14ac:dyDescent="0.35">
      <c r="A193" s="10" t="s">
        <v>600</v>
      </c>
      <c r="B193" s="10" t="s">
        <v>600</v>
      </c>
      <c r="C193" s="10" t="str">
        <f t="shared" ref="C193" si="80">IF($AG$1=1,B193,A193)</f>
        <v>Concebra</v>
      </c>
      <c r="E193" s="12" t="s">
        <v>312</v>
      </c>
      <c r="F193" s="12" t="s">
        <v>312</v>
      </c>
      <c r="G193" s="12" t="str">
        <f t="shared" si="73"/>
        <v>Rio Verde</v>
      </c>
      <c r="I193" s="7" t="s">
        <v>98</v>
      </c>
      <c r="J193" s="34" t="s">
        <v>218</v>
      </c>
      <c r="K193" s="34" t="str">
        <f t="shared" si="76"/>
        <v>(+) Depreciação e Amortização</v>
      </c>
      <c r="Y193" s="66" t="s">
        <v>428</v>
      </c>
      <c r="Z193" s="66" t="s">
        <v>399</v>
      </c>
      <c r="AA193" s="66" t="str">
        <f t="shared" si="79"/>
        <v>Holding e Outros</v>
      </c>
    </row>
    <row r="194" spans="1:27" x14ac:dyDescent="0.35">
      <c r="A194" s="10" t="s">
        <v>621</v>
      </c>
      <c r="B194" s="10" t="s">
        <v>621</v>
      </c>
      <c r="C194" s="10" t="str">
        <f t="shared" ref="C194" si="81">IF($AG$1=1,B194,A194)</f>
        <v>Transbrasiliana</v>
      </c>
      <c r="E194" s="25" t="s">
        <v>87</v>
      </c>
      <c r="F194" s="25" t="s">
        <v>87</v>
      </c>
      <c r="G194" s="25" t="str">
        <f t="shared" si="73"/>
        <v>D&amp;A</v>
      </c>
      <c r="I194" s="27" t="s">
        <v>99</v>
      </c>
      <c r="J194" s="50" t="s">
        <v>220</v>
      </c>
      <c r="K194" s="50" t="str">
        <f t="shared" si="76"/>
        <v>(+) Despesas Não Recorrentes</v>
      </c>
      <c r="Y194" s="43" t="s">
        <v>348</v>
      </c>
      <c r="Z194" s="43" t="s">
        <v>347</v>
      </c>
      <c r="AA194" s="43" t="str">
        <f t="shared" si="79"/>
        <v>Receita Líquida Ajustada</v>
      </c>
    </row>
    <row r="195" spans="1:27" x14ac:dyDescent="0.35">
      <c r="A195" s="2" t="s">
        <v>80</v>
      </c>
      <c r="B195" s="2" t="s">
        <v>195</v>
      </c>
      <c r="C195" s="2" t="str">
        <f t="shared" si="72"/>
        <v>Imposto sobre o Lucro</v>
      </c>
      <c r="E195" s="25" t="s">
        <v>86</v>
      </c>
      <c r="F195" s="25" t="s">
        <v>204</v>
      </c>
      <c r="G195" s="25" t="str">
        <f t="shared" si="73"/>
        <v>Reavaliação</v>
      </c>
      <c r="I195" s="16" t="s">
        <v>103</v>
      </c>
      <c r="J195" s="43" t="s">
        <v>221</v>
      </c>
      <c r="K195" s="43" t="str">
        <f t="shared" si="76"/>
        <v>NCG: Necessidade de Capital de Giro</v>
      </c>
      <c r="Y195" s="34" t="s">
        <v>409</v>
      </c>
      <c r="Z195" s="34" t="s">
        <v>408</v>
      </c>
      <c r="AA195" s="34" t="str">
        <f t="shared" si="79"/>
        <v>(+) Receita Líquida</v>
      </c>
    </row>
    <row r="196" spans="1:27" x14ac:dyDescent="0.35">
      <c r="A196" s="10" t="s">
        <v>15</v>
      </c>
      <c r="B196" s="10" t="s">
        <v>15</v>
      </c>
      <c r="C196" s="10" t="str">
        <f t="shared" si="72"/>
        <v>Concepa</v>
      </c>
      <c r="E196" s="12" t="s">
        <v>313</v>
      </c>
      <c r="F196" s="12" t="s">
        <v>313</v>
      </c>
      <c r="G196" s="12" t="str">
        <f t="shared" si="73"/>
        <v>Rio Canoas</v>
      </c>
      <c r="I196" s="7" t="s">
        <v>104</v>
      </c>
      <c r="J196" s="34" t="s">
        <v>222</v>
      </c>
      <c r="K196" s="34" t="str">
        <f t="shared" si="76"/>
        <v>(+) Ativo Operacional Circulante</v>
      </c>
      <c r="Y196" s="34" t="s">
        <v>410</v>
      </c>
      <c r="Z196" s="34" t="s">
        <v>406</v>
      </c>
      <c r="AA196" s="34" t="str">
        <f t="shared" si="79"/>
        <v>(-) Receita de Construção</v>
      </c>
    </row>
    <row r="197" spans="1:27" x14ac:dyDescent="0.35">
      <c r="A197" s="23" t="s">
        <v>83</v>
      </c>
      <c r="B197" s="23" t="s">
        <v>196</v>
      </c>
      <c r="C197" s="23" t="str">
        <f t="shared" si="72"/>
        <v>Corrente</v>
      </c>
      <c r="E197" s="25" t="s">
        <v>87</v>
      </c>
      <c r="F197" s="25" t="s">
        <v>87</v>
      </c>
      <c r="G197" s="25" t="str">
        <f t="shared" si="73"/>
        <v>D&amp;A</v>
      </c>
      <c r="I197" s="27" t="s">
        <v>105</v>
      </c>
      <c r="J197" s="50" t="s">
        <v>223</v>
      </c>
      <c r="K197" s="50" t="str">
        <f t="shared" si="76"/>
        <v>(-) Passivo Operacional Circulante</v>
      </c>
      <c r="Y197" s="34" t="s">
        <v>611</v>
      </c>
      <c r="Z197" s="34" t="s">
        <v>612</v>
      </c>
      <c r="AA197" s="34" t="str">
        <f t="shared" si="79"/>
        <v>(+) Margem de Construção</v>
      </c>
    </row>
    <row r="198" spans="1:27" x14ac:dyDescent="0.35">
      <c r="A198" s="23" t="s">
        <v>84</v>
      </c>
      <c r="B198" s="23" t="s">
        <v>197</v>
      </c>
      <c r="C198" s="23" t="str">
        <f t="shared" si="72"/>
        <v>Diferido</v>
      </c>
      <c r="E198" s="25" t="s">
        <v>86</v>
      </c>
      <c r="F198" s="25" t="s">
        <v>204</v>
      </c>
      <c r="G198" s="25" t="str">
        <f t="shared" si="73"/>
        <v>Reavaliação</v>
      </c>
      <c r="I198" s="16" t="s">
        <v>102</v>
      </c>
      <c r="J198" s="43" t="s">
        <v>224</v>
      </c>
      <c r="K198" s="43" t="str">
        <f t="shared" si="76"/>
        <v>Ativo Operacional</v>
      </c>
      <c r="Y198" s="43" t="s">
        <v>91</v>
      </c>
      <c r="Z198" s="43" t="s">
        <v>210</v>
      </c>
      <c r="AA198" s="43" t="str">
        <f t="shared" si="79"/>
        <v>Patrimônio Líquido Ajustado</v>
      </c>
    </row>
    <row r="199" spans="1:27" x14ac:dyDescent="0.35">
      <c r="A199" s="10" t="s">
        <v>16</v>
      </c>
      <c r="B199" s="10" t="s">
        <v>16</v>
      </c>
      <c r="C199" s="10" t="str">
        <f t="shared" si="72"/>
        <v>Concer</v>
      </c>
      <c r="E199" s="12" t="s">
        <v>626</v>
      </c>
      <c r="F199" s="12" t="s">
        <v>626</v>
      </c>
      <c r="G199" s="12" t="str">
        <f t="shared" ref="G199:G201" si="82">IF($AG$1=1,F199,E199)</f>
        <v>Tijoá</v>
      </c>
      <c r="I199" s="7" t="s">
        <v>106</v>
      </c>
      <c r="J199" s="34" t="s">
        <v>226</v>
      </c>
      <c r="K199" s="34" t="str">
        <f t="shared" si="76"/>
        <v>(+)  Imobilizado Líquido</v>
      </c>
      <c r="Y199" s="34" t="s">
        <v>92</v>
      </c>
      <c r="Z199" s="34" t="s">
        <v>211</v>
      </c>
      <c r="AA199" s="34" t="str">
        <f t="shared" si="79"/>
        <v>(+) Patrimônio Líquido</v>
      </c>
    </row>
    <row r="200" spans="1:27" x14ac:dyDescent="0.35">
      <c r="A200" s="23" t="s">
        <v>83</v>
      </c>
      <c r="B200" s="23" t="s">
        <v>196</v>
      </c>
      <c r="C200" s="23" t="str">
        <f t="shared" si="72"/>
        <v>Corrente</v>
      </c>
      <c r="E200" s="25" t="s">
        <v>87</v>
      </c>
      <c r="F200" s="25" t="s">
        <v>87</v>
      </c>
      <c r="G200" s="25" t="str">
        <f t="shared" si="82"/>
        <v>D&amp;A</v>
      </c>
      <c r="I200" s="7" t="s">
        <v>107</v>
      </c>
      <c r="J200" s="34" t="s">
        <v>225</v>
      </c>
      <c r="K200" s="34" t="str">
        <f t="shared" si="76"/>
        <v>(+)  Intangível Líquido</v>
      </c>
      <c r="Y200" s="34" t="s">
        <v>212</v>
      </c>
      <c r="Z200" s="34" t="s">
        <v>214</v>
      </c>
      <c r="AA200" s="34" t="str">
        <f t="shared" si="79"/>
        <v>(-) Reserva de Reavaliação Líquida</v>
      </c>
    </row>
    <row r="201" spans="1:27" x14ac:dyDescent="0.35">
      <c r="A201" s="23" t="s">
        <v>84</v>
      </c>
      <c r="B201" s="23" t="s">
        <v>197</v>
      </c>
      <c r="C201" s="23" t="str">
        <f t="shared" si="72"/>
        <v>Diferido</v>
      </c>
      <c r="E201" s="25" t="s">
        <v>86</v>
      </c>
      <c r="F201" s="25" t="s">
        <v>204</v>
      </c>
      <c r="G201" s="25" t="str">
        <f t="shared" si="82"/>
        <v>Reavaliação</v>
      </c>
      <c r="I201" s="7" t="s">
        <v>108</v>
      </c>
      <c r="J201" s="34" t="s">
        <v>227</v>
      </c>
      <c r="K201" s="34" t="str">
        <f t="shared" si="76"/>
        <v>(+)  NCG</v>
      </c>
      <c r="Y201" s="50" t="s">
        <v>216</v>
      </c>
      <c r="Z201" s="50" t="s">
        <v>215</v>
      </c>
      <c r="AA201" s="50" t="str">
        <f t="shared" si="79"/>
        <v>(-) Ajuste de Avaliação Patrimonial Líquida</v>
      </c>
    </row>
    <row r="202" spans="1:27" x14ac:dyDescent="0.35">
      <c r="A202" s="10" t="s">
        <v>17</v>
      </c>
      <c r="B202" s="10" t="s">
        <v>17</v>
      </c>
      <c r="C202" s="10" t="str">
        <f t="shared" si="72"/>
        <v>Econorte</v>
      </c>
      <c r="E202" s="12" t="s">
        <v>314</v>
      </c>
      <c r="F202" s="12" t="s">
        <v>319</v>
      </c>
      <c r="G202" s="12" t="str">
        <f t="shared" si="73"/>
        <v>Outros</v>
      </c>
      <c r="I202" s="16" t="s">
        <v>110</v>
      </c>
      <c r="J202" s="43" t="s">
        <v>110</v>
      </c>
      <c r="K202" s="43" t="str">
        <f t="shared" si="76"/>
        <v>NOPAT</v>
      </c>
      <c r="Y202" s="43" t="s">
        <v>85</v>
      </c>
      <c r="Z202" s="43" t="s">
        <v>199</v>
      </c>
      <c r="AA202" s="43" t="str">
        <f t="shared" si="79"/>
        <v>EBITDA Ajustado</v>
      </c>
    </row>
    <row r="203" spans="1:27" x14ac:dyDescent="0.35">
      <c r="A203" s="23" t="s">
        <v>83</v>
      </c>
      <c r="B203" s="23" t="s">
        <v>196</v>
      </c>
      <c r="C203" s="23" t="str">
        <f t="shared" si="72"/>
        <v>Corrente</v>
      </c>
      <c r="E203" s="25" t="s">
        <v>87</v>
      </c>
      <c r="F203" s="25" t="s">
        <v>87</v>
      </c>
      <c r="G203" s="25" t="str">
        <f t="shared" si="73"/>
        <v>D&amp;A</v>
      </c>
      <c r="I203" s="7" t="s">
        <v>118</v>
      </c>
      <c r="J203" s="34" t="s">
        <v>228</v>
      </c>
      <c r="K203" s="34" t="str">
        <f t="shared" si="76"/>
        <v>(*1-) Impostos</v>
      </c>
      <c r="Y203" s="34" t="s">
        <v>95</v>
      </c>
      <c r="Z203" s="34" t="s">
        <v>95</v>
      </c>
      <c r="AA203" s="34" t="str">
        <f t="shared" si="79"/>
        <v>(+) EBIT</v>
      </c>
    </row>
    <row r="204" spans="1:27" x14ac:dyDescent="0.35">
      <c r="A204" s="23" t="s">
        <v>84</v>
      </c>
      <c r="B204" s="23" t="s">
        <v>197</v>
      </c>
      <c r="C204" s="23" t="str">
        <f t="shared" si="72"/>
        <v>Diferido</v>
      </c>
      <c r="E204" s="26" t="s">
        <v>86</v>
      </c>
      <c r="F204" s="25" t="s">
        <v>204</v>
      </c>
      <c r="G204" s="26" t="str">
        <f t="shared" si="73"/>
        <v>Reavaliação</v>
      </c>
      <c r="I204" s="7" t="s">
        <v>462</v>
      </c>
      <c r="J204" s="34" t="s">
        <v>461</v>
      </c>
      <c r="K204" s="34" t="str">
        <f t="shared" si="76"/>
        <v>(=) EBIT Ajustado antes do D&amp;A Reavaliação</v>
      </c>
      <c r="Y204" s="34" t="s">
        <v>98</v>
      </c>
      <c r="Z204" s="34" t="s">
        <v>218</v>
      </c>
      <c r="AA204" s="34" t="str">
        <f t="shared" si="79"/>
        <v>(+) Depreciação e Amortização</v>
      </c>
    </row>
    <row r="205" spans="1:27" x14ac:dyDescent="0.35">
      <c r="A205" s="10" t="s">
        <v>600</v>
      </c>
      <c r="B205" s="10" t="s">
        <v>600</v>
      </c>
      <c r="C205" s="10" t="str">
        <f t="shared" ref="C205:C207" si="83">IF($AG$1=1,B205,A205)</f>
        <v>Concebra</v>
      </c>
      <c r="E205" s="16" t="s">
        <v>79</v>
      </c>
      <c r="F205" s="16" t="s">
        <v>194</v>
      </c>
      <c r="G205" s="16" t="str">
        <f t="shared" si="73"/>
        <v>Resultado Financeiro</v>
      </c>
      <c r="I205" s="12" t="s">
        <v>460</v>
      </c>
      <c r="J205" s="39" t="s">
        <v>455</v>
      </c>
      <c r="K205" s="39" t="str">
        <f t="shared" si="76"/>
        <v>(+) EBIT Ajustado</v>
      </c>
      <c r="Y205" s="34" t="s">
        <v>100</v>
      </c>
      <c r="Z205" s="34" t="s">
        <v>219</v>
      </c>
      <c r="AA205" s="34" t="str">
        <f t="shared" si="79"/>
        <v>(+) Provisão para Manutenção</v>
      </c>
    </row>
    <row r="206" spans="1:27" x14ac:dyDescent="0.35">
      <c r="A206" s="23" t="s">
        <v>83</v>
      </c>
      <c r="B206" s="23" t="s">
        <v>196</v>
      </c>
      <c r="C206" s="23" t="str">
        <f t="shared" si="83"/>
        <v>Corrente</v>
      </c>
      <c r="E206" s="7" t="s">
        <v>88</v>
      </c>
      <c r="F206" s="7" t="s">
        <v>205</v>
      </c>
      <c r="G206" s="7" t="str">
        <f t="shared" si="73"/>
        <v>Receitas</v>
      </c>
      <c r="I206" s="25" t="s">
        <v>458</v>
      </c>
      <c r="J206" s="25" t="s">
        <v>459</v>
      </c>
      <c r="K206" s="25" t="str">
        <f t="shared" si="76"/>
        <v>(+) EBITDA Ajustado</v>
      </c>
      <c r="Y206" s="34" t="s">
        <v>99</v>
      </c>
      <c r="Z206" s="34" t="s">
        <v>220</v>
      </c>
      <c r="AA206" s="34" t="str">
        <f t="shared" si="79"/>
        <v>(+) Despesas Não Recorrentes</v>
      </c>
    </row>
    <row r="207" spans="1:27" x14ac:dyDescent="0.35">
      <c r="A207" s="23" t="s">
        <v>84</v>
      </c>
      <c r="B207" s="23" t="s">
        <v>197</v>
      </c>
      <c r="C207" s="23" t="str">
        <f t="shared" si="83"/>
        <v>Diferido</v>
      </c>
      <c r="E207" s="27" t="s">
        <v>89</v>
      </c>
      <c r="F207" s="27" t="s">
        <v>206</v>
      </c>
      <c r="G207" s="27" t="str">
        <f t="shared" si="73"/>
        <v>Despesas</v>
      </c>
      <c r="I207" s="25" t="s">
        <v>456</v>
      </c>
      <c r="J207" s="25" t="s">
        <v>457</v>
      </c>
      <c r="K207" s="25" t="str">
        <f t="shared" si="76"/>
        <v>(-) Depreciação e Amortização</v>
      </c>
      <c r="Y207" s="34" t="s">
        <v>592</v>
      </c>
      <c r="Z207" s="34" t="s">
        <v>516</v>
      </c>
      <c r="AA207" s="34" t="str">
        <f t="shared" si="79"/>
        <v>(+) EBITDA de Operações Descontinuadas</v>
      </c>
    </row>
    <row r="208" spans="1:27" x14ac:dyDescent="0.35">
      <c r="A208" s="10" t="s">
        <v>621</v>
      </c>
      <c r="B208" s="10" t="s">
        <v>621</v>
      </c>
      <c r="C208" s="10" t="str">
        <f t="shared" ref="C208:C210" si="84">IF($AG$1=1,B208,A208)</f>
        <v>Transbrasiliana</v>
      </c>
      <c r="E208" s="16" t="s">
        <v>97</v>
      </c>
      <c r="F208" s="16" t="s">
        <v>207</v>
      </c>
      <c r="G208" s="16" t="str">
        <f t="shared" si="73"/>
        <v>Despesas Não Recorrentes</v>
      </c>
      <c r="I208" s="13" t="s">
        <v>109</v>
      </c>
      <c r="J208" s="40" t="s">
        <v>229</v>
      </c>
      <c r="K208" s="40" t="str">
        <f t="shared" si="76"/>
        <v>(+) D&amp;A Reavaliação</v>
      </c>
      <c r="Y208" s="34" t="s">
        <v>615</v>
      </c>
      <c r="Z208" s="34" t="s">
        <v>613</v>
      </c>
      <c r="AA208" s="34" t="str">
        <f>IF($AG$1=1,Z208,Y208)</f>
        <v>(-) Receita de Construção: Viracopos</v>
      </c>
    </row>
    <row r="209" spans="1:27" x14ac:dyDescent="0.35">
      <c r="A209" s="23" t="s">
        <v>83</v>
      </c>
      <c r="B209" s="23" t="s">
        <v>196</v>
      </c>
      <c r="C209" s="23" t="str">
        <f t="shared" si="84"/>
        <v>Corrente</v>
      </c>
      <c r="E209" s="12" t="s">
        <v>312</v>
      </c>
      <c r="F209" s="12" t="s">
        <v>312</v>
      </c>
      <c r="G209" s="12" t="str">
        <f t="shared" si="73"/>
        <v>Rio Verde</v>
      </c>
      <c r="Y209" s="34" t="s">
        <v>616</v>
      </c>
      <c r="Z209" s="34" t="s">
        <v>614</v>
      </c>
      <c r="AA209" s="34" t="str">
        <f t="shared" si="79"/>
        <v>(+) Custo de Construção: Viracopos</v>
      </c>
    </row>
    <row r="210" spans="1:27" x14ac:dyDescent="0.35">
      <c r="A210" s="23" t="s">
        <v>84</v>
      </c>
      <c r="B210" s="23" t="s">
        <v>197</v>
      </c>
      <c r="C210" s="23" t="str">
        <f t="shared" si="84"/>
        <v>Diferido</v>
      </c>
      <c r="E210" s="12" t="s">
        <v>313</v>
      </c>
      <c r="F210" s="12" t="s">
        <v>313</v>
      </c>
      <c r="G210" s="12" t="str">
        <f t="shared" si="73"/>
        <v>Rio Canoas</v>
      </c>
      <c r="Y210" s="34" t="s">
        <v>617</v>
      </c>
      <c r="Z210" s="34" t="s">
        <v>619</v>
      </c>
      <c r="AA210" s="34" t="str">
        <f>IF($AG$1=1,Z210,Y210)</f>
        <v>(-) Receita de Construção: Concebra</v>
      </c>
    </row>
    <row r="211" spans="1:27" x14ac:dyDescent="0.35">
      <c r="A211" s="16" t="s">
        <v>82</v>
      </c>
      <c r="B211" s="16" t="s">
        <v>198</v>
      </c>
      <c r="C211" s="16" t="str">
        <f t="shared" si="72"/>
        <v>Lucro Líquido</v>
      </c>
      <c r="E211" s="12" t="s">
        <v>626</v>
      </c>
      <c r="F211" s="12" t="s">
        <v>626</v>
      </c>
      <c r="G211" s="12" t="str">
        <f t="shared" ref="G211" si="85">IF($AG$1=1,F211,E211)</f>
        <v>Tijoá</v>
      </c>
      <c r="I211" s="24" t="s">
        <v>123</v>
      </c>
      <c r="J211" s="47" t="s">
        <v>201</v>
      </c>
      <c r="K211" s="47" t="str">
        <f t="shared" ref="K211:K230" si="86">IF($AG$1=1,J211,I211)</f>
        <v>Dados Relevantes</v>
      </c>
      <c r="Y211" s="34" t="s">
        <v>618</v>
      </c>
      <c r="Z211" s="34" t="s">
        <v>620</v>
      </c>
      <c r="AA211" s="34" t="str">
        <f t="shared" ref="AA211" si="87">IF($AG$1=1,Z211,Y211)</f>
        <v>(+) Custo de Construção: Concebra</v>
      </c>
    </row>
    <row r="212" spans="1:27" x14ac:dyDescent="0.35">
      <c r="A212" s="17" t="s">
        <v>15</v>
      </c>
      <c r="B212" s="17" t="s">
        <v>15</v>
      </c>
      <c r="C212" s="17" t="str">
        <f t="shared" si="72"/>
        <v>Concepa</v>
      </c>
      <c r="E212" s="13" t="s">
        <v>314</v>
      </c>
      <c r="F212" s="13" t="s">
        <v>319</v>
      </c>
      <c r="G212" s="13" t="str">
        <f t="shared" si="73"/>
        <v>Outros</v>
      </c>
      <c r="I212" s="51" t="s">
        <v>101</v>
      </c>
      <c r="J212" s="51" t="s">
        <v>101</v>
      </c>
      <c r="K212" s="51" t="str">
        <f t="shared" si="86"/>
        <v>ROAE</v>
      </c>
      <c r="Y212" s="43" t="s">
        <v>446</v>
      </c>
      <c r="Z212" s="43" t="s">
        <v>439</v>
      </c>
      <c r="AA212" s="43" t="str">
        <f t="shared" ref="AA212:AA219" si="88">IF($AG$1=1,Z212,Y212)</f>
        <v>Lucro Base de Dividendos</v>
      </c>
    </row>
    <row r="213" spans="1:27" x14ac:dyDescent="0.35">
      <c r="A213" s="17" t="s">
        <v>16</v>
      </c>
      <c r="B213" s="17" t="s">
        <v>16</v>
      </c>
      <c r="C213" s="17" t="str">
        <f t="shared" si="72"/>
        <v>Concer</v>
      </c>
      <c r="E213" s="16" t="s">
        <v>112</v>
      </c>
      <c r="F213" s="16" t="s">
        <v>208</v>
      </c>
      <c r="G213" s="16" t="str">
        <f t="shared" si="73"/>
        <v>Dívida Líquida</v>
      </c>
      <c r="I213" s="52" t="s">
        <v>111</v>
      </c>
      <c r="J213" s="52" t="s">
        <v>111</v>
      </c>
      <c r="K213" s="52" t="str">
        <f t="shared" si="86"/>
        <v>ROIC</v>
      </c>
      <c r="Y213" s="34" t="s">
        <v>447</v>
      </c>
      <c r="Z213" s="34" t="s">
        <v>440</v>
      </c>
      <c r="AA213" s="34" t="str">
        <f t="shared" si="88"/>
        <v>(+) Lucro/Prejuízo Líquido</v>
      </c>
    </row>
    <row r="214" spans="1:27" x14ac:dyDescent="0.35">
      <c r="A214" s="17" t="s">
        <v>17</v>
      </c>
      <c r="B214" s="17" t="s">
        <v>17</v>
      </c>
      <c r="C214" s="17" t="str">
        <f t="shared" si="72"/>
        <v>Econorte</v>
      </c>
      <c r="E214" s="12" t="s">
        <v>312</v>
      </c>
      <c r="F214" s="12" t="s">
        <v>312</v>
      </c>
      <c r="G214" s="12" t="str">
        <f t="shared" ref="G214:G239" si="89">IF($AG$1=1,F214,E214)</f>
        <v>Rio Verde</v>
      </c>
      <c r="I214" s="53" t="s">
        <v>117</v>
      </c>
      <c r="J214" s="53" t="s">
        <v>117</v>
      </c>
      <c r="K214" s="53" t="str">
        <f t="shared" si="86"/>
        <v>ROAA</v>
      </c>
      <c r="Y214" s="34" t="s">
        <v>627</v>
      </c>
      <c r="Z214" s="34" t="s">
        <v>628</v>
      </c>
      <c r="AA214" s="34" t="str">
        <f t="shared" si="88"/>
        <v>(+) Outros Efeitos</v>
      </c>
    </row>
    <row r="215" spans="1:27" x14ac:dyDescent="0.35">
      <c r="A215" s="17" t="s">
        <v>76</v>
      </c>
      <c r="B215" s="17" t="s">
        <v>76</v>
      </c>
      <c r="C215" s="17" t="str">
        <f t="shared" si="72"/>
        <v>Convale</v>
      </c>
      <c r="E215" s="12" t="s">
        <v>313</v>
      </c>
      <c r="F215" s="12" t="s">
        <v>313</v>
      </c>
      <c r="G215" s="12" t="str">
        <f t="shared" si="89"/>
        <v>Rio Canoas</v>
      </c>
      <c r="I215" s="16" t="s">
        <v>113</v>
      </c>
      <c r="J215" s="43" t="s">
        <v>230</v>
      </c>
      <c r="K215" s="43" t="str">
        <f t="shared" si="86"/>
        <v>Margem Bruta</v>
      </c>
      <c r="Y215" s="34" t="s">
        <v>448</v>
      </c>
      <c r="Z215" s="34" t="s">
        <v>441</v>
      </c>
      <c r="AA215" s="34" t="str">
        <f t="shared" si="88"/>
        <v>(+) Ajustes de exercícios anteriores</v>
      </c>
    </row>
    <row r="216" spans="1:27" x14ac:dyDescent="0.35">
      <c r="A216" s="17" t="s">
        <v>600</v>
      </c>
      <c r="B216" s="17" t="s">
        <v>600</v>
      </c>
      <c r="C216" s="17" t="str">
        <f t="shared" ref="C216" si="90">IF($AG$1=1,B216,A216)</f>
        <v>Concebra</v>
      </c>
      <c r="E216" s="12" t="s">
        <v>626</v>
      </c>
      <c r="F216" s="12" t="s">
        <v>626</v>
      </c>
      <c r="G216" s="12" t="str">
        <f t="shared" si="89"/>
        <v>Tijoá</v>
      </c>
      <c r="I216" s="39" t="s">
        <v>326</v>
      </c>
      <c r="J216" s="39" t="s">
        <v>326</v>
      </c>
      <c r="K216" s="39" t="str">
        <f t="shared" si="86"/>
        <v>Portonave</v>
      </c>
      <c r="Y216" s="34" t="s">
        <v>449</v>
      </c>
      <c r="Z216" s="34" t="s">
        <v>442</v>
      </c>
      <c r="AA216" s="34" t="str">
        <f t="shared" si="88"/>
        <v>(+) Compensação de prejuizos acumulados</v>
      </c>
    </row>
    <row r="217" spans="1:27" x14ac:dyDescent="0.35">
      <c r="A217" s="22" t="s">
        <v>621</v>
      </c>
      <c r="B217" s="22" t="s">
        <v>621</v>
      </c>
      <c r="C217" s="22" t="str">
        <f t="shared" ref="C217" si="91">IF($AG$1=1,B217,A217)</f>
        <v>Transbrasiliana</v>
      </c>
      <c r="E217" s="13" t="s">
        <v>314</v>
      </c>
      <c r="F217" s="13" t="s">
        <v>319</v>
      </c>
      <c r="G217" s="13" t="str">
        <f t="shared" si="89"/>
        <v>Outros</v>
      </c>
      <c r="I217" s="39" t="s">
        <v>327</v>
      </c>
      <c r="J217" s="39" t="s">
        <v>327</v>
      </c>
      <c r="K217" s="39" t="str">
        <f t="shared" si="86"/>
        <v>Iceport</v>
      </c>
      <c r="Y217" s="34" t="s">
        <v>450</v>
      </c>
      <c r="Z217" s="34" t="s">
        <v>443</v>
      </c>
      <c r="AA217" s="34" t="str">
        <f t="shared" si="88"/>
        <v>(+) Realização da Reserva de Reavaliação Reflexa</v>
      </c>
    </row>
    <row r="218" spans="1:27" x14ac:dyDescent="0.35">
      <c r="A218" s="16" t="s">
        <v>85</v>
      </c>
      <c r="B218" s="16" t="s">
        <v>199</v>
      </c>
      <c r="C218" s="16" t="str">
        <f t="shared" si="72"/>
        <v>EBITDA Ajustado</v>
      </c>
      <c r="E218" s="16" t="s">
        <v>91</v>
      </c>
      <c r="F218" s="16" t="s">
        <v>210</v>
      </c>
      <c r="G218" s="16" t="str">
        <f t="shared" si="89"/>
        <v>Patrimônio Líquido Ajustado</v>
      </c>
      <c r="I218" s="40" t="s">
        <v>314</v>
      </c>
      <c r="J218" s="40" t="s">
        <v>319</v>
      </c>
      <c r="K218" s="40" t="str">
        <f t="shared" si="86"/>
        <v>Outros</v>
      </c>
      <c r="Y218" s="34" t="s">
        <v>451</v>
      </c>
      <c r="Z218" s="34" t="s">
        <v>444</v>
      </c>
      <c r="AA218" s="34" t="str">
        <f t="shared" si="88"/>
        <v>(+) Realização do Ajuste de Avaliação Patrimonial</v>
      </c>
    </row>
    <row r="219" spans="1:27" x14ac:dyDescent="0.35">
      <c r="A219" s="17" t="s">
        <v>15</v>
      </c>
      <c r="B219" s="17" t="s">
        <v>15</v>
      </c>
      <c r="C219" s="17" t="str">
        <f t="shared" si="72"/>
        <v>Concepa</v>
      </c>
      <c r="E219" s="7" t="s">
        <v>92</v>
      </c>
      <c r="F219" s="7" t="s">
        <v>211</v>
      </c>
      <c r="G219" s="7" t="str">
        <f t="shared" si="89"/>
        <v>(+) Patrimônio Líquido</v>
      </c>
      <c r="I219" s="16" t="s">
        <v>114</v>
      </c>
      <c r="J219" s="43" t="s">
        <v>231</v>
      </c>
      <c r="K219" s="43" t="str">
        <f t="shared" si="86"/>
        <v>Margem EBITDA</v>
      </c>
      <c r="Y219" s="34" t="s">
        <v>452</v>
      </c>
      <c r="Z219" s="34" t="s">
        <v>445</v>
      </c>
      <c r="AA219" s="34" t="str">
        <f t="shared" si="88"/>
        <v>(+) Constituição da Reserva Legal (5%)</v>
      </c>
    </row>
    <row r="220" spans="1:27" x14ac:dyDescent="0.35">
      <c r="A220" s="17" t="s">
        <v>16</v>
      </c>
      <c r="B220" s="17" t="s">
        <v>16</v>
      </c>
      <c r="C220" s="17" t="str">
        <f t="shared" si="72"/>
        <v>Concer</v>
      </c>
      <c r="E220" s="7" t="s">
        <v>93</v>
      </c>
      <c r="F220" s="7" t="s">
        <v>214</v>
      </c>
      <c r="G220" s="7" t="str">
        <f t="shared" si="89"/>
        <v>(-) Reserva de Reavaliação Líquida</v>
      </c>
      <c r="I220" s="39" t="s">
        <v>326</v>
      </c>
      <c r="J220" s="39" t="s">
        <v>326</v>
      </c>
      <c r="K220" s="39" t="str">
        <f t="shared" si="86"/>
        <v>Portonave</v>
      </c>
      <c r="Y220" s="16" t="s">
        <v>103</v>
      </c>
      <c r="Z220" s="43" t="s">
        <v>221</v>
      </c>
      <c r="AA220" s="43" t="str">
        <f t="shared" si="79"/>
        <v>NCG: Necessidade de Capital de Giro</v>
      </c>
    </row>
    <row r="221" spans="1:27" x14ac:dyDescent="0.35">
      <c r="A221" s="17" t="s">
        <v>17</v>
      </c>
      <c r="B221" s="17" t="s">
        <v>17</v>
      </c>
      <c r="C221" s="17" t="str">
        <f t="shared" ref="C221:C223" si="92">IF($AG$1=1,B221,A221)</f>
        <v>Econorte</v>
      </c>
      <c r="E221" s="27" t="s">
        <v>94</v>
      </c>
      <c r="F221" s="27" t="s">
        <v>215</v>
      </c>
      <c r="G221" s="27" t="str">
        <f t="shared" si="89"/>
        <v>(-) Ajuste de Avaliação Patrimonial Líquida</v>
      </c>
      <c r="I221" s="39" t="s">
        <v>327</v>
      </c>
      <c r="J221" s="39" t="s">
        <v>327</v>
      </c>
      <c r="K221" s="39" t="str">
        <f t="shared" si="86"/>
        <v>Iceport</v>
      </c>
      <c r="Y221" s="7" t="s">
        <v>104</v>
      </c>
      <c r="Z221" s="34" t="s">
        <v>222</v>
      </c>
      <c r="AA221" s="34" t="str">
        <f t="shared" si="79"/>
        <v>(+) Ativo Operacional Circulante</v>
      </c>
    </row>
    <row r="222" spans="1:27" x14ac:dyDescent="0.35">
      <c r="A222" s="17" t="s">
        <v>76</v>
      </c>
      <c r="B222" s="17" t="s">
        <v>76</v>
      </c>
      <c r="C222" s="17" t="str">
        <f t="shared" si="92"/>
        <v>Convale</v>
      </c>
      <c r="E222" s="16" t="s">
        <v>85</v>
      </c>
      <c r="F222" s="16" t="s">
        <v>199</v>
      </c>
      <c r="G222" s="16" t="str">
        <f t="shared" si="89"/>
        <v>EBITDA Ajustado</v>
      </c>
      <c r="I222" s="40" t="s">
        <v>314</v>
      </c>
      <c r="J222" s="40" t="s">
        <v>319</v>
      </c>
      <c r="K222" s="40" t="str">
        <f t="shared" si="86"/>
        <v>Outros</v>
      </c>
      <c r="Y222" s="27" t="s">
        <v>105</v>
      </c>
      <c r="Z222" s="50" t="s">
        <v>223</v>
      </c>
      <c r="AA222" s="50" t="str">
        <f t="shared" si="79"/>
        <v>(-) Passivo Operacional Circulante</v>
      </c>
    </row>
    <row r="223" spans="1:27" x14ac:dyDescent="0.35">
      <c r="A223" s="17" t="s">
        <v>600</v>
      </c>
      <c r="B223" s="17" t="s">
        <v>600</v>
      </c>
      <c r="C223" s="17" t="str">
        <f t="shared" si="92"/>
        <v>Concebra</v>
      </c>
      <c r="E223" s="7" t="s">
        <v>95</v>
      </c>
      <c r="F223" s="7" t="s">
        <v>95</v>
      </c>
      <c r="G223" s="7" t="str">
        <f t="shared" si="89"/>
        <v>(+) EBIT</v>
      </c>
      <c r="I223" s="16" t="s">
        <v>115</v>
      </c>
      <c r="J223" s="43" t="s">
        <v>232</v>
      </c>
      <c r="K223" s="43" t="str">
        <f t="shared" si="86"/>
        <v>Margem Líquida</v>
      </c>
      <c r="Y223" s="16" t="s">
        <v>102</v>
      </c>
      <c r="Z223" s="43" t="s">
        <v>224</v>
      </c>
      <c r="AA223" s="43" t="str">
        <f t="shared" si="79"/>
        <v>Ativo Operacional</v>
      </c>
    </row>
    <row r="224" spans="1:27" x14ac:dyDescent="0.35">
      <c r="A224" s="22" t="s">
        <v>621</v>
      </c>
      <c r="B224" s="22" t="s">
        <v>621</v>
      </c>
      <c r="C224" s="22" t="str">
        <f t="shared" ref="C224" si="93">IF($AG$1=1,B224,A224)</f>
        <v>Transbrasiliana</v>
      </c>
      <c r="E224" s="7" t="s">
        <v>98</v>
      </c>
      <c r="F224" s="7" t="s">
        <v>218</v>
      </c>
      <c r="G224" s="7" t="str">
        <f t="shared" si="89"/>
        <v>(+) Depreciação e Amortização</v>
      </c>
      <c r="I224" s="39" t="s">
        <v>326</v>
      </c>
      <c r="J224" s="39" t="s">
        <v>326</v>
      </c>
      <c r="K224" s="39" t="str">
        <f t="shared" si="86"/>
        <v>Portonave</v>
      </c>
      <c r="Y224" s="7" t="s">
        <v>106</v>
      </c>
      <c r="Z224" s="34" t="s">
        <v>226</v>
      </c>
      <c r="AA224" s="34" t="str">
        <f t="shared" si="79"/>
        <v>(+)  Imobilizado Líquido</v>
      </c>
    </row>
    <row r="225" spans="1:27" x14ac:dyDescent="0.35">
      <c r="E225" s="27" t="s">
        <v>99</v>
      </c>
      <c r="F225" s="27" t="s">
        <v>220</v>
      </c>
      <c r="G225" s="27" t="str">
        <f t="shared" si="89"/>
        <v>(+) Despesas Não Recorrentes</v>
      </c>
      <c r="I225" s="39" t="s">
        <v>327</v>
      </c>
      <c r="J225" s="39" t="s">
        <v>327</v>
      </c>
      <c r="K225" s="39" t="str">
        <f t="shared" si="86"/>
        <v>Iceport</v>
      </c>
      <c r="Y225" s="7" t="s">
        <v>107</v>
      </c>
      <c r="Z225" s="34" t="s">
        <v>225</v>
      </c>
      <c r="AA225" s="34" t="str">
        <f t="shared" si="79"/>
        <v>(+)  Intangível Líquido</v>
      </c>
    </row>
    <row r="226" spans="1:27" x14ac:dyDescent="0.35">
      <c r="E226" s="16" t="s">
        <v>103</v>
      </c>
      <c r="F226" s="16" t="s">
        <v>221</v>
      </c>
      <c r="G226" s="16" t="str">
        <f t="shared" si="89"/>
        <v>NCG: Necessidade de Capital de Giro</v>
      </c>
      <c r="I226" s="40" t="s">
        <v>314</v>
      </c>
      <c r="J226" s="40" t="s">
        <v>319</v>
      </c>
      <c r="K226" s="40" t="str">
        <f t="shared" si="86"/>
        <v>Outros</v>
      </c>
      <c r="Y226" s="7" t="s">
        <v>108</v>
      </c>
      <c r="Z226" s="34" t="s">
        <v>227</v>
      </c>
      <c r="AA226" s="34" t="str">
        <f t="shared" si="79"/>
        <v>(+)  NCG</v>
      </c>
    </row>
    <row r="227" spans="1:27" x14ac:dyDescent="0.35">
      <c r="A227" s="24" t="s">
        <v>90</v>
      </c>
      <c r="B227" s="24" t="s">
        <v>200</v>
      </c>
      <c r="C227" s="24" t="str">
        <f t="shared" ref="C227:C285" si="94">IF($AG$1=1,B227,A227)</f>
        <v>Dados</v>
      </c>
      <c r="E227" s="7" t="s">
        <v>104</v>
      </c>
      <c r="F227" s="7" t="s">
        <v>222</v>
      </c>
      <c r="G227" s="7" t="str">
        <f t="shared" si="89"/>
        <v>(+) Ativo Operacional Circulante</v>
      </c>
      <c r="I227" s="16" t="s">
        <v>121</v>
      </c>
      <c r="J227" s="43" t="s">
        <v>233</v>
      </c>
      <c r="K227" s="43" t="str">
        <f t="shared" si="86"/>
        <v>Tarifa Média</v>
      </c>
      <c r="Y227" s="16" t="s">
        <v>110</v>
      </c>
      <c r="Z227" s="43" t="s">
        <v>110</v>
      </c>
      <c r="AA227" s="43" t="str">
        <f t="shared" si="79"/>
        <v>NOPAT</v>
      </c>
    </row>
    <row r="228" spans="1:27" x14ac:dyDescent="0.35">
      <c r="A228" s="16" t="s">
        <v>119</v>
      </c>
      <c r="B228" s="16" t="s">
        <v>202</v>
      </c>
      <c r="C228" s="16" t="str">
        <f t="shared" si="94"/>
        <v>Volumes de Tráfego (000 veículos equivalentes)</v>
      </c>
      <c r="E228" s="27" t="s">
        <v>105</v>
      </c>
      <c r="F228" s="27" t="s">
        <v>223</v>
      </c>
      <c r="G228" s="27" t="str">
        <f t="shared" si="89"/>
        <v>(-) Passivo Operacional Circulante</v>
      </c>
      <c r="I228" s="39" t="s">
        <v>326</v>
      </c>
      <c r="J228" s="39" t="s">
        <v>326</v>
      </c>
      <c r="K228" s="39" t="str">
        <f t="shared" si="86"/>
        <v>Portonave</v>
      </c>
      <c r="Y228" s="7" t="s">
        <v>118</v>
      </c>
      <c r="Z228" s="34" t="s">
        <v>228</v>
      </c>
      <c r="AA228" s="34" t="str">
        <f t="shared" si="79"/>
        <v>(*1-) Impostos</v>
      </c>
    </row>
    <row r="229" spans="1:27" x14ac:dyDescent="0.35">
      <c r="A229" s="12" t="s">
        <v>15</v>
      </c>
      <c r="B229" s="12" t="s">
        <v>15</v>
      </c>
      <c r="C229" s="12" t="str">
        <f t="shared" si="94"/>
        <v>Concepa</v>
      </c>
      <c r="E229" s="16" t="s">
        <v>102</v>
      </c>
      <c r="F229" s="16" t="s">
        <v>224</v>
      </c>
      <c r="G229" s="16" t="str">
        <f t="shared" si="89"/>
        <v>Ativo Operacional</v>
      </c>
      <c r="I229" s="16" t="s">
        <v>122</v>
      </c>
      <c r="J229" s="43" t="s">
        <v>234</v>
      </c>
      <c r="K229" s="43" t="str">
        <f t="shared" si="86"/>
        <v>Crescimento Anual da Tarifa Média</v>
      </c>
      <c r="Y229" s="7" t="s">
        <v>462</v>
      </c>
      <c r="Z229" s="34" t="s">
        <v>461</v>
      </c>
      <c r="AA229" s="34" t="str">
        <f t="shared" si="79"/>
        <v>(=) EBIT Ajustado antes do D&amp;A Reavaliação</v>
      </c>
    </row>
    <row r="230" spans="1:27" x14ac:dyDescent="0.35">
      <c r="A230" s="12" t="s">
        <v>16</v>
      </c>
      <c r="B230" s="12" t="s">
        <v>16</v>
      </c>
      <c r="C230" s="12" t="str">
        <f t="shared" si="94"/>
        <v>Concer</v>
      </c>
      <c r="E230" s="7" t="s">
        <v>106</v>
      </c>
      <c r="F230" s="7" t="s">
        <v>226</v>
      </c>
      <c r="G230" s="7" t="str">
        <f t="shared" si="89"/>
        <v>(+)  Imobilizado Líquido</v>
      </c>
      <c r="I230" s="40" t="s">
        <v>326</v>
      </c>
      <c r="J230" s="40" t="s">
        <v>326</v>
      </c>
      <c r="K230" s="40" t="str">
        <f t="shared" si="86"/>
        <v>Portonave</v>
      </c>
      <c r="Y230" s="12" t="s">
        <v>460</v>
      </c>
      <c r="Z230" s="39" t="s">
        <v>455</v>
      </c>
      <c r="AA230" s="39" t="str">
        <f t="shared" si="79"/>
        <v>(+) EBIT Ajustado</v>
      </c>
    </row>
    <row r="231" spans="1:27" x14ac:dyDescent="0.35">
      <c r="A231" s="12" t="s">
        <v>17</v>
      </c>
      <c r="B231" s="12" t="s">
        <v>17</v>
      </c>
      <c r="C231" s="12" t="str">
        <f t="shared" si="94"/>
        <v>Econorte</v>
      </c>
      <c r="E231" s="7" t="s">
        <v>107</v>
      </c>
      <c r="F231" s="7" t="s">
        <v>225</v>
      </c>
      <c r="G231" s="7" t="str">
        <f t="shared" si="89"/>
        <v>(+)  Intangível Líquido</v>
      </c>
      <c r="Y231" s="25" t="s">
        <v>458</v>
      </c>
      <c r="Z231" s="25" t="s">
        <v>459</v>
      </c>
      <c r="AA231" s="25" t="str">
        <f t="shared" si="79"/>
        <v>(+) EBITDA Ajustado</v>
      </c>
    </row>
    <row r="232" spans="1:27" x14ac:dyDescent="0.35">
      <c r="A232" s="12" t="s">
        <v>600</v>
      </c>
      <c r="B232" s="12" t="s">
        <v>600</v>
      </c>
      <c r="C232" s="12" t="str">
        <f t="shared" ref="C232" si="95">IF($AG$1=1,B232,A232)</f>
        <v>Concebra</v>
      </c>
      <c r="E232" s="7" t="s">
        <v>108</v>
      </c>
      <c r="F232" s="7" t="s">
        <v>227</v>
      </c>
      <c r="G232" s="7" t="str">
        <f t="shared" si="89"/>
        <v>(+)  NCG</v>
      </c>
      <c r="Y232" s="25" t="s">
        <v>456</v>
      </c>
      <c r="Z232" s="25" t="s">
        <v>457</v>
      </c>
      <c r="AA232" s="25" t="str">
        <f t="shared" si="79"/>
        <v>(-) Depreciação e Amortização</v>
      </c>
    </row>
    <row r="233" spans="1:27" x14ac:dyDescent="0.35">
      <c r="A233" s="12" t="s">
        <v>621</v>
      </c>
      <c r="B233" s="12" t="s">
        <v>621</v>
      </c>
      <c r="C233" s="12" t="str">
        <f t="shared" ref="C233" si="96">IF($AG$1=1,B233,A233)</f>
        <v>Transbrasiliana</v>
      </c>
      <c r="E233" s="16" t="s">
        <v>110</v>
      </c>
      <c r="F233" s="16" t="s">
        <v>110</v>
      </c>
      <c r="G233" s="16" t="str">
        <f t="shared" si="89"/>
        <v>NOPAT</v>
      </c>
      <c r="Y233" s="13" t="s">
        <v>109</v>
      </c>
      <c r="Z233" s="40" t="s">
        <v>229</v>
      </c>
      <c r="AA233" s="40" t="str">
        <f t="shared" si="79"/>
        <v>(+) D&amp;A Reavaliação</v>
      </c>
    </row>
    <row r="234" spans="1:27" x14ac:dyDescent="0.35">
      <c r="A234" s="16" t="s">
        <v>120</v>
      </c>
      <c r="B234" s="16" t="s">
        <v>203</v>
      </c>
      <c r="C234" s="16" t="str">
        <f t="shared" si="94"/>
        <v>Participação Societária</v>
      </c>
      <c r="E234" s="7" t="s">
        <v>118</v>
      </c>
      <c r="F234" s="7" t="s">
        <v>228</v>
      </c>
      <c r="G234" s="7" t="str">
        <f t="shared" si="89"/>
        <v>(*1-) Impostos</v>
      </c>
    </row>
    <row r="235" spans="1:27" x14ac:dyDescent="0.35">
      <c r="A235" s="12" t="s">
        <v>15</v>
      </c>
      <c r="B235" s="12" t="s">
        <v>15</v>
      </c>
      <c r="C235" s="12" t="str">
        <f t="shared" si="94"/>
        <v>Concepa</v>
      </c>
      <c r="E235" s="7" t="s">
        <v>462</v>
      </c>
      <c r="F235" s="34" t="s">
        <v>461</v>
      </c>
      <c r="G235" s="7" t="str">
        <f t="shared" si="89"/>
        <v>(=) EBIT Ajustado antes do D&amp;A Reavaliação</v>
      </c>
    </row>
    <row r="236" spans="1:27" x14ac:dyDescent="0.35">
      <c r="A236" s="12" t="s">
        <v>16</v>
      </c>
      <c r="B236" s="12" t="s">
        <v>16</v>
      </c>
      <c r="C236" s="12" t="str">
        <f t="shared" si="94"/>
        <v>Concer</v>
      </c>
      <c r="E236" s="12" t="s">
        <v>460</v>
      </c>
      <c r="F236" s="39" t="s">
        <v>455</v>
      </c>
      <c r="G236" s="12" t="str">
        <f t="shared" si="89"/>
        <v>(+) EBIT Ajustado</v>
      </c>
      <c r="Y236" s="47" t="s">
        <v>123</v>
      </c>
      <c r="Z236" s="47" t="s">
        <v>201</v>
      </c>
      <c r="AA236" s="47" t="str">
        <f t="shared" ref="AA236:AA244" si="97">IF($AG$1=1,Z236,Y236)</f>
        <v>Dados Relevantes</v>
      </c>
    </row>
    <row r="237" spans="1:27" x14ac:dyDescent="0.35">
      <c r="A237" s="12" t="s">
        <v>17</v>
      </c>
      <c r="B237" s="12" t="s">
        <v>17</v>
      </c>
      <c r="C237" s="12" t="str">
        <f t="shared" si="94"/>
        <v>Econorte</v>
      </c>
      <c r="E237" s="25" t="s">
        <v>458</v>
      </c>
      <c r="F237" s="25" t="s">
        <v>459</v>
      </c>
      <c r="G237" s="25" t="str">
        <f t="shared" si="89"/>
        <v>(+) EBITDA Ajustado</v>
      </c>
      <c r="Y237" s="51" t="s">
        <v>101</v>
      </c>
      <c r="Z237" s="51" t="s">
        <v>101</v>
      </c>
      <c r="AA237" s="51" t="str">
        <f t="shared" si="97"/>
        <v>ROAE</v>
      </c>
    </row>
    <row r="238" spans="1:27" x14ac:dyDescent="0.35">
      <c r="A238" s="12" t="s">
        <v>600</v>
      </c>
      <c r="B238" s="12" t="s">
        <v>600</v>
      </c>
      <c r="C238" s="12" t="str">
        <f t="shared" si="94"/>
        <v>Concebra</v>
      </c>
      <c r="E238" s="25" t="s">
        <v>456</v>
      </c>
      <c r="F238" s="25" t="s">
        <v>457</v>
      </c>
      <c r="G238" s="25" t="str">
        <f t="shared" si="89"/>
        <v>(-) Depreciação e Amortização</v>
      </c>
      <c r="Y238" s="52" t="s">
        <v>111</v>
      </c>
      <c r="Z238" s="52" t="s">
        <v>111</v>
      </c>
      <c r="AA238" s="52" t="str">
        <f t="shared" si="97"/>
        <v>ROIC</v>
      </c>
    </row>
    <row r="239" spans="1:27" x14ac:dyDescent="0.35">
      <c r="A239" s="12" t="s">
        <v>621</v>
      </c>
      <c r="B239" s="12" t="s">
        <v>621</v>
      </c>
      <c r="C239" s="12" t="str">
        <f t="shared" si="94"/>
        <v>Transbrasiliana</v>
      </c>
      <c r="E239" s="13" t="s">
        <v>109</v>
      </c>
      <c r="F239" s="13" t="s">
        <v>229</v>
      </c>
      <c r="G239" s="13" t="str">
        <f t="shared" si="89"/>
        <v>(+) D&amp;A Reavaliação</v>
      </c>
      <c r="Y239" s="52" t="s">
        <v>117</v>
      </c>
      <c r="Z239" s="52" t="s">
        <v>117</v>
      </c>
      <c r="AA239" s="52" t="str">
        <f t="shared" si="97"/>
        <v>ROAA</v>
      </c>
    </row>
    <row r="240" spans="1:27" x14ac:dyDescent="0.35">
      <c r="A240" s="16" t="s">
        <v>209</v>
      </c>
      <c r="B240" s="16" t="s">
        <v>209</v>
      </c>
      <c r="C240" s="16" t="str">
        <f t="shared" si="94"/>
        <v>Capex</v>
      </c>
      <c r="Y240" s="51" t="s">
        <v>467</v>
      </c>
      <c r="Z240" s="51" t="s">
        <v>465</v>
      </c>
      <c r="AA240" s="51" t="str">
        <f t="shared" ref="AA240:AA241" si="98">IF($AG$1=1,Z240,Y240)</f>
        <v>ROAE Ajustado (base dividendos)</v>
      </c>
    </row>
    <row r="241" spans="1:27" x14ac:dyDescent="0.35">
      <c r="A241" s="12" t="s">
        <v>15</v>
      </c>
      <c r="B241" s="12" t="s">
        <v>15</v>
      </c>
      <c r="C241" s="12" t="str">
        <f t="shared" si="94"/>
        <v>Concepa</v>
      </c>
      <c r="Y241" s="53" t="s">
        <v>468</v>
      </c>
      <c r="Z241" s="53" t="s">
        <v>466</v>
      </c>
      <c r="AA241" s="53" t="str">
        <f t="shared" si="98"/>
        <v>ROAA Ajustado (base dividendos)</v>
      </c>
    </row>
    <row r="242" spans="1:27" x14ac:dyDescent="0.35">
      <c r="A242" s="12" t="s">
        <v>16</v>
      </c>
      <c r="B242" s="12" t="s">
        <v>16</v>
      </c>
      <c r="C242" s="12" t="str">
        <f t="shared" si="94"/>
        <v>Concer</v>
      </c>
      <c r="E242" s="24" t="s">
        <v>123</v>
      </c>
      <c r="F242" s="24" t="s">
        <v>201</v>
      </c>
      <c r="G242" s="24" t="str">
        <f t="shared" ref="G242:G263" si="99">IF($AG$1=1,F242,E242)</f>
        <v>Dados Relevantes</v>
      </c>
      <c r="Y242" s="36" t="s">
        <v>113</v>
      </c>
      <c r="Z242" s="36" t="s">
        <v>230</v>
      </c>
      <c r="AA242" s="36" t="str">
        <f t="shared" si="97"/>
        <v>Margem Bruta</v>
      </c>
    </row>
    <row r="243" spans="1:27" x14ac:dyDescent="0.35">
      <c r="A243" s="12" t="s">
        <v>17</v>
      </c>
      <c r="B243" s="12" t="s">
        <v>17</v>
      </c>
      <c r="C243" s="12" t="str">
        <f t="shared" si="94"/>
        <v>Econorte</v>
      </c>
      <c r="E243" s="11" t="s">
        <v>101</v>
      </c>
      <c r="F243" s="11" t="s">
        <v>101</v>
      </c>
      <c r="G243" s="11" t="str">
        <f t="shared" si="99"/>
        <v>ROAE</v>
      </c>
      <c r="Y243" s="36" t="s">
        <v>114</v>
      </c>
      <c r="Z243" s="36" t="s">
        <v>231</v>
      </c>
      <c r="AA243" s="36" t="str">
        <f t="shared" si="97"/>
        <v>Margem EBITDA</v>
      </c>
    </row>
    <row r="244" spans="1:27" x14ac:dyDescent="0.35">
      <c r="A244" s="12" t="s">
        <v>600</v>
      </c>
      <c r="B244" s="12" t="s">
        <v>600</v>
      </c>
      <c r="C244" s="12" t="str">
        <f t="shared" ref="C244" si="100">IF($AG$1=1,B244,A244)</f>
        <v>Concebra</v>
      </c>
      <c r="E244" s="8" t="s">
        <v>111</v>
      </c>
      <c r="F244" s="8" t="s">
        <v>111</v>
      </c>
      <c r="G244" s="8" t="str">
        <f t="shared" si="99"/>
        <v>ROIC</v>
      </c>
      <c r="Y244" s="36" t="s">
        <v>115</v>
      </c>
      <c r="Z244" s="36" t="s">
        <v>232</v>
      </c>
      <c r="AA244" s="36" t="str">
        <f t="shared" si="97"/>
        <v>Margem Líquida</v>
      </c>
    </row>
    <row r="245" spans="1:27" x14ac:dyDescent="0.35">
      <c r="A245" s="13" t="s">
        <v>621</v>
      </c>
      <c r="B245" s="13" t="s">
        <v>621</v>
      </c>
      <c r="C245" s="13" t="str">
        <f t="shared" ref="C245" si="101">IF($AG$1=1,B245,A245)</f>
        <v>Transbrasiliana</v>
      </c>
      <c r="E245" s="14" t="s">
        <v>117</v>
      </c>
      <c r="F245" s="14" t="s">
        <v>117</v>
      </c>
      <c r="G245" s="14" t="str">
        <f t="shared" si="99"/>
        <v>ROAA</v>
      </c>
    </row>
    <row r="246" spans="1:27" x14ac:dyDescent="0.35">
      <c r="A246" s="16" t="s">
        <v>72</v>
      </c>
      <c r="B246" s="16" t="s">
        <v>190</v>
      </c>
      <c r="C246" s="16" t="str">
        <f t="shared" si="94"/>
        <v>Depreciação e Amortização</v>
      </c>
      <c r="E246" s="16" t="s">
        <v>113</v>
      </c>
      <c r="F246" s="16" t="s">
        <v>230</v>
      </c>
      <c r="G246" s="16" t="str">
        <f t="shared" si="99"/>
        <v>Margem Bruta</v>
      </c>
    </row>
    <row r="247" spans="1:27" x14ac:dyDescent="0.35">
      <c r="A247" s="25" t="s">
        <v>87</v>
      </c>
      <c r="B247" s="25" t="s">
        <v>87</v>
      </c>
      <c r="C247" s="25" t="str">
        <f t="shared" si="94"/>
        <v>D&amp;A</v>
      </c>
      <c r="E247" s="12" t="s">
        <v>312</v>
      </c>
      <c r="F247" s="12" t="s">
        <v>312</v>
      </c>
      <c r="G247" s="12" t="str">
        <f t="shared" si="99"/>
        <v>Rio Verde</v>
      </c>
      <c r="Y247" s="47" t="s">
        <v>476</v>
      </c>
      <c r="Z247" s="47" t="s">
        <v>475</v>
      </c>
      <c r="AA247" s="47" t="str">
        <f t="shared" ref="AA247:AA266" si="102">IF($AG$1=1,Z247,Y247)</f>
        <v>Dados Financeiros por Segmento</v>
      </c>
    </row>
    <row r="248" spans="1:27" x14ac:dyDescent="0.35">
      <c r="A248" s="25" t="s">
        <v>86</v>
      </c>
      <c r="B248" s="25" t="s">
        <v>204</v>
      </c>
      <c r="C248" s="25" t="str">
        <f t="shared" si="94"/>
        <v>Reavaliação</v>
      </c>
      <c r="E248" s="12" t="s">
        <v>313</v>
      </c>
      <c r="F248" s="12" t="s">
        <v>313</v>
      </c>
      <c r="G248" s="12" t="str">
        <f t="shared" si="99"/>
        <v>Rio Canoas</v>
      </c>
      <c r="Y248" s="43" t="s">
        <v>470</v>
      </c>
      <c r="Z248" s="43" t="s">
        <v>471</v>
      </c>
      <c r="AA248" s="43" t="str">
        <f t="shared" si="102"/>
        <v>Receita Líquida</v>
      </c>
    </row>
    <row r="249" spans="1:27" x14ac:dyDescent="0.35">
      <c r="A249" s="12" t="s">
        <v>15</v>
      </c>
      <c r="B249" s="12" t="s">
        <v>15</v>
      </c>
      <c r="C249" s="12" t="str">
        <f t="shared" si="94"/>
        <v>Concepa</v>
      </c>
      <c r="E249" s="12" t="s">
        <v>626</v>
      </c>
      <c r="F249" s="12" t="s">
        <v>626</v>
      </c>
      <c r="G249" s="12" t="str">
        <f t="shared" si="99"/>
        <v>Tijoá</v>
      </c>
      <c r="Y249" s="66" t="s">
        <v>64</v>
      </c>
      <c r="Z249" s="66" t="s">
        <v>394</v>
      </c>
      <c r="AA249" s="66" t="str">
        <f t="shared" si="102"/>
        <v>Concessões Rodoviárias</v>
      </c>
    </row>
    <row r="250" spans="1:27" x14ac:dyDescent="0.35">
      <c r="A250" s="25" t="s">
        <v>87</v>
      </c>
      <c r="B250" s="25" t="s">
        <v>87</v>
      </c>
      <c r="C250" s="25" t="str">
        <f t="shared" si="94"/>
        <v>D&amp;A</v>
      </c>
      <c r="E250" s="16" t="s">
        <v>114</v>
      </c>
      <c r="F250" s="16" t="s">
        <v>231</v>
      </c>
      <c r="G250" s="16" t="str">
        <f t="shared" si="99"/>
        <v>Margem EBITDA</v>
      </c>
      <c r="Y250" s="39" t="s">
        <v>15</v>
      </c>
      <c r="Z250" s="39" t="s">
        <v>15</v>
      </c>
      <c r="AA250" s="39" t="str">
        <f t="shared" si="102"/>
        <v>Concepa</v>
      </c>
    </row>
    <row r="251" spans="1:27" x14ac:dyDescent="0.35">
      <c r="A251" s="25" t="s">
        <v>86</v>
      </c>
      <c r="B251" s="25" t="s">
        <v>204</v>
      </c>
      <c r="C251" s="25" t="str">
        <f t="shared" si="94"/>
        <v>Reavaliação</v>
      </c>
      <c r="E251" s="12" t="s">
        <v>312</v>
      </c>
      <c r="F251" s="12" t="s">
        <v>312</v>
      </c>
      <c r="G251" s="12" t="str">
        <f t="shared" si="99"/>
        <v>Rio Verde</v>
      </c>
      <c r="Y251" s="39" t="s">
        <v>16</v>
      </c>
      <c r="Z251" s="39" t="s">
        <v>16</v>
      </c>
      <c r="AA251" s="39" t="str">
        <f t="shared" si="102"/>
        <v>Concer</v>
      </c>
    </row>
    <row r="252" spans="1:27" x14ac:dyDescent="0.35">
      <c r="A252" s="12" t="s">
        <v>16</v>
      </c>
      <c r="B252" s="12" t="s">
        <v>16</v>
      </c>
      <c r="C252" s="12" t="str">
        <f t="shared" si="94"/>
        <v>Concer</v>
      </c>
      <c r="E252" s="12" t="s">
        <v>313</v>
      </c>
      <c r="F252" s="12" t="s">
        <v>313</v>
      </c>
      <c r="G252" s="12" t="str">
        <f t="shared" si="99"/>
        <v>Rio Canoas</v>
      </c>
      <c r="Y252" s="39" t="s">
        <v>17</v>
      </c>
      <c r="Z252" s="39" t="s">
        <v>17</v>
      </c>
      <c r="AA252" s="39" t="str">
        <f t="shared" si="102"/>
        <v>Econorte</v>
      </c>
    </row>
    <row r="253" spans="1:27" x14ac:dyDescent="0.35">
      <c r="A253" s="25" t="s">
        <v>87</v>
      </c>
      <c r="B253" s="25" t="s">
        <v>87</v>
      </c>
      <c r="C253" s="25" t="str">
        <f t="shared" si="94"/>
        <v>D&amp;A</v>
      </c>
      <c r="E253" s="12" t="s">
        <v>626</v>
      </c>
      <c r="F253" s="12" t="s">
        <v>626</v>
      </c>
      <c r="G253" s="12" t="str">
        <f t="shared" ref="G253" si="103">IF($AG$1=1,F253,E253)</f>
        <v>Tijoá</v>
      </c>
      <c r="Y253" s="39" t="s">
        <v>600</v>
      </c>
      <c r="Z253" s="39" t="s">
        <v>600</v>
      </c>
      <c r="AA253" s="39" t="s">
        <v>600</v>
      </c>
    </row>
    <row r="254" spans="1:27" x14ac:dyDescent="0.35">
      <c r="A254" s="25" t="s">
        <v>86</v>
      </c>
      <c r="B254" s="25" t="s">
        <v>204</v>
      </c>
      <c r="C254" s="25" t="str">
        <f t="shared" si="94"/>
        <v>Reavaliação</v>
      </c>
      <c r="E254" s="16" t="s">
        <v>115</v>
      </c>
      <c r="F254" s="16" t="s">
        <v>232</v>
      </c>
      <c r="G254" s="16" t="str">
        <f t="shared" si="99"/>
        <v>Margem Líquida</v>
      </c>
      <c r="Y254" s="39" t="s">
        <v>621</v>
      </c>
      <c r="Z254" s="39" t="s">
        <v>621</v>
      </c>
      <c r="AA254" s="39" t="s">
        <v>621</v>
      </c>
    </row>
    <row r="255" spans="1:27" x14ac:dyDescent="0.35">
      <c r="A255" s="12" t="s">
        <v>17</v>
      </c>
      <c r="B255" s="12" t="s">
        <v>17</v>
      </c>
      <c r="C255" s="12" t="str">
        <f t="shared" si="94"/>
        <v>Econorte</v>
      </c>
      <c r="E255" s="12" t="s">
        <v>312</v>
      </c>
      <c r="F255" s="12" t="s">
        <v>312</v>
      </c>
      <c r="G255" s="12" t="str">
        <f t="shared" si="99"/>
        <v>Rio Verde</v>
      </c>
      <c r="Y255" s="66" t="s">
        <v>414</v>
      </c>
      <c r="Z255" s="66" t="s">
        <v>395</v>
      </c>
      <c r="AA255" s="66" t="str">
        <f t="shared" si="102"/>
        <v>Energia</v>
      </c>
    </row>
    <row r="256" spans="1:27" x14ac:dyDescent="0.35">
      <c r="A256" s="25" t="s">
        <v>87</v>
      </c>
      <c r="B256" s="25" t="s">
        <v>87</v>
      </c>
      <c r="C256" s="25" t="str">
        <f t="shared" si="94"/>
        <v>D&amp;A</v>
      </c>
      <c r="E256" s="12" t="s">
        <v>313</v>
      </c>
      <c r="F256" s="12" t="s">
        <v>313</v>
      </c>
      <c r="G256" s="12" t="str">
        <f t="shared" si="99"/>
        <v>Rio Canoas</v>
      </c>
      <c r="Y256" s="39" t="s">
        <v>312</v>
      </c>
      <c r="Z256" s="39" t="s">
        <v>312</v>
      </c>
      <c r="AA256" s="39" t="str">
        <f t="shared" si="102"/>
        <v>Rio Verde</v>
      </c>
    </row>
    <row r="257" spans="1:27" x14ac:dyDescent="0.35">
      <c r="A257" s="25" t="s">
        <v>86</v>
      </c>
      <c r="B257" s="25" t="s">
        <v>204</v>
      </c>
      <c r="C257" s="25" t="str">
        <f t="shared" si="94"/>
        <v>Reavaliação</v>
      </c>
      <c r="E257" s="12" t="s">
        <v>626</v>
      </c>
      <c r="F257" s="12" t="s">
        <v>626</v>
      </c>
      <c r="G257" s="12" t="str">
        <f t="shared" si="99"/>
        <v>Tijoá</v>
      </c>
      <c r="Y257" s="39" t="s">
        <v>313</v>
      </c>
      <c r="Z257" s="39" t="s">
        <v>313</v>
      </c>
      <c r="AA257" s="39" t="str">
        <f t="shared" si="102"/>
        <v>Rio Canoas</v>
      </c>
    </row>
    <row r="258" spans="1:27" x14ac:dyDescent="0.35">
      <c r="A258" s="12" t="s">
        <v>600</v>
      </c>
      <c r="B258" s="12" t="s">
        <v>600</v>
      </c>
      <c r="C258" s="12" t="str">
        <f t="shared" ref="C258:C260" si="104">IF($AG$1=1,B258,A258)</f>
        <v>Concebra</v>
      </c>
      <c r="E258" s="16" t="s">
        <v>121</v>
      </c>
      <c r="F258" s="16" t="s">
        <v>233</v>
      </c>
      <c r="G258" s="16" t="str">
        <f t="shared" si="99"/>
        <v>Tarifa Média</v>
      </c>
      <c r="Y258" s="39" t="s">
        <v>626</v>
      </c>
      <c r="Z258" s="39" t="s">
        <v>626</v>
      </c>
      <c r="AA258" s="39" t="s">
        <v>626</v>
      </c>
    </row>
    <row r="259" spans="1:27" x14ac:dyDescent="0.35">
      <c r="A259" s="25" t="s">
        <v>87</v>
      </c>
      <c r="B259" s="25" t="s">
        <v>87</v>
      </c>
      <c r="C259" s="25" t="str">
        <f t="shared" si="104"/>
        <v>D&amp;A</v>
      </c>
      <c r="E259" s="12" t="s">
        <v>312</v>
      </c>
      <c r="F259" s="12" t="s">
        <v>312</v>
      </c>
      <c r="G259" s="12" t="str">
        <f t="shared" si="99"/>
        <v>Rio Verde</v>
      </c>
      <c r="Y259" s="39" t="s">
        <v>314</v>
      </c>
      <c r="Z259" s="39" t="s">
        <v>319</v>
      </c>
      <c r="AA259" s="39" t="str">
        <f t="shared" si="102"/>
        <v>Outros</v>
      </c>
    </row>
    <row r="260" spans="1:27" x14ac:dyDescent="0.35">
      <c r="A260" s="25" t="s">
        <v>86</v>
      </c>
      <c r="B260" s="25" t="s">
        <v>204</v>
      </c>
      <c r="C260" s="25" t="str">
        <f t="shared" si="104"/>
        <v>Reavaliação</v>
      </c>
      <c r="E260" s="12" t="s">
        <v>313</v>
      </c>
      <c r="F260" s="12" t="s">
        <v>313</v>
      </c>
      <c r="G260" s="12" t="str">
        <f t="shared" si="99"/>
        <v>Rio Canoas</v>
      </c>
      <c r="Y260" s="66" t="s">
        <v>426</v>
      </c>
      <c r="Z260" s="66" t="s">
        <v>396</v>
      </c>
      <c r="AA260" s="66" t="str">
        <f t="shared" si="102"/>
        <v>Portos</v>
      </c>
    </row>
    <row r="261" spans="1:27" x14ac:dyDescent="0.35">
      <c r="A261" s="12" t="s">
        <v>621</v>
      </c>
      <c r="B261" s="12" t="s">
        <v>621</v>
      </c>
      <c r="C261" s="12" t="str">
        <f t="shared" ref="C261:C263" si="105">IF($AG$1=1,B261,A261)</f>
        <v>Transbrasiliana</v>
      </c>
      <c r="E261" s="16" t="s">
        <v>122</v>
      </c>
      <c r="F261" s="16" t="s">
        <v>234</v>
      </c>
      <c r="G261" s="16" t="str">
        <f t="shared" si="99"/>
        <v>Crescimento Anual da Tarifa Média</v>
      </c>
      <c r="Y261" s="39" t="s">
        <v>326</v>
      </c>
      <c r="Z261" s="39" t="s">
        <v>326</v>
      </c>
      <c r="AA261" s="39" t="str">
        <f t="shared" si="102"/>
        <v>Portonave</v>
      </c>
    </row>
    <row r="262" spans="1:27" x14ac:dyDescent="0.35">
      <c r="A262" s="25" t="s">
        <v>87</v>
      </c>
      <c r="B262" s="25" t="s">
        <v>87</v>
      </c>
      <c r="C262" s="25" t="str">
        <f t="shared" si="105"/>
        <v>D&amp;A</v>
      </c>
      <c r="E262" s="12" t="s">
        <v>312</v>
      </c>
      <c r="F262" s="12" t="s">
        <v>312</v>
      </c>
      <c r="G262" s="12" t="str">
        <f t="shared" si="99"/>
        <v>Rio Verde</v>
      </c>
      <c r="Y262" s="39" t="s">
        <v>327</v>
      </c>
      <c r="Z262" s="39" t="s">
        <v>327</v>
      </c>
      <c r="AA262" s="39" t="str">
        <f t="shared" si="102"/>
        <v>Iceport</v>
      </c>
    </row>
    <row r="263" spans="1:27" x14ac:dyDescent="0.35">
      <c r="A263" s="26" t="s">
        <v>86</v>
      </c>
      <c r="B263" s="26" t="s">
        <v>204</v>
      </c>
      <c r="C263" s="26" t="str">
        <f t="shared" si="105"/>
        <v>Reavaliação</v>
      </c>
      <c r="E263" s="13" t="s">
        <v>313</v>
      </c>
      <c r="F263" s="13" t="s">
        <v>313</v>
      </c>
      <c r="G263" s="13" t="str">
        <f t="shared" si="99"/>
        <v>Rio Canoas</v>
      </c>
      <c r="Y263" s="39" t="s">
        <v>314</v>
      </c>
      <c r="Z263" s="39" t="s">
        <v>319</v>
      </c>
      <c r="AA263" s="39" t="str">
        <f t="shared" si="102"/>
        <v>Outros</v>
      </c>
    </row>
    <row r="264" spans="1:27" x14ac:dyDescent="0.35">
      <c r="A264" s="16" t="s">
        <v>79</v>
      </c>
      <c r="B264" s="16" t="s">
        <v>194</v>
      </c>
      <c r="C264" s="16" t="str">
        <f t="shared" si="94"/>
        <v>Resultado Financeiro</v>
      </c>
      <c r="Y264" s="66" t="s">
        <v>415</v>
      </c>
      <c r="Z264" s="66" t="s">
        <v>397</v>
      </c>
      <c r="AA264" s="66" t="str">
        <f t="shared" si="102"/>
        <v>Cabotagem</v>
      </c>
    </row>
    <row r="265" spans="1:27" x14ac:dyDescent="0.35">
      <c r="A265" s="7" t="s">
        <v>88</v>
      </c>
      <c r="B265" s="7" t="s">
        <v>205</v>
      </c>
      <c r="C265" s="7" t="str">
        <f t="shared" si="94"/>
        <v>Receitas</v>
      </c>
      <c r="Y265" s="66" t="s">
        <v>427</v>
      </c>
      <c r="Z265" s="66" t="s">
        <v>398</v>
      </c>
      <c r="AA265" s="66" t="str">
        <f t="shared" si="102"/>
        <v>Aeroportos</v>
      </c>
    </row>
    <row r="266" spans="1:27" x14ac:dyDescent="0.35">
      <c r="A266" s="27" t="s">
        <v>89</v>
      </c>
      <c r="B266" s="27" t="s">
        <v>206</v>
      </c>
      <c r="C266" s="27" t="str">
        <f t="shared" si="94"/>
        <v>Despesas</v>
      </c>
      <c r="Y266" s="71" t="s">
        <v>472</v>
      </c>
      <c r="Z266" s="71" t="s">
        <v>473</v>
      </c>
      <c r="AA266" s="71" t="str">
        <f t="shared" si="102"/>
        <v>Holding, Outros e Ajustes de Consolidação</v>
      </c>
    </row>
    <row r="267" spans="1:27" x14ac:dyDescent="0.35">
      <c r="A267" s="16" t="s">
        <v>96</v>
      </c>
      <c r="B267" s="16" t="s">
        <v>150</v>
      </c>
      <c r="C267" s="16" t="str">
        <f t="shared" si="94"/>
        <v>Provisão para Manutenção</v>
      </c>
      <c r="Y267" s="43" t="s">
        <v>85</v>
      </c>
      <c r="Z267" s="43" t="s">
        <v>474</v>
      </c>
      <c r="AA267" s="43" t="str">
        <f t="shared" ref="AA267:AA285" si="106">IF($AG$1=1,Z267,Y267)</f>
        <v>EBITDA Ajustados</v>
      </c>
    </row>
    <row r="268" spans="1:27" x14ac:dyDescent="0.35">
      <c r="A268" s="12" t="s">
        <v>15</v>
      </c>
      <c r="B268" s="12" t="s">
        <v>15</v>
      </c>
      <c r="C268" s="12" t="str">
        <f t="shared" si="94"/>
        <v>Concepa</v>
      </c>
      <c r="Y268" s="66" t="s">
        <v>64</v>
      </c>
      <c r="Z268" s="66" t="s">
        <v>394</v>
      </c>
      <c r="AA268" s="66" t="str">
        <f t="shared" si="106"/>
        <v>Concessões Rodoviárias</v>
      </c>
    </row>
    <row r="269" spans="1:27" x14ac:dyDescent="0.35">
      <c r="A269" s="12" t="s">
        <v>16</v>
      </c>
      <c r="B269" s="12" t="s">
        <v>16</v>
      </c>
      <c r="C269" s="12" t="str">
        <f t="shared" si="94"/>
        <v>Concer</v>
      </c>
      <c r="Y269" s="39" t="s">
        <v>15</v>
      </c>
      <c r="Z269" s="39" t="s">
        <v>15</v>
      </c>
      <c r="AA269" s="39" t="str">
        <f t="shared" si="106"/>
        <v>Concepa</v>
      </c>
    </row>
    <row r="270" spans="1:27" x14ac:dyDescent="0.35">
      <c r="A270" s="12" t="s">
        <v>17</v>
      </c>
      <c r="B270" s="12" t="s">
        <v>17</v>
      </c>
      <c r="C270" s="12" t="str">
        <f t="shared" si="94"/>
        <v>Econorte</v>
      </c>
      <c r="Y270" s="39" t="s">
        <v>16</v>
      </c>
      <c r="Z270" s="39" t="s">
        <v>16</v>
      </c>
      <c r="AA270" s="39" t="str">
        <f t="shared" si="106"/>
        <v>Concer</v>
      </c>
    </row>
    <row r="271" spans="1:27" x14ac:dyDescent="0.35">
      <c r="A271" s="12" t="s">
        <v>600</v>
      </c>
      <c r="B271" s="12" t="s">
        <v>600</v>
      </c>
      <c r="C271" s="12" t="str">
        <f t="shared" si="94"/>
        <v>Concebra</v>
      </c>
      <c r="Y271" s="39" t="s">
        <v>17</v>
      </c>
      <c r="Z271" s="39" t="s">
        <v>17</v>
      </c>
      <c r="AA271" s="39" t="str">
        <f t="shared" si="106"/>
        <v>Econorte</v>
      </c>
    </row>
    <row r="272" spans="1:27" x14ac:dyDescent="0.35">
      <c r="A272" s="13" t="s">
        <v>621</v>
      </c>
      <c r="B272" s="13" t="s">
        <v>621</v>
      </c>
      <c r="C272" s="13" t="str">
        <f t="shared" si="94"/>
        <v>Transbrasiliana</v>
      </c>
      <c r="Y272" s="39" t="s">
        <v>600</v>
      </c>
      <c r="Z272" s="39" t="s">
        <v>600</v>
      </c>
      <c r="AA272" s="39" t="s">
        <v>600</v>
      </c>
    </row>
    <row r="273" spans="1:27" x14ac:dyDescent="0.35">
      <c r="A273" s="16" t="s">
        <v>97</v>
      </c>
      <c r="B273" s="16" t="s">
        <v>207</v>
      </c>
      <c r="C273" s="16" t="str">
        <f t="shared" si="94"/>
        <v>Despesas Não Recorrentes</v>
      </c>
      <c r="Y273" s="39" t="s">
        <v>621</v>
      </c>
      <c r="Z273" s="39" t="s">
        <v>621</v>
      </c>
      <c r="AA273" s="39" t="s">
        <v>621</v>
      </c>
    </row>
    <row r="274" spans="1:27" x14ac:dyDescent="0.35">
      <c r="A274" s="12" t="s">
        <v>15</v>
      </c>
      <c r="B274" s="12" t="s">
        <v>15</v>
      </c>
      <c r="C274" s="12" t="str">
        <f t="shared" si="94"/>
        <v>Concepa</v>
      </c>
      <c r="Y274" s="66" t="s">
        <v>414</v>
      </c>
      <c r="Z274" s="66" t="s">
        <v>395</v>
      </c>
      <c r="AA274" s="66" t="str">
        <f t="shared" si="106"/>
        <v>Energia</v>
      </c>
    </row>
    <row r="275" spans="1:27" x14ac:dyDescent="0.35">
      <c r="A275" s="12" t="s">
        <v>16</v>
      </c>
      <c r="B275" s="12" t="s">
        <v>16</v>
      </c>
      <c r="C275" s="12" t="str">
        <f t="shared" si="94"/>
        <v>Concer</v>
      </c>
      <c r="Y275" s="39" t="s">
        <v>312</v>
      </c>
      <c r="Z275" s="39" t="s">
        <v>312</v>
      </c>
      <c r="AA275" s="39" t="str">
        <f t="shared" si="106"/>
        <v>Rio Verde</v>
      </c>
    </row>
    <row r="276" spans="1:27" x14ac:dyDescent="0.35">
      <c r="A276" s="12" t="s">
        <v>17</v>
      </c>
      <c r="B276" s="12" t="s">
        <v>17</v>
      </c>
      <c r="C276" s="12" t="str">
        <f t="shared" si="94"/>
        <v>Econorte</v>
      </c>
      <c r="Y276" s="39" t="s">
        <v>313</v>
      </c>
      <c r="Z276" s="39" t="s">
        <v>313</v>
      </c>
      <c r="AA276" s="39" t="str">
        <f t="shared" si="106"/>
        <v>Rio Canoas</v>
      </c>
    </row>
    <row r="277" spans="1:27" x14ac:dyDescent="0.35">
      <c r="A277" s="12" t="s">
        <v>600</v>
      </c>
      <c r="B277" s="12" t="s">
        <v>600</v>
      </c>
      <c r="C277" s="12" t="str">
        <f t="shared" si="94"/>
        <v>Concebra</v>
      </c>
      <c r="Y277" s="39" t="s">
        <v>626</v>
      </c>
      <c r="Z277" s="39" t="s">
        <v>626</v>
      </c>
      <c r="AA277" s="39" t="s">
        <v>626</v>
      </c>
    </row>
    <row r="278" spans="1:27" x14ac:dyDescent="0.35">
      <c r="A278" s="13" t="s">
        <v>621</v>
      </c>
      <c r="B278" s="13" t="s">
        <v>621</v>
      </c>
      <c r="C278" s="13" t="str">
        <f t="shared" si="94"/>
        <v>Transbrasiliana</v>
      </c>
      <c r="Y278" s="39" t="s">
        <v>314</v>
      </c>
      <c r="Z278" s="39" t="s">
        <v>319</v>
      </c>
      <c r="AA278" s="39" t="str">
        <f t="shared" si="106"/>
        <v>Outros</v>
      </c>
    </row>
    <row r="279" spans="1:27" x14ac:dyDescent="0.35">
      <c r="A279" s="16" t="s">
        <v>112</v>
      </c>
      <c r="B279" s="16" t="s">
        <v>208</v>
      </c>
      <c r="C279" s="16" t="str">
        <f t="shared" si="94"/>
        <v>Dívida Líquida</v>
      </c>
      <c r="Y279" s="66" t="s">
        <v>426</v>
      </c>
      <c r="Z279" s="66" t="s">
        <v>396</v>
      </c>
      <c r="AA279" s="66" t="str">
        <f t="shared" si="106"/>
        <v>Portos</v>
      </c>
    </row>
    <row r="280" spans="1:27" x14ac:dyDescent="0.35">
      <c r="A280" s="12" t="s">
        <v>15</v>
      </c>
      <c r="B280" s="12" t="s">
        <v>15</v>
      </c>
      <c r="C280" s="12" t="str">
        <f t="shared" si="94"/>
        <v>Concepa</v>
      </c>
      <c r="Y280" s="39" t="s">
        <v>326</v>
      </c>
      <c r="Z280" s="39" t="s">
        <v>326</v>
      </c>
      <c r="AA280" s="39" t="str">
        <f t="shared" si="106"/>
        <v>Portonave</v>
      </c>
    </row>
    <row r="281" spans="1:27" x14ac:dyDescent="0.35">
      <c r="A281" s="12" t="s">
        <v>16</v>
      </c>
      <c r="B281" s="12" t="s">
        <v>16</v>
      </c>
      <c r="C281" s="12" t="str">
        <f t="shared" si="94"/>
        <v>Concer</v>
      </c>
      <c r="Y281" s="39" t="s">
        <v>327</v>
      </c>
      <c r="Z281" s="39" t="s">
        <v>327</v>
      </c>
      <c r="AA281" s="39" t="str">
        <f t="shared" si="106"/>
        <v>Iceport</v>
      </c>
    </row>
    <row r="282" spans="1:27" x14ac:dyDescent="0.35">
      <c r="A282" s="12" t="s">
        <v>17</v>
      </c>
      <c r="B282" s="12" t="s">
        <v>17</v>
      </c>
      <c r="C282" s="12" t="str">
        <f t="shared" si="94"/>
        <v>Econorte</v>
      </c>
      <c r="Y282" s="39" t="s">
        <v>314</v>
      </c>
      <c r="Z282" s="39" t="s">
        <v>319</v>
      </c>
      <c r="AA282" s="39" t="str">
        <f t="shared" si="106"/>
        <v>Outros</v>
      </c>
    </row>
    <row r="283" spans="1:27" x14ac:dyDescent="0.35">
      <c r="A283" s="12" t="s">
        <v>600</v>
      </c>
      <c r="B283" s="12" t="s">
        <v>600</v>
      </c>
      <c r="C283" s="12" t="str">
        <f t="shared" si="94"/>
        <v>Concebra</v>
      </c>
      <c r="Y283" s="66" t="s">
        <v>415</v>
      </c>
      <c r="Z283" s="66" t="s">
        <v>397</v>
      </c>
      <c r="AA283" s="66" t="str">
        <f t="shared" si="106"/>
        <v>Cabotagem</v>
      </c>
    </row>
    <row r="284" spans="1:27" x14ac:dyDescent="0.35">
      <c r="A284" s="13" t="s">
        <v>621</v>
      </c>
      <c r="B284" s="13" t="s">
        <v>621</v>
      </c>
      <c r="C284" s="13" t="str">
        <f t="shared" si="94"/>
        <v>Transbrasiliana</v>
      </c>
      <c r="Y284" s="66" t="s">
        <v>427</v>
      </c>
      <c r="Z284" s="66" t="s">
        <v>398</v>
      </c>
      <c r="AA284" s="66" t="str">
        <f t="shared" si="106"/>
        <v>Aeroportos</v>
      </c>
    </row>
    <row r="285" spans="1:27" x14ac:dyDescent="0.35">
      <c r="A285" s="16" t="s">
        <v>348</v>
      </c>
      <c r="B285" s="16" t="s">
        <v>347</v>
      </c>
      <c r="C285" s="16" t="str">
        <f t="shared" si="94"/>
        <v>Receita Líquida Ajustada</v>
      </c>
      <c r="Y285" s="66" t="s">
        <v>593</v>
      </c>
      <c r="Z285" s="66" t="s">
        <v>594</v>
      </c>
      <c r="AA285" s="66" t="str">
        <f t="shared" si="106"/>
        <v>Holding e Outros Investimentos</v>
      </c>
    </row>
    <row r="286" spans="1:27" x14ac:dyDescent="0.35">
      <c r="A286" s="25" t="s">
        <v>409</v>
      </c>
      <c r="B286" s="25" t="s">
        <v>408</v>
      </c>
      <c r="C286" s="25" t="str">
        <f t="shared" ref="C286:C287" si="107">IF($AG$1=1,B286,A286)</f>
        <v>(+) Receita Líquida</v>
      </c>
      <c r="Y286" s="71" t="s">
        <v>596</v>
      </c>
      <c r="Z286" s="71" t="s">
        <v>595</v>
      </c>
      <c r="AA286" s="71" t="str">
        <f t="shared" ref="AA286" si="108">IF($AG$1=1,Z286,Y286)</f>
        <v>Ajustes de Consolidação</v>
      </c>
    </row>
    <row r="287" spans="1:27" x14ac:dyDescent="0.35">
      <c r="A287" s="25" t="s">
        <v>410</v>
      </c>
      <c r="B287" s="25" t="s">
        <v>406</v>
      </c>
      <c r="C287" s="25" t="str">
        <f t="shared" si="107"/>
        <v>(-) Receita de Construção</v>
      </c>
      <c r="Y287" s="43" t="s">
        <v>82</v>
      </c>
      <c r="Z287" s="43" t="s">
        <v>198</v>
      </c>
      <c r="AA287" s="43" t="str">
        <f t="shared" ref="AA287:AA305" si="109">IF($AG$1=1,Z287,Y287)</f>
        <v>Lucro Líquido</v>
      </c>
    </row>
    <row r="288" spans="1:27" x14ac:dyDescent="0.35">
      <c r="A288" s="26" t="s">
        <v>622</v>
      </c>
      <c r="B288" s="26" t="s">
        <v>623</v>
      </c>
      <c r="C288" s="26" t="str">
        <f t="shared" ref="C288" si="110">IF($AG$1=1,B288,A288)</f>
        <v>(+) Margem de Construção: Aditivos</v>
      </c>
      <c r="Y288" s="66" t="s">
        <v>64</v>
      </c>
      <c r="Z288" s="66" t="s">
        <v>394</v>
      </c>
      <c r="AA288" s="66" t="str">
        <f t="shared" si="109"/>
        <v>Concessões Rodoviárias</v>
      </c>
    </row>
    <row r="289" spans="1:27" x14ac:dyDescent="0.35">
      <c r="A289" s="12" t="s">
        <v>15</v>
      </c>
      <c r="B289" s="12" t="s">
        <v>15</v>
      </c>
      <c r="C289" s="12" t="str">
        <f t="shared" ref="C289:C325" si="111">IF($AG$1=1,B289,A289)</f>
        <v>Concepa</v>
      </c>
      <c r="Y289" s="39" t="s">
        <v>15</v>
      </c>
      <c r="Z289" s="39" t="s">
        <v>15</v>
      </c>
      <c r="AA289" s="39" t="str">
        <f t="shared" si="109"/>
        <v>Concepa</v>
      </c>
    </row>
    <row r="290" spans="1:27" x14ac:dyDescent="0.35">
      <c r="A290" s="12" t="s">
        <v>16</v>
      </c>
      <c r="B290" s="12" t="s">
        <v>16</v>
      </c>
      <c r="C290" s="12" t="str">
        <f t="shared" si="111"/>
        <v>Concer</v>
      </c>
      <c r="Y290" s="39" t="s">
        <v>16</v>
      </c>
      <c r="Z290" s="39" t="s">
        <v>16</v>
      </c>
      <c r="AA290" s="39" t="str">
        <f t="shared" si="109"/>
        <v>Concer</v>
      </c>
    </row>
    <row r="291" spans="1:27" x14ac:dyDescent="0.35">
      <c r="A291" s="12" t="s">
        <v>17</v>
      </c>
      <c r="B291" s="12" t="s">
        <v>17</v>
      </c>
      <c r="C291" s="12" t="str">
        <f t="shared" si="111"/>
        <v>Econorte</v>
      </c>
      <c r="Y291" s="39" t="s">
        <v>17</v>
      </c>
      <c r="Z291" s="39" t="s">
        <v>17</v>
      </c>
      <c r="AA291" s="39" t="str">
        <f t="shared" si="109"/>
        <v>Econorte</v>
      </c>
    </row>
    <row r="292" spans="1:27" x14ac:dyDescent="0.35">
      <c r="A292" s="12" t="s">
        <v>600</v>
      </c>
      <c r="B292" s="12" t="s">
        <v>600</v>
      </c>
      <c r="C292" s="12" t="str">
        <f t="shared" ref="C292" si="112">IF($AG$1=1,B292,A292)</f>
        <v>Concebra</v>
      </c>
      <c r="Y292" s="39" t="s">
        <v>600</v>
      </c>
      <c r="Z292" s="39" t="s">
        <v>600</v>
      </c>
      <c r="AA292" s="39" t="s">
        <v>600</v>
      </c>
    </row>
    <row r="293" spans="1:27" x14ac:dyDescent="0.35">
      <c r="A293" s="13" t="s">
        <v>621</v>
      </c>
      <c r="B293" s="13" t="s">
        <v>621</v>
      </c>
      <c r="C293" s="13" t="str">
        <f t="shared" ref="C293" si="113">IF($AG$1=1,B293,A293)</f>
        <v>Transbrasiliana</v>
      </c>
      <c r="Y293" s="39" t="s">
        <v>621</v>
      </c>
      <c r="Z293" s="39" t="s">
        <v>621</v>
      </c>
      <c r="AA293" s="39" t="s">
        <v>621</v>
      </c>
    </row>
    <row r="294" spans="1:27" x14ac:dyDescent="0.35">
      <c r="A294" s="16" t="s">
        <v>91</v>
      </c>
      <c r="B294" s="16" t="s">
        <v>210</v>
      </c>
      <c r="C294" s="16" t="str">
        <f t="shared" si="111"/>
        <v>Patrimônio Líquido Ajustado</v>
      </c>
      <c r="Y294" s="66" t="s">
        <v>414</v>
      </c>
      <c r="Z294" s="66" t="s">
        <v>395</v>
      </c>
      <c r="AA294" s="66" t="str">
        <f t="shared" si="109"/>
        <v>Energia</v>
      </c>
    </row>
    <row r="295" spans="1:27" x14ac:dyDescent="0.35">
      <c r="A295" s="7" t="s">
        <v>92</v>
      </c>
      <c r="B295" s="7" t="s">
        <v>211</v>
      </c>
      <c r="C295" s="7" t="str">
        <f t="shared" si="111"/>
        <v>(+) Patrimônio Líquido</v>
      </c>
      <c r="Y295" s="39" t="s">
        <v>312</v>
      </c>
      <c r="Z295" s="39" t="s">
        <v>312</v>
      </c>
      <c r="AA295" s="39" t="str">
        <f t="shared" si="109"/>
        <v>Rio Verde</v>
      </c>
    </row>
    <row r="296" spans="1:27" x14ac:dyDescent="0.35">
      <c r="A296" s="7" t="s">
        <v>212</v>
      </c>
      <c r="B296" s="7" t="s">
        <v>214</v>
      </c>
      <c r="C296" s="7" t="str">
        <f t="shared" si="111"/>
        <v>(-) Reserva de Reavaliação Líquida</v>
      </c>
      <c r="Y296" s="39" t="s">
        <v>313</v>
      </c>
      <c r="Z296" s="39" t="s">
        <v>313</v>
      </c>
      <c r="AA296" s="39" t="str">
        <f t="shared" si="109"/>
        <v>Rio Canoas</v>
      </c>
    </row>
    <row r="297" spans="1:27" x14ac:dyDescent="0.35">
      <c r="A297" s="27" t="s">
        <v>216</v>
      </c>
      <c r="B297" s="27" t="s">
        <v>215</v>
      </c>
      <c r="C297" s="27" t="str">
        <f t="shared" si="111"/>
        <v>(-) Ajuste de Avaliação Patrimonial Líquida</v>
      </c>
      <c r="Y297" s="39" t="s">
        <v>626</v>
      </c>
      <c r="Z297" s="39" t="s">
        <v>626</v>
      </c>
      <c r="AA297" s="39" t="s">
        <v>626</v>
      </c>
    </row>
    <row r="298" spans="1:27" x14ac:dyDescent="0.35">
      <c r="A298" s="16" t="s">
        <v>85</v>
      </c>
      <c r="B298" s="16" t="s">
        <v>199</v>
      </c>
      <c r="C298" s="16" t="str">
        <f t="shared" si="111"/>
        <v>EBITDA Ajustado</v>
      </c>
      <c r="Y298" s="39" t="s">
        <v>314</v>
      </c>
      <c r="Z298" s="39" t="s">
        <v>319</v>
      </c>
      <c r="AA298" s="39" t="str">
        <f t="shared" si="109"/>
        <v>Outros</v>
      </c>
    </row>
    <row r="299" spans="1:27" x14ac:dyDescent="0.35">
      <c r="A299" s="7" t="s">
        <v>95</v>
      </c>
      <c r="B299" s="7" t="s">
        <v>95</v>
      </c>
      <c r="C299" s="7" t="str">
        <f t="shared" si="111"/>
        <v>(+) EBIT</v>
      </c>
      <c r="Y299" s="66" t="s">
        <v>426</v>
      </c>
      <c r="Z299" s="66" t="s">
        <v>396</v>
      </c>
      <c r="AA299" s="66" t="str">
        <f t="shared" si="109"/>
        <v>Portos</v>
      </c>
    </row>
    <row r="300" spans="1:27" x14ac:dyDescent="0.35">
      <c r="A300" s="7" t="s">
        <v>98</v>
      </c>
      <c r="B300" s="7" t="s">
        <v>218</v>
      </c>
      <c r="C300" s="7" t="str">
        <f t="shared" si="111"/>
        <v>(+) Depreciação e Amortização</v>
      </c>
      <c r="Y300" s="39" t="s">
        <v>326</v>
      </c>
      <c r="Z300" s="39" t="s">
        <v>326</v>
      </c>
      <c r="AA300" s="39" t="str">
        <f t="shared" si="109"/>
        <v>Portonave</v>
      </c>
    </row>
    <row r="301" spans="1:27" x14ac:dyDescent="0.35">
      <c r="A301" s="7" t="s">
        <v>100</v>
      </c>
      <c r="B301" s="7" t="s">
        <v>219</v>
      </c>
      <c r="C301" s="7" t="str">
        <f t="shared" si="111"/>
        <v>(+) Provisão para Manutenção</v>
      </c>
      <c r="Y301" s="39" t="s">
        <v>327</v>
      </c>
      <c r="Z301" s="39" t="s">
        <v>327</v>
      </c>
      <c r="AA301" s="39" t="str">
        <f t="shared" si="109"/>
        <v>Iceport</v>
      </c>
    </row>
    <row r="302" spans="1:27" x14ac:dyDescent="0.35">
      <c r="A302" s="7" t="s">
        <v>99</v>
      </c>
      <c r="B302" s="7" t="s">
        <v>220</v>
      </c>
      <c r="C302" s="7" t="str">
        <f t="shared" si="111"/>
        <v>(+) Despesas Não Recorrentes</v>
      </c>
      <c r="Y302" s="39" t="s">
        <v>314</v>
      </c>
      <c r="Z302" s="39" t="s">
        <v>319</v>
      </c>
      <c r="AA302" s="39" t="str">
        <f t="shared" si="109"/>
        <v>Outros</v>
      </c>
    </row>
    <row r="303" spans="1:27" x14ac:dyDescent="0.35">
      <c r="A303" s="27" t="s">
        <v>625</v>
      </c>
      <c r="B303" s="27" t="s">
        <v>624</v>
      </c>
      <c r="C303" s="27" t="str">
        <f t="shared" ref="C303" si="114">IF($AG$1=1,B303,A303)</f>
        <v>(-) Margem de Construção: Concebra</v>
      </c>
      <c r="Y303" s="66" t="s">
        <v>415</v>
      </c>
      <c r="Z303" s="66" t="s">
        <v>397</v>
      </c>
      <c r="AA303" s="66" t="str">
        <f t="shared" si="109"/>
        <v>Cabotagem</v>
      </c>
    </row>
    <row r="304" spans="1:27" x14ac:dyDescent="0.35">
      <c r="A304" s="16" t="s">
        <v>103</v>
      </c>
      <c r="B304" s="16" t="s">
        <v>221</v>
      </c>
      <c r="C304" s="16" t="str">
        <f t="shared" si="111"/>
        <v>NCG: Necessidade de Capital de Giro</v>
      </c>
      <c r="Y304" s="66" t="s">
        <v>427</v>
      </c>
      <c r="Z304" s="66" t="s">
        <v>398</v>
      </c>
      <c r="AA304" s="66" t="str">
        <f t="shared" si="109"/>
        <v>Aeroportos</v>
      </c>
    </row>
    <row r="305" spans="1:27" x14ac:dyDescent="0.35">
      <c r="A305" s="7" t="s">
        <v>104</v>
      </c>
      <c r="B305" s="7" t="s">
        <v>222</v>
      </c>
      <c r="C305" s="7" t="str">
        <f t="shared" si="111"/>
        <v>(+) Ativo Operacional Circulante</v>
      </c>
      <c r="Y305" s="71" t="s">
        <v>472</v>
      </c>
      <c r="Z305" s="71" t="s">
        <v>473</v>
      </c>
      <c r="AA305" s="71" t="str">
        <f t="shared" si="109"/>
        <v>Holding, Outros e Ajustes de Consolidação</v>
      </c>
    </row>
    <row r="306" spans="1:27" x14ac:dyDescent="0.35">
      <c r="A306" s="27" t="s">
        <v>105</v>
      </c>
      <c r="B306" s="27" t="s">
        <v>223</v>
      </c>
      <c r="C306" s="27" t="str">
        <f t="shared" si="111"/>
        <v>(-) Passivo Operacional Circulante</v>
      </c>
    </row>
    <row r="307" spans="1:27" x14ac:dyDescent="0.35">
      <c r="A307" s="16" t="s">
        <v>102</v>
      </c>
      <c r="B307" s="16" t="s">
        <v>224</v>
      </c>
      <c r="C307" s="16" t="str">
        <f t="shared" si="111"/>
        <v>Ativo Operacional</v>
      </c>
    </row>
    <row r="308" spans="1:27" x14ac:dyDescent="0.35">
      <c r="A308" s="7" t="s">
        <v>106</v>
      </c>
      <c r="B308" s="7" t="s">
        <v>226</v>
      </c>
      <c r="C308" s="7" t="str">
        <f t="shared" si="111"/>
        <v>(+)  Imobilizado Líquido</v>
      </c>
    </row>
    <row r="309" spans="1:27" x14ac:dyDescent="0.35">
      <c r="A309" s="7" t="s">
        <v>107</v>
      </c>
      <c r="B309" s="7" t="s">
        <v>225</v>
      </c>
      <c r="C309" s="7" t="str">
        <f t="shared" si="111"/>
        <v>(+)  Intangível Líquido</v>
      </c>
    </row>
    <row r="310" spans="1:27" x14ac:dyDescent="0.35">
      <c r="A310" s="7" t="s">
        <v>108</v>
      </c>
      <c r="B310" s="7" t="s">
        <v>227</v>
      </c>
      <c r="C310" s="7" t="str">
        <f t="shared" si="111"/>
        <v>(+)  NCG</v>
      </c>
    </row>
    <row r="311" spans="1:27" x14ac:dyDescent="0.35">
      <c r="A311" s="16" t="s">
        <v>110</v>
      </c>
      <c r="B311" s="16" t="s">
        <v>110</v>
      </c>
      <c r="C311" s="16" t="str">
        <f t="shared" si="111"/>
        <v>NOPAT</v>
      </c>
    </row>
    <row r="312" spans="1:27" x14ac:dyDescent="0.35">
      <c r="A312" s="7" t="s">
        <v>118</v>
      </c>
      <c r="B312" s="7" t="s">
        <v>228</v>
      </c>
      <c r="C312" s="7" t="str">
        <f>IF($AG$1=1,B312,A312)</f>
        <v>(*1-) Impostos</v>
      </c>
    </row>
    <row r="313" spans="1:27" x14ac:dyDescent="0.35">
      <c r="A313" s="7" t="s">
        <v>462</v>
      </c>
      <c r="B313" s="34" t="s">
        <v>461</v>
      </c>
      <c r="C313" s="7" t="str">
        <f t="shared" si="111"/>
        <v>(=) EBIT Ajustado antes do D&amp;A Reavaliação</v>
      </c>
    </row>
    <row r="314" spans="1:27" x14ac:dyDescent="0.35">
      <c r="A314" s="12" t="s">
        <v>460</v>
      </c>
      <c r="B314" s="39" t="s">
        <v>455</v>
      </c>
      <c r="C314" s="12" t="str">
        <f t="shared" si="111"/>
        <v>(+) EBIT Ajustado</v>
      </c>
    </row>
    <row r="315" spans="1:27" x14ac:dyDescent="0.35">
      <c r="A315" s="25" t="s">
        <v>458</v>
      </c>
      <c r="B315" s="25" t="s">
        <v>459</v>
      </c>
      <c r="C315" s="25" t="str">
        <f t="shared" si="111"/>
        <v>(+) EBITDA Ajustado</v>
      </c>
    </row>
    <row r="316" spans="1:27" x14ac:dyDescent="0.35">
      <c r="A316" s="25" t="s">
        <v>456</v>
      </c>
      <c r="B316" s="25" t="s">
        <v>457</v>
      </c>
      <c r="C316" s="25" t="str">
        <f t="shared" si="111"/>
        <v>(-) Depreciação e Amortização</v>
      </c>
    </row>
    <row r="317" spans="1:27" x14ac:dyDescent="0.35">
      <c r="A317" s="13" t="s">
        <v>109</v>
      </c>
      <c r="B317" s="13" t="s">
        <v>229</v>
      </c>
      <c r="C317" s="13" t="str">
        <f t="shared" si="111"/>
        <v>(+) D&amp;A Reavaliação</v>
      </c>
    </row>
    <row r="320" spans="1:27" x14ac:dyDescent="0.35">
      <c r="A320" s="24" t="s">
        <v>123</v>
      </c>
      <c r="B320" s="24" t="s">
        <v>201</v>
      </c>
      <c r="C320" s="24" t="str">
        <f t="shared" si="111"/>
        <v>Dados Relevantes</v>
      </c>
    </row>
    <row r="321" spans="1:3" x14ac:dyDescent="0.35">
      <c r="A321" s="11" t="s">
        <v>101</v>
      </c>
      <c r="B321" s="11" t="s">
        <v>101</v>
      </c>
      <c r="C321" s="11" t="str">
        <f t="shared" si="111"/>
        <v>ROAE</v>
      </c>
    </row>
    <row r="322" spans="1:3" x14ac:dyDescent="0.35">
      <c r="A322" s="8" t="s">
        <v>111</v>
      </c>
      <c r="B322" s="8" t="s">
        <v>111</v>
      </c>
      <c r="C322" s="8" t="str">
        <f t="shared" si="111"/>
        <v>ROIC</v>
      </c>
    </row>
    <row r="323" spans="1:3" x14ac:dyDescent="0.35">
      <c r="A323" s="14" t="s">
        <v>117</v>
      </c>
      <c r="B323" s="14" t="s">
        <v>117</v>
      </c>
      <c r="C323" s="14" t="str">
        <f t="shared" si="111"/>
        <v>ROAA</v>
      </c>
    </row>
    <row r="324" spans="1:3" x14ac:dyDescent="0.35">
      <c r="A324" s="16" t="s">
        <v>113</v>
      </c>
      <c r="B324" s="16" t="s">
        <v>230</v>
      </c>
      <c r="C324" s="16" t="str">
        <f t="shared" si="111"/>
        <v>Margem Bruta</v>
      </c>
    </row>
    <row r="325" spans="1:3" x14ac:dyDescent="0.35">
      <c r="A325" s="12" t="s">
        <v>15</v>
      </c>
      <c r="B325" s="12" t="s">
        <v>15</v>
      </c>
      <c r="C325" s="12" t="str">
        <f t="shared" si="111"/>
        <v>Concepa</v>
      </c>
    </row>
    <row r="326" spans="1:3" x14ac:dyDescent="0.35">
      <c r="A326" s="12" t="s">
        <v>16</v>
      </c>
      <c r="B326" s="12" t="s">
        <v>16</v>
      </c>
      <c r="C326" s="12" t="str">
        <f t="shared" ref="C326:C351" si="115">IF($AG$1=1,B326,A326)</f>
        <v>Concer</v>
      </c>
    </row>
    <row r="327" spans="1:3" x14ac:dyDescent="0.35">
      <c r="A327" s="12" t="s">
        <v>17</v>
      </c>
      <c r="B327" s="12" t="s">
        <v>17</v>
      </c>
      <c r="C327" s="12" t="str">
        <f t="shared" si="115"/>
        <v>Econorte</v>
      </c>
    </row>
    <row r="328" spans="1:3" x14ac:dyDescent="0.35">
      <c r="A328" s="12" t="s">
        <v>600</v>
      </c>
      <c r="B328" s="12" t="s">
        <v>600</v>
      </c>
      <c r="C328" s="12" t="str">
        <f t="shared" si="115"/>
        <v>Concebra</v>
      </c>
    </row>
    <row r="329" spans="1:3" x14ac:dyDescent="0.35">
      <c r="A329" s="13" t="s">
        <v>621</v>
      </c>
      <c r="B329" s="13" t="s">
        <v>621</v>
      </c>
      <c r="C329" s="13" t="str">
        <f t="shared" si="115"/>
        <v>Transbrasiliana</v>
      </c>
    </row>
    <row r="330" spans="1:3" x14ac:dyDescent="0.35">
      <c r="A330" s="16" t="s">
        <v>114</v>
      </c>
      <c r="B330" s="16" t="s">
        <v>231</v>
      </c>
      <c r="C330" s="16" t="str">
        <f t="shared" si="115"/>
        <v>Margem EBITDA</v>
      </c>
    </row>
    <row r="331" spans="1:3" x14ac:dyDescent="0.35">
      <c r="A331" s="12" t="s">
        <v>15</v>
      </c>
      <c r="B331" s="12" t="s">
        <v>15</v>
      </c>
      <c r="C331" s="12" t="str">
        <f t="shared" si="115"/>
        <v>Concepa</v>
      </c>
    </row>
    <row r="332" spans="1:3" x14ac:dyDescent="0.35">
      <c r="A332" s="12" t="s">
        <v>16</v>
      </c>
      <c r="B332" s="12" t="s">
        <v>16</v>
      </c>
      <c r="C332" s="12" t="str">
        <f t="shared" si="115"/>
        <v>Concer</v>
      </c>
    </row>
    <row r="333" spans="1:3" x14ac:dyDescent="0.35">
      <c r="A333" s="12" t="s">
        <v>17</v>
      </c>
      <c r="B333" s="12" t="s">
        <v>17</v>
      </c>
      <c r="C333" s="12" t="str">
        <f t="shared" si="115"/>
        <v>Econorte</v>
      </c>
    </row>
    <row r="334" spans="1:3" x14ac:dyDescent="0.35">
      <c r="A334" s="12" t="s">
        <v>600</v>
      </c>
      <c r="B334" s="12" t="s">
        <v>600</v>
      </c>
      <c r="C334" s="12" t="str">
        <f t="shared" si="115"/>
        <v>Concebra</v>
      </c>
    </row>
    <row r="335" spans="1:3" x14ac:dyDescent="0.35">
      <c r="A335" s="13" t="s">
        <v>621</v>
      </c>
      <c r="B335" s="13" t="s">
        <v>621</v>
      </c>
      <c r="C335" s="13" t="str">
        <f t="shared" si="115"/>
        <v>Transbrasiliana</v>
      </c>
    </row>
    <row r="336" spans="1:3" x14ac:dyDescent="0.35">
      <c r="A336" s="16" t="s">
        <v>115</v>
      </c>
      <c r="B336" s="16" t="s">
        <v>232</v>
      </c>
      <c r="C336" s="16" t="str">
        <f t="shared" si="115"/>
        <v>Margem Líquida</v>
      </c>
    </row>
    <row r="337" spans="1:3" x14ac:dyDescent="0.35">
      <c r="A337" s="12" t="s">
        <v>15</v>
      </c>
      <c r="B337" s="12" t="s">
        <v>15</v>
      </c>
      <c r="C337" s="12" t="str">
        <f t="shared" si="115"/>
        <v>Concepa</v>
      </c>
    </row>
    <row r="338" spans="1:3" x14ac:dyDescent="0.35">
      <c r="A338" s="12" t="s">
        <v>16</v>
      </c>
      <c r="B338" s="12" t="s">
        <v>16</v>
      </c>
      <c r="C338" s="12" t="str">
        <f t="shared" si="115"/>
        <v>Concer</v>
      </c>
    </row>
    <row r="339" spans="1:3" x14ac:dyDescent="0.35">
      <c r="A339" s="12" t="s">
        <v>17</v>
      </c>
      <c r="B339" s="12" t="s">
        <v>17</v>
      </c>
      <c r="C339" s="12" t="str">
        <f t="shared" si="115"/>
        <v>Econorte</v>
      </c>
    </row>
    <row r="340" spans="1:3" x14ac:dyDescent="0.35">
      <c r="A340" s="12" t="s">
        <v>600</v>
      </c>
      <c r="B340" s="12" t="s">
        <v>600</v>
      </c>
      <c r="C340" s="12" t="str">
        <f t="shared" si="115"/>
        <v>Concebra</v>
      </c>
    </row>
    <row r="341" spans="1:3" x14ac:dyDescent="0.35">
      <c r="A341" s="13" t="s">
        <v>621</v>
      </c>
      <c r="B341" s="13" t="s">
        <v>621</v>
      </c>
      <c r="C341" s="13" t="str">
        <f t="shared" si="115"/>
        <v>Transbrasiliana</v>
      </c>
    </row>
    <row r="342" spans="1:3" x14ac:dyDescent="0.35">
      <c r="A342" s="16" t="s">
        <v>121</v>
      </c>
      <c r="B342" s="16" t="s">
        <v>233</v>
      </c>
      <c r="C342" s="16" t="str">
        <f t="shared" si="115"/>
        <v>Tarifa Média</v>
      </c>
    </row>
    <row r="343" spans="1:3" x14ac:dyDescent="0.35">
      <c r="A343" s="12" t="s">
        <v>15</v>
      </c>
      <c r="B343" s="12" t="s">
        <v>15</v>
      </c>
      <c r="C343" s="12" t="str">
        <f t="shared" si="115"/>
        <v>Concepa</v>
      </c>
    </row>
    <row r="344" spans="1:3" x14ac:dyDescent="0.35">
      <c r="A344" s="12" t="s">
        <v>16</v>
      </c>
      <c r="B344" s="12" t="s">
        <v>16</v>
      </c>
      <c r="C344" s="12" t="str">
        <f t="shared" si="115"/>
        <v>Concer</v>
      </c>
    </row>
    <row r="345" spans="1:3" x14ac:dyDescent="0.35">
      <c r="A345" s="12" t="s">
        <v>17</v>
      </c>
      <c r="B345" s="12" t="s">
        <v>17</v>
      </c>
      <c r="C345" s="12" t="str">
        <f t="shared" si="115"/>
        <v>Econorte</v>
      </c>
    </row>
    <row r="346" spans="1:3" x14ac:dyDescent="0.35">
      <c r="A346" s="12" t="s">
        <v>600</v>
      </c>
      <c r="B346" s="12" t="s">
        <v>600</v>
      </c>
      <c r="C346" s="12" t="str">
        <f t="shared" si="115"/>
        <v>Concebra</v>
      </c>
    </row>
    <row r="347" spans="1:3" x14ac:dyDescent="0.35">
      <c r="A347" s="13" t="s">
        <v>621</v>
      </c>
      <c r="B347" s="13" t="s">
        <v>621</v>
      </c>
      <c r="C347" s="13" t="str">
        <f t="shared" si="115"/>
        <v>Transbrasiliana</v>
      </c>
    </row>
    <row r="348" spans="1:3" x14ac:dyDescent="0.35">
      <c r="A348" s="16" t="s">
        <v>122</v>
      </c>
      <c r="B348" s="16" t="s">
        <v>234</v>
      </c>
      <c r="C348" s="16" t="str">
        <f t="shared" si="115"/>
        <v>Crescimento Anual da Tarifa Média</v>
      </c>
    </row>
    <row r="349" spans="1:3" x14ac:dyDescent="0.35">
      <c r="A349" s="12" t="s">
        <v>15</v>
      </c>
      <c r="B349" s="12" t="s">
        <v>15</v>
      </c>
      <c r="C349" s="12" t="str">
        <f t="shared" si="115"/>
        <v>Concepa</v>
      </c>
    </row>
    <row r="350" spans="1:3" x14ac:dyDescent="0.35">
      <c r="A350" s="12" t="s">
        <v>16</v>
      </c>
      <c r="B350" s="12" t="s">
        <v>16</v>
      </c>
      <c r="C350" s="12" t="str">
        <f t="shared" si="115"/>
        <v>Concer</v>
      </c>
    </row>
    <row r="351" spans="1:3" x14ac:dyDescent="0.35">
      <c r="A351" s="12" t="s">
        <v>17</v>
      </c>
      <c r="B351" s="12" t="s">
        <v>17</v>
      </c>
      <c r="C351" s="12" t="str">
        <f t="shared" si="115"/>
        <v>Econorte</v>
      </c>
    </row>
    <row r="352" spans="1:3" x14ac:dyDescent="0.35">
      <c r="A352" s="12" t="s">
        <v>600</v>
      </c>
      <c r="B352" s="12" t="s">
        <v>600</v>
      </c>
      <c r="C352" s="12" t="str">
        <f t="shared" ref="C352:C353" si="116">IF($AG$1=1,B352,A352)</f>
        <v>Concebra</v>
      </c>
    </row>
    <row r="353" spans="1:3" x14ac:dyDescent="0.35">
      <c r="A353" s="13" t="s">
        <v>621</v>
      </c>
      <c r="B353" s="13" t="s">
        <v>621</v>
      </c>
      <c r="C353" s="13" t="str">
        <f t="shared" si="116"/>
        <v>Transbrasiliana</v>
      </c>
    </row>
  </sheetData>
  <pageMargins left="0.511811024" right="0.511811024" top="0.78740157499999996" bottom="0.78740157499999996" header="0.31496062000000002" footer="0.31496062000000002"/>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7"/>
  <sheetViews>
    <sheetView showGridLines="0" tabSelected="1" zoomScale="85" zoomScaleNormal="85" workbookViewId="0">
      <pane ySplit="2" topLeftCell="A3" activePane="bottomLeft" state="frozen"/>
      <selection pane="bottomLeft" activeCell="F6" sqref="F6"/>
    </sheetView>
  </sheetViews>
  <sheetFormatPr defaultColWidth="0" defaultRowHeight="0" customHeight="1" zeroHeight="1" x14ac:dyDescent="0.25"/>
  <cols>
    <col min="1" max="1" width="5.7265625" style="84" customWidth="1"/>
    <col min="2" max="3" width="30.7265625" style="84" customWidth="1"/>
    <col min="4" max="4" width="5.7265625" style="84" customWidth="1"/>
    <col min="5" max="6" width="30.7265625" style="84" customWidth="1"/>
    <col min="7" max="7" width="5.7265625" style="84" customWidth="1"/>
    <col min="8" max="16384" width="5.7265625" style="84" hidden="1"/>
  </cols>
  <sheetData>
    <row r="1" spans="2:6" ht="25.5" customHeight="1" x14ac:dyDescent="0.3">
      <c r="E1" s="725" t="s">
        <v>685</v>
      </c>
      <c r="F1" s="726">
        <f ca="1">TODAY()</f>
        <v>45876</v>
      </c>
    </row>
    <row r="2" spans="2:6" ht="25.5" customHeight="1" x14ac:dyDescent="0.25"/>
    <row r="3" spans="2:6" ht="15" customHeight="1" thickBot="1" x14ac:dyDescent="0.3"/>
    <row r="4" spans="2:6" ht="25.5" customHeight="1" thickTop="1" thickBot="1" x14ac:dyDescent="0.3">
      <c r="B4" s="85" t="s">
        <v>429</v>
      </c>
    </row>
    <row r="5" spans="2:6" ht="25.5" customHeight="1" thickTop="1" x14ac:dyDescent="0.25">
      <c r="B5" s="86"/>
    </row>
    <row r="6" spans="2:6" ht="25.5" customHeight="1" x14ac:dyDescent="0.25">
      <c r="B6" s="86"/>
    </row>
    <row r="7" spans="2:6" ht="25.5" customHeight="1" thickBot="1" x14ac:dyDescent="0.3">
      <c r="B7" s="87"/>
    </row>
    <row r="8" spans="2:6" ht="15" customHeight="1" thickTop="1" x14ac:dyDescent="0.25"/>
    <row r="9" spans="2:6" ht="15" customHeight="1" thickBot="1" x14ac:dyDescent="0.3"/>
    <row r="10" spans="2:6" ht="25.5" customHeight="1" thickTop="1" thickBot="1" x14ac:dyDescent="0.3">
      <c r="B10" s="820" t="str">
        <f>Language!$AI$12</f>
        <v>IR PARA:</v>
      </c>
      <c r="C10" s="821"/>
      <c r="D10" s="821"/>
      <c r="E10" s="821"/>
      <c r="F10" s="822"/>
    </row>
    <row r="11" spans="2:6" ht="15" customHeight="1" thickTop="1" thickBot="1" x14ac:dyDescent="0.3"/>
    <row r="12" spans="2:6" ht="20.149999999999999" customHeight="1" thickTop="1" x14ac:dyDescent="0.25">
      <c r="B12" s="816" t="str">
        <f>Language!$AI$13</f>
        <v>Consolidação Proporcional</v>
      </c>
      <c r="C12" s="817"/>
      <c r="E12" s="816" t="str">
        <f>Language!$AI$19</f>
        <v>Aeroportos</v>
      </c>
      <c r="F12" s="817"/>
    </row>
    <row r="13" spans="2:6" ht="20.149999999999999" customHeight="1" thickBot="1" x14ac:dyDescent="0.3">
      <c r="B13" s="818"/>
      <c r="C13" s="819"/>
      <c r="E13" s="818"/>
      <c r="F13" s="819"/>
    </row>
    <row r="14" spans="2:6" ht="18" customHeight="1" thickTop="1" thickBot="1" x14ac:dyDescent="0.3">
      <c r="B14" s="88" t="str">
        <f>Language!$AI$26</f>
        <v>Balanço</v>
      </c>
      <c r="C14" s="88" t="str">
        <f>Language!$AI$28</f>
        <v>Dados</v>
      </c>
      <c r="E14" s="88" t="str">
        <f>Language!$AI$26</f>
        <v>Balanço</v>
      </c>
      <c r="F14" s="88" t="str">
        <f>Language!$AI$28</f>
        <v>Dados</v>
      </c>
    </row>
    <row r="15" spans="2:6" ht="18" customHeight="1" thickTop="1" thickBot="1" x14ac:dyDescent="0.3">
      <c r="B15" s="88" t="str">
        <f>Language!$AI$27</f>
        <v>DRE</v>
      </c>
      <c r="C15" s="88" t="str">
        <f>Language!$AI$29</f>
        <v>Dados Relevantes</v>
      </c>
      <c r="E15" s="88" t="str">
        <f>Language!$AI$27</f>
        <v>DRE</v>
      </c>
      <c r="F15" s="88" t="str">
        <f>Language!$AI$29</f>
        <v>Dados Relevantes</v>
      </c>
    </row>
    <row r="16" spans="2:6" ht="15" customHeight="1" thickTop="1" thickBot="1" x14ac:dyDescent="0.3"/>
    <row r="17" spans="2:6" ht="25.5" customHeight="1" thickTop="1" x14ac:dyDescent="0.25">
      <c r="B17" s="816" t="str">
        <f>Language!$AI$14</f>
        <v>Concessões Rodoviárias</v>
      </c>
      <c r="C17" s="817"/>
      <c r="E17" s="816" t="str">
        <f>Language!$AI$20</f>
        <v>Controladora</v>
      </c>
      <c r="F17" s="817"/>
    </row>
    <row r="18" spans="2:6" ht="25.5" customHeight="1" thickBot="1" x14ac:dyDescent="0.3">
      <c r="B18" s="818"/>
      <c r="C18" s="819"/>
      <c r="E18" s="818"/>
      <c r="F18" s="819"/>
    </row>
    <row r="19" spans="2:6" ht="18" customHeight="1" thickTop="1" thickBot="1" x14ac:dyDescent="0.3">
      <c r="B19" s="88" t="str">
        <f>Language!$AI$26</f>
        <v>Balanço</v>
      </c>
      <c r="C19" s="88" t="str">
        <f>Language!$AI$28</f>
        <v>Dados</v>
      </c>
      <c r="E19" s="88" t="str">
        <f>Language!$AI$27</f>
        <v>DRE</v>
      </c>
      <c r="F19" s="88" t="str">
        <f>Language!$AI$28</f>
        <v>Dados</v>
      </c>
    </row>
    <row r="20" spans="2:6" ht="18" customHeight="1" thickTop="1" thickBot="1" x14ac:dyDescent="0.3">
      <c r="B20" s="88" t="str">
        <f>Language!$AI$27</f>
        <v>DRE</v>
      </c>
      <c r="C20" s="88" t="str">
        <f>Language!$AI$29</f>
        <v>Dados Relevantes</v>
      </c>
    </row>
    <row r="21" spans="2:6" ht="15" customHeight="1" thickTop="1" thickBot="1" x14ac:dyDescent="0.3"/>
    <row r="22" spans="2:6" ht="20.149999999999999" customHeight="1" thickTop="1" x14ac:dyDescent="0.25">
      <c r="B22" s="816" t="str">
        <f>Language!$AI$16</f>
        <v>Energia</v>
      </c>
      <c r="C22" s="817"/>
      <c r="E22" s="816" t="str">
        <f>Language!$AI$21</f>
        <v>Endividamento</v>
      </c>
      <c r="F22" s="817"/>
    </row>
    <row r="23" spans="2:6" ht="20.149999999999999" customHeight="1" thickBot="1" x14ac:dyDescent="0.3">
      <c r="B23" s="818"/>
      <c r="C23" s="819"/>
      <c r="E23" s="818"/>
      <c r="F23" s="819"/>
    </row>
    <row r="24" spans="2:6" ht="18" customHeight="1" thickTop="1" thickBot="1" x14ac:dyDescent="0.3">
      <c r="B24" s="88" t="str">
        <f>Language!$AI$26</f>
        <v>Balanço</v>
      </c>
      <c r="C24" s="88" t="str">
        <f>Language!$AI$28</f>
        <v>Dados</v>
      </c>
    </row>
    <row r="25" spans="2:6" ht="18" customHeight="1" thickTop="1" thickBot="1" x14ac:dyDescent="0.3">
      <c r="B25" s="88" t="str">
        <f>Language!$AI$27</f>
        <v>DRE</v>
      </c>
      <c r="C25" s="88" t="str">
        <f>Language!$AI$29</f>
        <v>Dados Relevantes</v>
      </c>
    </row>
    <row r="26" spans="2:6" ht="15" customHeight="1" thickTop="1" thickBot="1" x14ac:dyDescent="0.3"/>
    <row r="27" spans="2:6" ht="20.149999999999999" customHeight="1" thickTop="1" x14ac:dyDescent="0.25">
      <c r="B27" s="816" t="str">
        <f>Language!$AI$17</f>
        <v>Portos</v>
      </c>
      <c r="C27" s="817"/>
    </row>
    <row r="28" spans="2:6" ht="20.149999999999999" customHeight="1" thickBot="1" x14ac:dyDescent="0.3">
      <c r="B28" s="818"/>
      <c r="C28" s="819"/>
    </row>
    <row r="29" spans="2:6" ht="18" customHeight="1" thickTop="1" thickBot="1" x14ac:dyDescent="0.3">
      <c r="B29" s="88" t="str">
        <f>Language!$AI$26</f>
        <v>Balanço</v>
      </c>
      <c r="C29" s="88" t="str">
        <f>Language!$AI$28</f>
        <v>Dados</v>
      </c>
    </row>
    <row r="30" spans="2:6" ht="18" customHeight="1" thickTop="1" thickBot="1" x14ac:dyDescent="0.3">
      <c r="B30" s="88" t="str">
        <f>Language!$AI$27</f>
        <v>DRE</v>
      </c>
      <c r="C30" s="88" t="str">
        <f>Language!$AI$29</f>
        <v>Dados Relevantes</v>
      </c>
    </row>
    <row r="31" spans="2:6" ht="15" customHeight="1" thickTop="1" x14ac:dyDescent="0.25"/>
    <row r="32" spans="2:6" ht="25.5" hidden="1" customHeight="1" x14ac:dyDescent="0.25"/>
    <row r="33" ht="25.5" hidden="1" customHeight="1" x14ac:dyDescent="0.25"/>
    <row r="34" ht="25.5" hidden="1" customHeight="1" x14ac:dyDescent="0.25"/>
    <row r="35" ht="25.5" hidden="1" customHeight="1" x14ac:dyDescent="0.25"/>
    <row r="36" ht="25.5" hidden="1" customHeight="1" x14ac:dyDescent="0.25"/>
    <row r="37" ht="25.5" hidden="1" customHeight="1" x14ac:dyDescent="0.25"/>
    <row r="38" ht="25.5" hidden="1" customHeight="1" x14ac:dyDescent="0.25"/>
    <row r="39" ht="25.5" hidden="1" customHeight="1" x14ac:dyDescent="0.25"/>
    <row r="40" ht="25.5" hidden="1" customHeight="1" x14ac:dyDescent="0.25"/>
    <row r="41" ht="25.5" hidden="1" customHeight="1" x14ac:dyDescent="0.25"/>
    <row r="42" ht="25.5" hidden="1" customHeight="1" x14ac:dyDescent="0.25"/>
    <row r="43" ht="25.5" hidden="1" customHeight="1" x14ac:dyDescent="0.25"/>
    <row r="44" ht="25.5" hidden="1" customHeight="1" x14ac:dyDescent="0.25"/>
    <row r="45" ht="25.5" hidden="1" customHeight="1" x14ac:dyDescent="0.25"/>
    <row r="46" ht="25.5" hidden="1" customHeight="1" x14ac:dyDescent="0.25"/>
    <row r="47" ht="25.5" hidden="1" customHeight="1" x14ac:dyDescent="0.25"/>
  </sheetData>
  <mergeCells count="8">
    <mergeCell ref="B27:C28"/>
    <mergeCell ref="E12:F13"/>
    <mergeCell ref="E17:F18"/>
    <mergeCell ref="B10:F10"/>
    <mergeCell ref="B12:C13"/>
    <mergeCell ref="B17:C18"/>
    <mergeCell ref="B22:C23"/>
    <mergeCell ref="E22:F23"/>
  </mergeCells>
  <hyperlinks>
    <hyperlink ref="B12:C13" location="Consolidated!A1" display="Consolidado / Consolidated" xr:uid="{00000000-0004-0000-0100-000000000000}"/>
    <hyperlink ref="B17:C18" location="'Toll Roads'!A1" display="Concessões Rodoviárias / Toll Roads" xr:uid="{00000000-0004-0000-0100-000001000000}"/>
    <hyperlink ref="B22:C23" location="Energy!A1" display="Energia / Energy" xr:uid="{00000000-0004-0000-0100-000002000000}"/>
    <hyperlink ref="B27:C28" location="'Ports '!A1" display="'Ports '!A1" xr:uid="{00000000-0004-0000-0100-000003000000}"/>
    <hyperlink ref="B14" location="Consolidated!A6" display="Consolidated!A6" xr:uid="{00000000-0004-0000-0100-000004000000}"/>
    <hyperlink ref="B15" location="Consolidated!A71" display="Consolidated!A71" xr:uid="{00000000-0004-0000-0100-000005000000}"/>
    <hyperlink ref="C14" location="Consolidated!A110" display="Consolidated!A110" xr:uid="{00000000-0004-0000-0100-000006000000}"/>
    <hyperlink ref="C15" location="Consolidated!A215" display="Consolidated!A215" xr:uid="{00000000-0004-0000-0100-000007000000}"/>
    <hyperlink ref="B19" location="'Toll Roads'!A6" display="'Toll Roads'!A6" xr:uid="{00000000-0004-0000-0100-000008000000}"/>
    <hyperlink ref="B20" location="'Toll Roads'!A73" display="'Toll Roads'!A73" xr:uid="{00000000-0004-0000-0100-000009000000}"/>
    <hyperlink ref="C19" location="'Toll Roads'!A173" display="'Toll Roads'!A173" xr:uid="{00000000-0004-0000-0100-00000A000000}"/>
    <hyperlink ref="C20" location="'Toll Roads'!A244" display="'Toll Roads'!A244" xr:uid="{00000000-0004-0000-0100-00000B000000}"/>
    <hyperlink ref="B24" location="Energy!A6" display="Energy!A6" xr:uid="{00000000-0004-0000-0100-00000C000000}"/>
    <hyperlink ref="B25" location="Energy!A71" display="Energy!A71" xr:uid="{00000000-0004-0000-0100-00000D000000}"/>
    <hyperlink ref="C24" location="Energy!A153" display="Energy!A153" xr:uid="{00000000-0004-0000-0100-00000E000000}"/>
    <hyperlink ref="C25" location="Energy!A212" display="Energy!A212" xr:uid="{00000000-0004-0000-0100-00000F000000}"/>
    <hyperlink ref="E19" location="'Parent Company'!A6" display="'Parent Company'!A6" xr:uid="{00000000-0004-0000-0100-000010000000}"/>
    <hyperlink ref="F19" location="'Parent Company'!A28" display="'Parent Company'!A28" xr:uid="{00000000-0004-0000-0100-000011000000}"/>
    <hyperlink ref="B29" location="'Ports '!A6" display="'Ports '!A6" xr:uid="{00000000-0004-0000-0100-000012000000}"/>
    <hyperlink ref="B30" location="'Ports '!A69" display="'Ports '!A69" xr:uid="{00000000-0004-0000-0100-000013000000}"/>
    <hyperlink ref="C29" location="'Ports '!A151" display="'Ports '!A151" xr:uid="{00000000-0004-0000-0100-000014000000}"/>
    <hyperlink ref="C30" location="'Ports '!A209" display="'Ports '!A209" xr:uid="{00000000-0004-0000-0100-000015000000}"/>
    <hyperlink ref="E22:F23" location="Debt!A1" display="Debt!A1" xr:uid="{00000000-0004-0000-0100-000016000000}"/>
    <hyperlink ref="E14" location="'Airports '!Area_de_impressao" display="'Airports '!Area_de_impressao" xr:uid="{00000000-0004-0000-0100-000017000000}"/>
    <hyperlink ref="F14" location="'Airports '!Area_de_impressao" display="'Airports '!Area_de_impressao" xr:uid="{00000000-0004-0000-0100-000018000000}"/>
    <hyperlink ref="E15" location="'Airports '!Area_de_impressao" display="'Airports '!Area_de_impressao" xr:uid="{00000000-0004-0000-0100-000019000000}"/>
    <hyperlink ref="F15" location="'Airports '!Area_de_impressao" display="'Airports '!Area_de_impressao" xr:uid="{00000000-0004-0000-0100-00001A000000}"/>
  </hyperlinks>
  <pageMargins left="0.511811024" right="0.511811024" top="0.78740157499999996" bottom="0.78740157499999996" header="0.31496062000000002" footer="0.3149606200000000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Option Button 3">
              <controlPr defaultSize="0" autoFill="0" autoLine="0" autoPict="0">
                <anchor moveWithCells="1">
                  <from>
                    <xdr:col>1</xdr:col>
                    <xdr:colOff>641350</xdr:colOff>
                    <xdr:row>4</xdr:row>
                    <xdr:rowOff>158750</xdr:rowOff>
                  </from>
                  <to>
                    <xdr:col>1</xdr:col>
                    <xdr:colOff>1352550</xdr:colOff>
                    <xdr:row>5</xdr:row>
                    <xdr:rowOff>101600</xdr:rowOff>
                  </to>
                </anchor>
              </controlPr>
            </control>
          </mc:Choice>
        </mc:AlternateContent>
        <mc:AlternateContent xmlns:mc="http://schemas.openxmlformats.org/markup-compatibility/2006">
          <mc:Choice Requires="x14">
            <control shapeId="5124" r:id="rId5" name="Option Button 4">
              <controlPr defaultSize="0" autoFill="0" autoLine="0" autoPict="0">
                <anchor moveWithCells="1">
                  <from>
                    <xdr:col>1</xdr:col>
                    <xdr:colOff>647700</xdr:colOff>
                    <xdr:row>5</xdr:row>
                    <xdr:rowOff>222250</xdr:rowOff>
                  </from>
                  <to>
                    <xdr:col>1</xdr:col>
                    <xdr:colOff>1358900</xdr:colOff>
                    <xdr:row>6</xdr:row>
                    <xdr:rowOff>165100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CO344"/>
  <sheetViews>
    <sheetView showGridLines="0" zoomScale="80" zoomScaleNormal="80" workbookViewId="0">
      <pane xSplit="1" ySplit="5" topLeftCell="CD6" activePane="bottomRight" state="frozen"/>
      <selection activeCell="L6" sqref="L6"/>
      <selection pane="topRight" activeCell="L6" sqref="L6"/>
      <selection pane="bottomLeft" activeCell="L6" sqref="L6"/>
      <selection pane="bottomRight" activeCell="CG294" sqref="CG294"/>
    </sheetView>
  </sheetViews>
  <sheetFormatPr defaultColWidth="12.7265625" defaultRowHeight="12.5" x14ac:dyDescent="0.25"/>
  <cols>
    <col min="1" max="1" width="50.26953125" style="90" customWidth="1"/>
    <col min="2" max="12" width="12.7265625" style="155" hidden="1" customWidth="1"/>
    <col min="13" max="42" width="12.81640625" style="155" hidden="1" customWidth="1"/>
    <col min="43" max="44" width="12.7265625" style="155" hidden="1" customWidth="1"/>
    <col min="45" max="45" width="12.81640625" style="155" hidden="1" customWidth="1"/>
    <col min="46" max="52" width="12.81640625" style="155" customWidth="1"/>
    <col min="53" max="16384" width="12.7265625" style="155"/>
  </cols>
  <sheetData>
    <row r="1" spans="1:93" s="89" customFormat="1" x14ac:dyDescent="0.25">
      <c r="D1" s="90"/>
      <c r="E1" s="90"/>
      <c r="F1" s="90"/>
      <c r="G1" s="90"/>
      <c r="H1" s="90"/>
      <c r="I1" s="90"/>
      <c r="J1" s="90"/>
      <c r="K1" s="90"/>
      <c r="L1" s="90"/>
      <c r="M1" s="90"/>
      <c r="N1" s="90"/>
      <c r="O1" s="90"/>
      <c r="P1" s="90"/>
      <c r="Q1" s="90"/>
      <c r="R1" s="90"/>
      <c r="S1" s="90"/>
      <c r="T1" s="90"/>
      <c r="U1" s="90"/>
      <c r="V1" s="90"/>
      <c r="W1" s="90"/>
      <c r="X1" s="90"/>
      <c r="Y1" s="90"/>
      <c r="Z1" s="90"/>
      <c r="AA1" s="90"/>
      <c r="AB1" s="90"/>
      <c r="AC1" s="90"/>
      <c r="AD1" s="91"/>
      <c r="AE1" s="90"/>
      <c r="AF1" s="90"/>
      <c r="AG1" s="90"/>
      <c r="AH1" s="90"/>
      <c r="AI1" s="90"/>
      <c r="AJ1" s="90"/>
      <c r="AK1" s="90"/>
      <c r="AL1" s="90"/>
      <c r="AM1" s="90"/>
      <c r="AN1" s="90"/>
      <c r="AO1" s="90"/>
      <c r="AP1" s="90"/>
      <c r="AS1" s="90"/>
      <c r="AT1" s="90"/>
      <c r="AU1" s="90" t="s">
        <v>687</v>
      </c>
      <c r="AV1" s="90"/>
      <c r="AW1" s="90"/>
      <c r="AX1" s="90"/>
      <c r="AY1" s="90"/>
      <c r="AZ1" s="90"/>
    </row>
    <row r="2" spans="1:93" s="89" customFormat="1" ht="13.5" customHeight="1" x14ac:dyDescent="0.25">
      <c r="D2" s="90"/>
      <c r="E2" s="90"/>
      <c r="F2" s="90"/>
      <c r="G2" s="90"/>
      <c r="H2" s="90"/>
      <c r="I2" s="90"/>
      <c r="J2" s="90"/>
      <c r="K2" s="90"/>
      <c r="L2" s="90"/>
      <c r="M2" s="90"/>
      <c r="N2" s="90"/>
      <c r="O2" s="90"/>
      <c r="P2" s="90"/>
      <c r="Q2" s="90"/>
      <c r="R2" s="90"/>
      <c r="S2" s="90"/>
      <c r="T2" s="90"/>
      <c r="U2" s="90"/>
      <c r="V2" s="90"/>
      <c r="W2" s="90"/>
      <c r="X2" s="90"/>
      <c r="Y2" s="90"/>
      <c r="Z2" s="90"/>
      <c r="AA2" s="90"/>
      <c r="AB2" s="90"/>
      <c r="AC2" s="90"/>
      <c r="AD2" s="91"/>
      <c r="AE2" s="90"/>
      <c r="AF2" s="90"/>
      <c r="AG2" s="90"/>
      <c r="AH2" s="90"/>
      <c r="AI2" s="90"/>
      <c r="AJ2" s="90"/>
      <c r="AK2" s="90"/>
      <c r="AL2" s="90"/>
      <c r="AM2" s="90"/>
      <c r="AN2" s="90"/>
      <c r="AO2" s="90"/>
      <c r="AP2" s="90"/>
      <c r="AS2" s="90"/>
      <c r="AT2" s="90"/>
      <c r="AU2" s="90"/>
      <c r="AV2" s="90"/>
      <c r="AW2" s="90"/>
      <c r="AX2" s="90"/>
      <c r="AY2" s="90"/>
      <c r="AZ2" s="90"/>
    </row>
    <row r="3" spans="1:93" s="89" customFormat="1" ht="13.5" customHeight="1" x14ac:dyDescent="0.25">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S3" s="90"/>
      <c r="AT3" s="90"/>
      <c r="AU3" s="90"/>
      <c r="AV3" s="90"/>
      <c r="AW3" s="90"/>
      <c r="AX3" s="90"/>
      <c r="AY3" s="90"/>
      <c r="AZ3" s="90"/>
    </row>
    <row r="4" spans="1:93" s="743" customFormat="1" x14ac:dyDescent="0.25">
      <c r="D4" s="747"/>
      <c r="E4" s="747"/>
      <c r="F4" s="747"/>
      <c r="G4" s="747"/>
      <c r="H4" s="747"/>
      <c r="I4" s="747"/>
      <c r="J4" s="747"/>
      <c r="K4" s="747"/>
      <c r="L4" s="747"/>
      <c r="M4" s="747"/>
      <c r="N4" s="747"/>
      <c r="O4" s="747"/>
      <c r="P4" s="747"/>
      <c r="Q4" s="747"/>
      <c r="R4" s="747"/>
      <c r="S4" s="747"/>
      <c r="T4" s="747"/>
      <c r="U4" s="747"/>
      <c r="V4" s="747"/>
      <c r="W4" s="747"/>
      <c r="X4" s="747"/>
      <c r="Y4" s="747"/>
      <c r="Z4" s="747"/>
      <c r="AA4" s="747"/>
      <c r="AB4" s="747"/>
      <c r="AC4" s="747"/>
      <c r="AD4" s="747"/>
      <c r="AE4" s="747"/>
      <c r="AF4" s="747"/>
      <c r="AG4" s="747"/>
      <c r="AH4" s="198"/>
      <c r="AI4" s="747"/>
      <c r="AJ4" s="198"/>
      <c r="AK4" s="747"/>
      <c r="AL4" s="747"/>
      <c r="AM4" s="747"/>
      <c r="AN4" s="747"/>
      <c r="AO4" s="747"/>
      <c r="AP4" s="747"/>
      <c r="AS4" s="747"/>
      <c r="AT4" s="747"/>
    </row>
    <row r="5" spans="1:93" s="96" customFormat="1" ht="13" x14ac:dyDescent="0.3">
      <c r="A5" s="93" t="s">
        <v>677</v>
      </c>
      <c r="B5" s="93" t="str">
        <f>Language!AG$8</f>
        <v>1T11</v>
      </c>
      <c r="C5" s="93" t="str">
        <f>Language!AH$8</f>
        <v>2T11</v>
      </c>
      <c r="D5" s="93" t="str">
        <f>Language!AI$8</f>
        <v>3T11</v>
      </c>
      <c r="E5" s="94" t="str">
        <f>Language!AJ$8</f>
        <v>4T11</v>
      </c>
      <c r="F5" s="93" t="str">
        <f>Language!AK$8</f>
        <v>1T12</v>
      </c>
      <c r="G5" s="93" t="str">
        <f>Language!AL$8</f>
        <v>2T12</v>
      </c>
      <c r="H5" s="93" t="str">
        <f>Language!AM$8</f>
        <v>3T12</v>
      </c>
      <c r="I5" s="94" t="str">
        <f>Language!AN$8</f>
        <v>4T12</v>
      </c>
      <c r="J5" s="93" t="str">
        <f>Language!AO$8</f>
        <v>1T13</v>
      </c>
      <c r="K5" s="93" t="str">
        <f>Language!AP$8</f>
        <v>2T13</v>
      </c>
      <c r="L5" s="93" t="str">
        <f>Language!AQ$8</f>
        <v>3T13</v>
      </c>
      <c r="M5" s="94" t="str">
        <f>Language!AR$8</f>
        <v>4T13</v>
      </c>
      <c r="N5" s="93" t="str">
        <f>Language!AS$8</f>
        <v>1T14</v>
      </c>
      <c r="O5" s="93" t="str">
        <f>Language!AT$8</f>
        <v>2T14</v>
      </c>
      <c r="P5" s="93" t="str">
        <f>Language!AU$8</f>
        <v>3T14</v>
      </c>
      <c r="Q5" s="93" t="str">
        <f>Language!AV$8</f>
        <v>4T14</v>
      </c>
      <c r="R5" s="95" t="str">
        <f>Language!AW$8</f>
        <v>1T15</v>
      </c>
      <c r="S5" s="93" t="str">
        <f>Language!AX$8</f>
        <v>2T15</v>
      </c>
      <c r="T5" s="93" t="str">
        <f>Language!AY$8</f>
        <v>3T15</v>
      </c>
      <c r="U5" s="93" t="str">
        <f>Language!AZ$8</f>
        <v>4T15</v>
      </c>
      <c r="V5" s="93" t="s">
        <v>638</v>
      </c>
      <c r="W5" s="93" t="s">
        <v>635</v>
      </c>
      <c r="X5" s="93" t="s">
        <v>636</v>
      </c>
      <c r="Y5" s="95" t="s">
        <v>245</v>
      </c>
      <c r="Z5" s="93" t="s">
        <v>246</v>
      </c>
      <c r="AA5" s="93" t="s">
        <v>247</v>
      </c>
      <c r="AB5" s="93" t="s">
        <v>248</v>
      </c>
      <c r="AC5" s="93" t="s">
        <v>641</v>
      </c>
      <c r="AD5" s="93" t="s">
        <v>643</v>
      </c>
      <c r="AE5" s="93" t="s">
        <v>645</v>
      </c>
      <c r="AF5" s="95" t="s">
        <v>249</v>
      </c>
      <c r="AG5" s="93" t="s">
        <v>250</v>
      </c>
      <c r="AH5" s="93" t="s">
        <v>251</v>
      </c>
      <c r="AI5" s="93" t="s">
        <v>252</v>
      </c>
      <c r="AJ5" s="93" t="s">
        <v>648</v>
      </c>
      <c r="AK5" s="93" t="s">
        <v>649</v>
      </c>
      <c r="AL5" s="93" t="s">
        <v>652</v>
      </c>
      <c r="AM5" s="95" t="s">
        <v>253</v>
      </c>
      <c r="AN5" s="93" t="s">
        <v>254</v>
      </c>
      <c r="AO5" s="93" t="s">
        <v>255</v>
      </c>
      <c r="AP5" s="93" t="s">
        <v>256</v>
      </c>
      <c r="AQ5" s="93" t="s">
        <v>669</v>
      </c>
      <c r="AR5" s="93" t="s">
        <v>681</v>
      </c>
      <c r="AS5" s="93" t="s">
        <v>683</v>
      </c>
      <c r="AT5" s="95" t="s">
        <v>257</v>
      </c>
      <c r="AU5" s="95" t="s">
        <v>258</v>
      </c>
      <c r="AV5" s="95" t="s">
        <v>259</v>
      </c>
      <c r="AW5" s="95" t="s">
        <v>260</v>
      </c>
      <c r="AX5" s="95" t="s">
        <v>688</v>
      </c>
      <c r="AY5" s="95" t="s">
        <v>689</v>
      </c>
      <c r="AZ5" s="729" t="s">
        <v>691</v>
      </c>
      <c r="BA5" s="729" t="s">
        <v>261</v>
      </c>
      <c r="BB5" s="729" t="s">
        <v>262</v>
      </c>
      <c r="BC5" s="729" t="s">
        <v>263</v>
      </c>
      <c r="BD5" s="729" t="s">
        <v>264</v>
      </c>
      <c r="BE5" s="729" t="s">
        <v>692</v>
      </c>
      <c r="BF5" s="729" t="s">
        <v>697</v>
      </c>
      <c r="BG5" s="729" t="s">
        <v>698</v>
      </c>
      <c r="BH5" s="729" t="s">
        <v>265</v>
      </c>
      <c r="BI5" s="729" t="s">
        <v>266</v>
      </c>
      <c r="BJ5" s="729" t="s">
        <v>267</v>
      </c>
      <c r="BK5" s="729" t="s">
        <v>268</v>
      </c>
      <c r="BL5" s="729" t="s">
        <v>699</v>
      </c>
      <c r="BM5" s="729" t="s">
        <v>710</v>
      </c>
      <c r="BN5" s="729" t="s">
        <v>717</v>
      </c>
      <c r="BO5" s="729" t="s">
        <v>720</v>
      </c>
      <c r="BP5" s="729" t="s">
        <v>727</v>
      </c>
      <c r="BQ5" s="729" t="s">
        <v>728</v>
      </c>
      <c r="BR5" s="729" t="s">
        <v>729</v>
      </c>
      <c r="BS5" s="729" t="s">
        <v>730</v>
      </c>
      <c r="BT5" s="729" t="s">
        <v>736</v>
      </c>
      <c r="BU5" s="729" t="s">
        <v>739</v>
      </c>
      <c r="BV5" s="729" t="s">
        <v>740</v>
      </c>
      <c r="BW5" s="729" t="s">
        <v>741</v>
      </c>
      <c r="BX5" s="729" t="s">
        <v>742</v>
      </c>
      <c r="BY5" s="729" t="s">
        <v>743</v>
      </c>
      <c r="BZ5" s="729" t="s">
        <v>744</v>
      </c>
      <c r="CA5" s="729" t="s">
        <v>749</v>
      </c>
      <c r="CB5" s="729" t="s">
        <v>750</v>
      </c>
      <c r="CC5" s="729" t="s">
        <v>753</v>
      </c>
      <c r="CD5" s="729" t="s">
        <v>754</v>
      </c>
      <c r="CE5" s="729" t="s">
        <v>755</v>
      </c>
      <c r="CF5" s="729" t="s">
        <v>756</v>
      </c>
      <c r="CG5" s="729" t="s">
        <v>757</v>
      </c>
      <c r="CH5" s="729" t="s">
        <v>758</v>
      </c>
      <c r="CI5" s="729" t="s">
        <v>759</v>
      </c>
      <c r="CJ5" s="729" t="s">
        <v>763</v>
      </c>
      <c r="CK5" s="729" t="s">
        <v>768</v>
      </c>
      <c r="CL5" s="729" t="s">
        <v>769</v>
      </c>
      <c r="CM5" s="729" t="s">
        <v>770</v>
      </c>
      <c r="CN5" s="729" t="s">
        <v>771</v>
      </c>
      <c r="CO5" s="729" t="s">
        <v>772</v>
      </c>
    </row>
    <row r="6" spans="1:93" s="100" customFormat="1" ht="13" x14ac:dyDescent="0.3">
      <c r="A6" s="97" t="str">
        <f>Language!AA6</f>
        <v>ATIVO TOTAL</v>
      </c>
      <c r="B6" s="98">
        <f t="shared" ref="B6:J6" si="0">SUM(B7,B23)</f>
        <v>2990512</v>
      </c>
      <c r="C6" s="98">
        <f t="shared" si="0"/>
        <v>3270183</v>
      </c>
      <c r="D6" s="98">
        <f t="shared" si="0"/>
        <v>3224482</v>
      </c>
      <c r="E6" s="99">
        <f t="shared" si="0"/>
        <v>3403687</v>
      </c>
      <c r="F6" s="98">
        <f t="shared" si="0"/>
        <v>3431313</v>
      </c>
      <c r="G6" s="98">
        <f t="shared" si="0"/>
        <v>3628348</v>
      </c>
      <c r="H6" s="98">
        <f t="shared" si="0"/>
        <v>3906802</v>
      </c>
      <c r="I6" s="99">
        <f t="shared" si="0"/>
        <v>5102790</v>
      </c>
      <c r="J6" s="98">
        <f t="shared" si="0"/>
        <v>5248210</v>
      </c>
      <c r="K6" s="98">
        <f>SUM(K7,K23)</f>
        <v>5617585</v>
      </c>
      <c r="L6" s="98">
        <f>SUM(L7,L23)</f>
        <v>5780365</v>
      </c>
      <c r="M6" s="99">
        <f t="shared" ref="M6:Q6" si="1">SUM(M7,M23,M28)</f>
        <v>6334714</v>
      </c>
      <c r="N6" s="98">
        <f t="shared" si="1"/>
        <v>6760722</v>
      </c>
      <c r="O6" s="98">
        <f t="shared" si="1"/>
        <v>6872761</v>
      </c>
      <c r="P6" s="98">
        <f t="shared" si="1"/>
        <v>7161445</v>
      </c>
      <c r="Q6" s="98">
        <f t="shared" si="1"/>
        <v>6806558</v>
      </c>
      <c r="R6" s="98">
        <f>R7+R23+R28</f>
        <v>7674207</v>
      </c>
      <c r="S6" s="98">
        <f>V6</f>
        <v>0</v>
      </c>
      <c r="T6" s="98">
        <f>W6</f>
        <v>8170335</v>
      </c>
      <c r="U6" s="98">
        <f>X6</f>
        <v>6747853</v>
      </c>
      <c r="V6" s="98">
        <f>V7+V23+V28</f>
        <v>0</v>
      </c>
      <c r="W6" s="98">
        <f>W7+W23+W28</f>
        <v>8170335</v>
      </c>
      <c r="X6" s="98">
        <f>X7+X23+X28</f>
        <v>6747853</v>
      </c>
      <c r="Y6" s="98">
        <f>Y7+Y23+Y28</f>
        <v>6745556</v>
      </c>
      <c r="Z6" s="98">
        <f>AC6</f>
        <v>6552265</v>
      </c>
      <c r="AA6" s="98">
        <f>AD6</f>
        <v>6588575</v>
      </c>
      <c r="AB6" s="98">
        <f>AE6</f>
        <v>6436406</v>
      </c>
      <c r="AC6" s="98">
        <f>AC7+AC23+AC28</f>
        <v>6552265</v>
      </c>
      <c r="AD6" s="98">
        <f>AD7+AD23+AD28</f>
        <v>6588575</v>
      </c>
      <c r="AE6" s="98">
        <f>AE7+AE23+AE28</f>
        <v>6436406</v>
      </c>
      <c r="AF6" s="98">
        <f>AF7+AF23+AF28</f>
        <v>6455344</v>
      </c>
      <c r="AG6" s="98">
        <f>AJ6</f>
        <v>6311111</v>
      </c>
      <c r="AH6" s="98">
        <f t="shared" ref="AH6:AH27" si="2">AK6</f>
        <v>4505347</v>
      </c>
      <c r="AI6" s="98">
        <f t="shared" ref="AI6:AI27" si="3">AL6</f>
        <v>4176645</v>
      </c>
      <c r="AJ6" s="98">
        <f>AJ7+AJ23+AJ28</f>
        <v>6311111</v>
      </c>
      <c r="AK6" s="98">
        <f>AK7+AK23+AK28</f>
        <v>4505347</v>
      </c>
      <c r="AL6" s="98">
        <f>AL7+AL23+AL28</f>
        <v>4176645</v>
      </c>
      <c r="AM6" s="98">
        <f>AM7+AM23+AM28</f>
        <v>4115428</v>
      </c>
      <c r="AN6" s="98">
        <f>AQ6</f>
        <v>4028109</v>
      </c>
      <c r="AO6" s="98">
        <f>AR6</f>
        <v>3958741</v>
      </c>
      <c r="AP6" s="98">
        <f>AS6</f>
        <v>3668268</v>
      </c>
      <c r="AQ6" s="98">
        <f>AQ7+AQ23+AQ28</f>
        <v>4028109</v>
      </c>
      <c r="AR6" s="98">
        <f>AR7+AR23+AR28</f>
        <v>3958741</v>
      </c>
      <c r="AS6" s="98">
        <f>AS7+AS23+AS28</f>
        <v>3668268</v>
      </c>
      <c r="AT6" s="98">
        <f>AT7+AT23+AT28</f>
        <v>3640847</v>
      </c>
      <c r="AU6" s="98">
        <f t="shared" ref="AU6" si="4">AU7+AU23+AU28</f>
        <v>3592562</v>
      </c>
      <c r="AV6" s="98">
        <f>AV7+AV23+AV28</f>
        <v>3564532</v>
      </c>
      <c r="AW6" s="98">
        <f>AZ6</f>
        <v>3641420</v>
      </c>
      <c r="AX6" s="98">
        <v>3592562</v>
      </c>
      <c r="AY6" s="98">
        <f t="shared" ref="AY6:BE6" si="5">AY7+AY23+AY28</f>
        <v>3564532</v>
      </c>
      <c r="AZ6" s="98">
        <f t="shared" si="5"/>
        <v>3641420</v>
      </c>
      <c r="BA6" s="98">
        <f t="shared" si="5"/>
        <v>3568156</v>
      </c>
      <c r="BB6" s="98">
        <f t="shared" si="5"/>
        <v>3526585</v>
      </c>
      <c r="BC6" s="98">
        <f t="shared" si="5"/>
        <v>3462835</v>
      </c>
      <c r="BD6" s="98">
        <f t="shared" si="5"/>
        <v>3281606</v>
      </c>
      <c r="BE6" s="98">
        <f t="shared" si="5"/>
        <v>3526585</v>
      </c>
      <c r="BF6" s="98">
        <f t="shared" ref="BF6:BG6" si="6">BF7+BF23+BF28</f>
        <v>3462835</v>
      </c>
      <c r="BG6" s="98">
        <f t="shared" si="6"/>
        <v>3281606</v>
      </c>
      <c r="BH6" s="98">
        <f t="shared" ref="BH6:BL6" si="7">BH7+BH23+BH28</f>
        <v>3220898</v>
      </c>
      <c r="BI6" s="98">
        <f t="shared" si="7"/>
        <v>3154113</v>
      </c>
      <c r="BJ6" s="98">
        <f t="shared" si="7"/>
        <v>3181125</v>
      </c>
      <c r="BK6" s="98">
        <f t="shared" si="7"/>
        <v>3101960</v>
      </c>
      <c r="BL6" s="99">
        <f t="shared" si="7"/>
        <v>3154113</v>
      </c>
      <c r="BM6" s="99">
        <f t="shared" ref="BM6:BN6" si="8">BM7+BM23+BM28</f>
        <v>3181125</v>
      </c>
      <c r="BN6" s="99">
        <f t="shared" si="8"/>
        <v>3101960</v>
      </c>
      <c r="BO6" s="99">
        <f t="shared" ref="BO6:BP6" si="9">BO7+BO23+BO28</f>
        <v>2929693</v>
      </c>
      <c r="BP6" s="99">
        <f t="shared" si="9"/>
        <v>3222043</v>
      </c>
      <c r="BQ6" s="99">
        <f t="shared" ref="BQ6:BS6" si="10">BQ7+BQ23+BQ28</f>
        <v>3010403</v>
      </c>
      <c r="BR6" s="99">
        <f t="shared" si="10"/>
        <v>2949300</v>
      </c>
      <c r="BS6" s="99">
        <f t="shared" si="10"/>
        <v>3222043</v>
      </c>
      <c r="BT6" s="99">
        <f t="shared" ref="BT6:BU6" si="11">BT7+BT23+BT28</f>
        <v>3010403</v>
      </c>
      <c r="BU6" s="99">
        <f t="shared" si="11"/>
        <v>2949300</v>
      </c>
      <c r="BV6" s="99">
        <f t="shared" ref="BV6" si="12">BV7+BV23+BV28</f>
        <v>2903385</v>
      </c>
      <c r="BW6" s="99">
        <f t="shared" ref="BW6:CB6" si="13">BW7+BW23+BW28</f>
        <v>2831975</v>
      </c>
      <c r="BX6" s="99">
        <f t="shared" si="13"/>
        <v>2896009</v>
      </c>
      <c r="BY6" s="99">
        <f t="shared" si="13"/>
        <v>2856618</v>
      </c>
      <c r="BZ6" s="99">
        <f t="shared" si="13"/>
        <v>2831975</v>
      </c>
      <c r="CA6" s="99">
        <f t="shared" si="13"/>
        <v>2896009</v>
      </c>
      <c r="CB6" s="99">
        <f t="shared" si="13"/>
        <v>2856618</v>
      </c>
      <c r="CC6" s="99">
        <f t="shared" ref="CC6:CD6" si="14">CC7+CC23+CC28</f>
        <v>2845119</v>
      </c>
      <c r="CD6" s="99">
        <f t="shared" si="14"/>
        <v>2843420</v>
      </c>
      <c r="CE6" s="99">
        <f t="shared" ref="CE6:CG6" si="15">CE7+CE23+CE28</f>
        <v>2801498</v>
      </c>
      <c r="CF6" s="99">
        <f t="shared" si="15"/>
        <v>2801622</v>
      </c>
      <c r="CG6" s="99">
        <f t="shared" si="15"/>
        <v>2843420</v>
      </c>
      <c r="CH6" s="99">
        <f t="shared" ref="CH6:CI6" si="16">CH7+CH23+CH28</f>
        <v>2801498</v>
      </c>
      <c r="CI6" s="99">
        <f t="shared" si="16"/>
        <v>2801622</v>
      </c>
      <c r="CJ6" s="99">
        <v>2773137</v>
      </c>
      <c r="CK6" s="99">
        <f t="shared" ref="CK6:CO6" si="17">CK7+CK23+CK28</f>
        <v>2715688</v>
      </c>
      <c r="CL6" s="99">
        <f t="shared" si="17"/>
        <v>0</v>
      </c>
      <c r="CM6" s="99">
        <f t="shared" si="17"/>
        <v>0</v>
      </c>
      <c r="CN6" s="99">
        <f t="shared" si="17"/>
        <v>2715688</v>
      </c>
      <c r="CO6" s="99">
        <f t="shared" si="17"/>
        <v>0</v>
      </c>
    </row>
    <row r="7" spans="1:93" s="100" customFormat="1" ht="13" x14ac:dyDescent="0.3">
      <c r="A7" s="101" t="str">
        <f>Language!AA7</f>
        <v>Ativo Circulante</v>
      </c>
      <c r="B7" s="102">
        <f t="shared" ref="B7:K7" si="18">SUM(B8:B22)</f>
        <v>167024</v>
      </c>
      <c r="C7" s="102">
        <f t="shared" si="18"/>
        <v>362237</v>
      </c>
      <c r="D7" s="102">
        <f t="shared" si="18"/>
        <v>247605</v>
      </c>
      <c r="E7" s="103">
        <f t="shared" si="18"/>
        <v>333353</v>
      </c>
      <c r="F7" s="102">
        <f t="shared" si="18"/>
        <v>254398</v>
      </c>
      <c r="G7" s="102">
        <f t="shared" si="18"/>
        <v>344919</v>
      </c>
      <c r="H7" s="102">
        <f t="shared" si="18"/>
        <v>474385</v>
      </c>
      <c r="I7" s="103">
        <f t="shared" si="18"/>
        <v>348156</v>
      </c>
      <c r="J7" s="102">
        <f t="shared" si="18"/>
        <v>278067</v>
      </c>
      <c r="K7" s="102">
        <f t="shared" si="18"/>
        <v>462988</v>
      </c>
      <c r="L7" s="102">
        <f t="shared" ref="L7:Q7" si="19">SUM(L8:L22)</f>
        <v>359952</v>
      </c>
      <c r="M7" s="103">
        <f t="shared" si="19"/>
        <v>268223</v>
      </c>
      <c r="N7" s="102">
        <f t="shared" si="19"/>
        <v>606710</v>
      </c>
      <c r="O7" s="102">
        <f t="shared" si="19"/>
        <v>530890</v>
      </c>
      <c r="P7" s="102">
        <f t="shared" si="19"/>
        <v>643279</v>
      </c>
      <c r="Q7" s="102">
        <f t="shared" si="19"/>
        <v>680500</v>
      </c>
      <c r="R7" s="102">
        <f>SUM(R8:R22)</f>
        <v>905686</v>
      </c>
      <c r="S7" s="102">
        <f t="shared" ref="S7:S73" si="20">V7</f>
        <v>0</v>
      </c>
      <c r="T7" s="102">
        <f t="shared" ref="T7:T73" si="21">W7</f>
        <v>1121108</v>
      </c>
      <c r="U7" s="102">
        <f t="shared" ref="U7:U73" si="22">X7</f>
        <v>1118010</v>
      </c>
      <c r="V7" s="102">
        <f>SUM(V8:V22)</f>
        <v>0</v>
      </c>
      <c r="W7" s="102">
        <f>SUM(W8:W22)</f>
        <v>1121108</v>
      </c>
      <c r="X7" s="102">
        <f>SUM(X8:X22)</f>
        <v>1118010</v>
      </c>
      <c r="Y7" s="102">
        <f>SUM(Y8:Y22)</f>
        <v>709229</v>
      </c>
      <c r="Z7" s="102">
        <f t="shared" ref="Z7:Z73" si="23">AC7</f>
        <v>356261</v>
      </c>
      <c r="AA7" s="102">
        <f t="shared" ref="AA7:AA73" si="24">AD7</f>
        <v>388755</v>
      </c>
      <c r="AB7" s="102">
        <f t="shared" ref="AB7:AB73" si="25">AE7</f>
        <v>392445</v>
      </c>
      <c r="AC7" s="102">
        <f>SUM(AC8:AC22)</f>
        <v>356261</v>
      </c>
      <c r="AD7" s="102">
        <f>SUM(AD8:AD22)</f>
        <v>388755</v>
      </c>
      <c r="AE7" s="102">
        <f>SUM(AE8:AE22)</f>
        <v>392445</v>
      </c>
      <c r="AF7" s="102">
        <f>SUM(AF8:AF22)</f>
        <v>445924</v>
      </c>
      <c r="AG7" s="102">
        <f t="shared" ref="AG7:AG27" si="26">AJ7</f>
        <v>397297</v>
      </c>
      <c r="AH7" s="102">
        <f t="shared" si="2"/>
        <v>310254</v>
      </c>
      <c r="AI7" s="102">
        <f t="shared" si="3"/>
        <v>647644</v>
      </c>
      <c r="AJ7" s="102">
        <f>SUM(AJ8:AJ22)</f>
        <v>397297</v>
      </c>
      <c r="AK7" s="102">
        <f>SUM(AK8:AK22)</f>
        <v>310254</v>
      </c>
      <c r="AL7" s="102">
        <f>SUM(AL8:AL22)</f>
        <v>647644</v>
      </c>
      <c r="AM7" s="102">
        <f>SUM(AM8:AM22)</f>
        <v>606725</v>
      </c>
      <c r="AN7" s="102">
        <f t="shared" ref="AN7:AP27" si="27">AQ7</f>
        <v>391503</v>
      </c>
      <c r="AO7" s="102">
        <f t="shared" si="27"/>
        <v>334861</v>
      </c>
      <c r="AP7" s="102">
        <f t="shared" si="27"/>
        <v>276271</v>
      </c>
      <c r="AQ7" s="102">
        <f t="shared" ref="AQ7:AV7" si="28">SUM(AQ8:AQ22)</f>
        <v>391503</v>
      </c>
      <c r="AR7" s="102">
        <f t="shared" si="28"/>
        <v>334861</v>
      </c>
      <c r="AS7" s="102">
        <f t="shared" si="28"/>
        <v>276271</v>
      </c>
      <c r="AT7" s="102">
        <f t="shared" si="28"/>
        <v>210139</v>
      </c>
      <c r="AU7" s="102">
        <f t="shared" si="28"/>
        <v>211223</v>
      </c>
      <c r="AV7" s="102">
        <f t="shared" si="28"/>
        <v>236509</v>
      </c>
      <c r="AW7" s="102">
        <f t="shared" ref="AW7:AW27" si="29">AZ7</f>
        <v>230071</v>
      </c>
      <c r="AX7" s="102">
        <f>SUM(AX8:AX22)</f>
        <v>211223</v>
      </c>
      <c r="AY7" s="102">
        <f t="shared" ref="AY7:BE7" si="30">SUM(AY8:AY22)</f>
        <v>236509</v>
      </c>
      <c r="AZ7" s="102">
        <f t="shared" si="30"/>
        <v>230071</v>
      </c>
      <c r="BA7" s="102">
        <f t="shared" si="30"/>
        <v>242731</v>
      </c>
      <c r="BB7" s="102">
        <f t="shared" si="30"/>
        <v>243871</v>
      </c>
      <c r="BC7" s="102">
        <f t="shared" si="30"/>
        <v>235508</v>
      </c>
      <c r="BD7" s="102">
        <f t="shared" si="30"/>
        <v>213489</v>
      </c>
      <c r="BE7" s="102">
        <f t="shared" si="30"/>
        <v>243871</v>
      </c>
      <c r="BF7" s="102">
        <f t="shared" ref="BF7:BG7" si="31">SUM(BF8:BF22)</f>
        <v>235508</v>
      </c>
      <c r="BG7" s="102">
        <f t="shared" si="31"/>
        <v>213489</v>
      </c>
      <c r="BH7" s="102">
        <f t="shared" ref="BH7:BL7" si="32">SUM(BH8:BH22)</f>
        <v>217341</v>
      </c>
      <c r="BI7" s="102">
        <f t="shared" si="32"/>
        <v>216891</v>
      </c>
      <c r="BJ7" s="102">
        <f t="shared" si="32"/>
        <v>244569</v>
      </c>
      <c r="BK7" s="102">
        <f t="shared" si="32"/>
        <v>185137</v>
      </c>
      <c r="BL7" s="103">
        <f t="shared" si="32"/>
        <v>216891</v>
      </c>
      <c r="BM7" s="103">
        <f t="shared" ref="BM7:BN7" si="33">SUM(BM8:BM22)</f>
        <v>244569</v>
      </c>
      <c r="BN7" s="103">
        <f t="shared" si="33"/>
        <v>185137</v>
      </c>
      <c r="BO7" s="103">
        <f t="shared" ref="BO7:BP7" si="34">SUM(BO8:BO22)</f>
        <v>152487</v>
      </c>
      <c r="BP7" s="103">
        <f t="shared" si="34"/>
        <v>225617</v>
      </c>
      <c r="BQ7" s="103">
        <f t="shared" ref="BQ7:BS7" si="35">SUM(BQ8:BQ22)</f>
        <v>216109</v>
      </c>
      <c r="BR7" s="103">
        <f t="shared" si="35"/>
        <v>172692</v>
      </c>
      <c r="BS7" s="103">
        <f t="shared" si="35"/>
        <v>225617</v>
      </c>
      <c r="BT7" s="103">
        <f t="shared" ref="BT7:BU7" si="36">SUM(BT8:BT22)</f>
        <v>216109</v>
      </c>
      <c r="BU7" s="103">
        <f t="shared" si="36"/>
        <v>172692</v>
      </c>
      <c r="BV7" s="103">
        <f t="shared" ref="BV7" si="37">SUM(BV8:BV22)</f>
        <v>190296</v>
      </c>
      <c r="BW7" s="103">
        <f t="shared" ref="BW7:CB7" si="38">SUM(BW8:BW22)</f>
        <v>183562</v>
      </c>
      <c r="BX7" s="103">
        <f t="shared" si="38"/>
        <v>176841</v>
      </c>
      <c r="BY7" s="103">
        <f t="shared" si="38"/>
        <v>179645</v>
      </c>
      <c r="BZ7" s="103">
        <f t="shared" si="38"/>
        <v>183562</v>
      </c>
      <c r="CA7" s="103">
        <f t="shared" si="38"/>
        <v>176841</v>
      </c>
      <c r="CB7" s="103">
        <f t="shared" si="38"/>
        <v>179645</v>
      </c>
      <c r="CC7" s="103">
        <f t="shared" ref="CC7:CD7" si="39">SUM(CC8:CC22)</f>
        <v>215056</v>
      </c>
      <c r="CD7" s="103">
        <f t="shared" si="39"/>
        <v>213307</v>
      </c>
      <c r="CE7" s="103">
        <f t="shared" ref="CE7:CG7" si="40">SUM(CE8:CE22)</f>
        <v>218110</v>
      </c>
      <c r="CF7" s="103">
        <f t="shared" si="40"/>
        <v>207939</v>
      </c>
      <c r="CG7" s="103">
        <f t="shared" si="40"/>
        <v>213307</v>
      </c>
      <c r="CH7" s="103">
        <f t="shared" ref="CH7:CI7" si="41">SUM(CH8:CH22)</f>
        <v>218110</v>
      </c>
      <c r="CI7" s="103">
        <f t="shared" si="41"/>
        <v>207939</v>
      </c>
      <c r="CJ7" s="103">
        <v>209250</v>
      </c>
      <c r="CK7" s="103">
        <f t="shared" ref="CK7:CO7" si="42">SUM(CK8:CK22)</f>
        <v>221826</v>
      </c>
      <c r="CL7" s="103">
        <f t="shared" si="42"/>
        <v>0</v>
      </c>
      <c r="CM7" s="103">
        <f t="shared" si="42"/>
        <v>0</v>
      </c>
      <c r="CN7" s="103">
        <f t="shared" si="42"/>
        <v>221826</v>
      </c>
      <c r="CO7" s="103">
        <f t="shared" si="42"/>
        <v>0</v>
      </c>
    </row>
    <row r="8" spans="1:93" s="92" customFormat="1" x14ac:dyDescent="0.25">
      <c r="A8" s="104" t="str">
        <f>Language!AA8</f>
        <v>Disponibilidades</v>
      </c>
      <c r="B8" s="105">
        <v>30206</v>
      </c>
      <c r="C8" s="105">
        <v>221368</v>
      </c>
      <c r="D8" s="105">
        <v>91963</v>
      </c>
      <c r="E8" s="106">
        <v>142185</v>
      </c>
      <c r="F8" s="105">
        <v>59473</v>
      </c>
      <c r="G8" s="105">
        <v>127579</v>
      </c>
      <c r="H8" s="105">
        <v>243244</v>
      </c>
      <c r="I8" s="106">
        <v>140429</v>
      </c>
      <c r="J8" s="105">
        <v>74874</v>
      </c>
      <c r="K8" s="105">
        <v>255862</v>
      </c>
      <c r="L8" s="105">
        <v>174264</v>
      </c>
      <c r="M8" s="106">
        <v>82666</v>
      </c>
      <c r="N8" s="105">
        <v>130381</v>
      </c>
      <c r="O8" s="105">
        <v>291601</v>
      </c>
      <c r="P8" s="105">
        <v>297091</v>
      </c>
      <c r="Q8" s="105">
        <v>218219</v>
      </c>
      <c r="R8" s="107">
        <v>228204</v>
      </c>
      <c r="S8" s="108">
        <f t="shared" si="20"/>
        <v>0</v>
      </c>
      <c r="T8" s="108">
        <f t="shared" si="21"/>
        <v>201950</v>
      </c>
      <c r="U8" s="108">
        <f t="shared" si="22"/>
        <v>183817</v>
      </c>
      <c r="V8" s="105"/>
      <c r="W8" s="105">
        <v>201950</v>
      </c>
      <c r="X8" s="105">
        <v>183817</v>
      </c>
      <c r="Y8" s="695">
        <v>110203</v>
      </c>
      <c r="Z8" s="108">
        <f t="shared" si="23"/>
        <v>44565</v>
      </c>
      <c r="AA8" s="108">
        <f t="shared" si="24"/>
        <v>79122</v>
      </c>
      <c r="AB8" s="108">
        <f t="shared" si="25"/>
        <v>83190</v>
      </c>
      <c r="AC8" s="108">
        <v>44565</v>
      </c>
      <c r="AD8" s="108">
        <v>79122</v>
      </c>
      <c r="AE8" s="105">
        <v>83190</v>
      </c>
      <c r="AF8" s="107">
        <v>121624</v>
      </c>
      <c r="AG8" s="108">
        <f t="shared" si="26"/>
        <v>81923</v>
      </c>
      <c r="AH8" s="108">
        <f t="shared" si="2"/>
        <v>106366</v>
      </c>
      <c r="AI8" s="108">
        <f t="shared" si="3"/>
        <v>380143</v>
      </c>
      <c r="AJ8" s="108">
        <v>81923</v>
      </c>
      <c r="AK8" s="108">
        <v>106366</v>
      </c>
      <c r="AL8" s="105">
        <v>380143</v>
      </c>
      <c r="AM8" s="107">
        <v>359896</v>
      </c>
      <c r="AN8" s="108">
        <f t="shared" si="27"/>
        <v>259489</v>
      </c>
      <c r="AO8" s="108">
        <f t="shared" si="27"/>
        <v>189734</v>
      </c>
      <c r="AP8" s="108">
        <f t="shared" si="27"/>
        <v>139685</v>
      </c>
      <c r="AQ8" s="108">
        <v>259489</v>
      </c>
      <c r="AR8" s="108">
        <v>189734</v>
      </c>
      <c r="AS8" s="105">
        <v>139685</v>
      </c>
      <c r="AT8" s="107">
        <v>96849</v>
      </c>
      <c r="AU8" s="107">
        <f>AX8</f>
        <v>83516</v>
      </c>
      <c r="AV8" s="107">
        <f>AY8</f>
        <v>94472</v>
      </c>
      <c r="AW8" s="107">
        <f t="shared" si="29"/>
        <v>108936</v>
      </c>
      <c r="AX8" s="107">
        <v>83516</v>
      </c>
      <c r="AY8" s="107">
        <v>94472</v>
      </c>
      <c r="AZ8" s="107">
        <v>108936</v>
      </c>
      <c r="BA8" s="107">
        <v>117635</v>
      </c>
      <c r="BB8" s="107">
        <f>BE8</f>
        <v>113739</v>
      </c>
      <c r="BC8" s="107">
        <f>BF8</f>
        <v>94756</v>
      </c>
      <c r="BD8" s="107">
        <f>BG8</f>
        <v>61375</v>
      </c>
      <c r="BE8" s="107">
        <v>113739</v>
      </c>
      <c r="BF8" s="107">
        <v>94756</v>
      </c>
      <c r="BG8" s="107">
        <v>61375</v>
      </c>
      <c r="BH8" s="107">
        <v>84409</v>
      </c>
      <c r="BI8" s="107">
        <f>BL8</f>
        <v>68738</v>
      </c>
      <c r="BJ8" s="107">
        <f>BM8</f>
        <v>84782</v>
      </c>
      <c r="BK8" s="107">
        <f>BN8</f>
        <v>74237</v>
      </c>
      <c r="BL8" s="772">
        <v>68738</v>
      </c>
      <c r="BM8" s="772">
        <v>84782</v>
      </c>
      <c r="BN8" s="772">
        <v>74237</v>
      </c>
      <c r="BO8" s="772">
        <v>40703</v>
      </c>
      <c r="BP8" s="772">
        <f>BS8</f>
        <v>91038</v>
      </c>
      <c r="BQ8" s="772">
        <f>BT8</f>
        <v>80215</v>
      </c>
      <c r="BR8" s="772">
        <f>BU8</f>
        <v>62879</v>
      </c>
      <c r="BS8" s="772">
        <v>91038</v>
      </c>
      <c r="BT8" s="772">
        <v>80215</v>
      </c>
      <c r="BU8" s="772">
        <v>62879</v>
      </c>
      <c r="BV8" s="772">
        <v>61071</v>
      </c>
      <c r="BW8" s="772">
        <f>BZ8</f>
        <v>50281</v>
      </c>
      <c r="BX8" s="772">
        <f>CA8</f>
        <v>43859</v>
      </c>
      <c r="BY8" s="772">
        <f>CB8</f>
        <v>57913</v>
      </c>
      <c r="BZ8" s="772">
        <v>50281</v>
      </c>
      <c r="CA8" s="772">
        <v>43859</v>
      </c>
      <c r="CB8" s="772">
        <v>57913</v>
      </c>
      <c r="CC8" s="772">
        <v>55414</v>
      </c>
      <c r="CD8" s="772">
        <f>CG8</f>
        <v>59784</v>
      </c>
      <c r="CE8" s="772">
        <f>CH8</f>
        <v>61646</v>
      </c>
      <c r="CF8" s="772">
        <f>CI8</f>
        <v>53126</v>
      </c>
      <c r="CG8" s="772">
        <v>59784</v>
      </c>
      <c r="CH8" s="772">
        <v>61646</v>
      </c>
      <c r="CI8" s="772">
        <v>53126</v>
      </c>
      <c r="CJ8" s="772">
        <v>48221</v>
      </c>
      <c r="CK8" s="772">
        <f>CN8</f>
        <v>44259</v>
      </c>
      <c r="CL8" s="772"/>
      <c r="CM8" s="772"/>
      <c r="CN8" s="772">
        <v>44259</v>
      </c>
      <c r="CO8" s="772"/>
    </row>
    <row r="9" spans="1:93" s="92" customFormat="1" x14ac:dyDescent="0.25">
      <c r="A9" s="104" t="str">
        <f>Language!AA9</f>
        <v>Aplicações Financeiras Vinculadas</v>
      </c>
      <c r="B9" s="105">
        <v>41112</v>
      </c>
      <c r="C9" s="105">
        <v>60726</v>
      </c>
      <c r="D9" s="105">
        <v>58623</v>
      </c>
      <c r="E9" s="106">
        <v>73158</v>
      </c>
      <c r="F9" s="105">
        <v>66385</v>
      </c>
      <c r="G9" s="105">
        <v>63766</v>
      </c>
      <c r="H9" s="105">
        <v>48470</v>
      </c>
      <c r="I9" s="106">
        <v>48355</v>
      </c>
      <c r="J9" s="105">
        <v>24168</v>
      </c>
      <c r="K9" s="105">
        <v>33351</v>
      </c>
      <c r="L9" s="105">
        <v>15440</v>
      </c>
      <c r="M9" s="106">
        <v>12961</v>
      </c>
      <c r="N9" s="105">
        <v>248586</v>
      </c>
      <c r="O9" s="105">
        <v>17707</v>
      </c>
      <c r="P9" s="105">
        <v>18643</v>
      </c>
      <c r="Q9" s="105">
        <v>15668</v>
      </c>
      <c r="R9" s="107">
        <v>44034</v>
      </c>
      <c r="S9" s="108">
        <f t="shared" si="20"/>
        <v>0</v>
      </c>
      <c r="T9" s="108">
        <f t="shared" si="21"/>
        <v>124053</v>
      </c>
      <c r="U9" s="108">
        <f t="shared" si="22"/>
        <v>84695</v>
      </c>
      <c r="V9" s="105"/>
      <c r="W9" s="105">
        <v>124053</v>
      </c>
      <c r="X9" s="105">
        <v>84695</v>
      </c>
      <c r="Y9" s="107">
        <v>119267</v>
      </c>
      <c r="Z9" s="108">
        <f t="shared" si="23"/>
        <v>79777</v>
      </c>
      <c r="AA9" s="108">
        <f t="shared" si="24"/>
        <v>96919</v>
      </c>
      <c r="AB9" s="108">
        <f t="shared" si="25"/>
        <v>87749</v>
      </c>
      <c r="AC9" s="108">
        <v>79777</v>
      </c>
      <c r="AD9" s="108">
        <v>96919</v>
      </c>
      <c r="AE9" s="105">
        <v>87749</v>
      </c>
      <c r="AF9" s="107">
        <v>112414</v>
      </c>
      <c r="AG9" s="108">
        <f t="shared" si="26"/>
        <v>99261</v>
      </c>
      <c r="AH9" s="108">
        <f t="shared" si="2"/>
        <v>50442</v>
      </c>
      <c r="AI9" s="108">
        <f t="shared" si="3"/>
        <v>28598</v>
      </c>
      <c r="AJ9" s="108">
        <v>99261</v>
      </c>
      <c r="AK9" s="108">
        <v>50442</v>
      </c>
      <c r="AL9" s="105">
        <v>28598</v>
      </c>
      <c r="AM9" s="107">
        <v>45592</v>
      </c>
      <c r="AN9" s="108">
        <f t="shared" si="27"/>
        <v>27092</v>
      </c>
      <c r="AO9" s="108">
        <f t="shared" si="27"/>
        <v>39896</v>
      </c>
      <c r="AP9" s="108">
        <f t="shared" si="27"/>
        <v>29298</v>
      </c>
      <c r="AQ9" s="108">
        <v>27092</v>
      </c>
      <c r="AR9" s="108">
        <v>39896</v>
      </c>
      <c r="AS9" s="105">
        <v>29298</v>
      </c>
      <c r="AT9" s="107">
        <v>11811</v>
      </c>
      <c r="AU9" s="107">
        <f t="shared" ref="AU9:AU22" si="43">AX9</f>
        <v>11957</v>
      </c>
      <c r="AV9" s="107">
        <f t="shared" ref="AV9:AV22" si="44">AY9</f>
        <v>12135</v>
      </c>
      <c r="AW9" s="107">
        <f t="shared" si="29"/>
        <v>11806</v>
      </c>
      <c r="AX9" s="107">
        <v>11957</v>
      </c>
      <c r="AY9" s="107">
        <v>12135</v>
      </c>
      <c r="AZ9" s="107">
        <v>11806</v>
      </c>
      <c r="BA9" s="107">
        <v>11483</v>
      </c>
      <c r="BB9" s="107">
        <f t="shared" ref="BB9:BB22" si="45">BE9</f>
        <v>11552</v>
      </c>
      <c r="BC9" s="107">
        <f t="shared" ref="BC9:BC22" si="46">BF9</f>
        <v>11557</v>
      </c>
      <c r="BD9" s="107">
        <f t="shared" ref="BD9:BD22" si="47">BG9</f>
        <v>13681</v>
      </c>
      <c r="BE9" s="107">
        <v>11552</v>
      </c>
      <c r="BF9" s="107">
        <v>11557</v>
      </c>
      <c r="BG9" s="107">
        <v>13681</v>
      </c>
      <c r="BH9" s="107">
        <v>13738</v>
      </c>
      <c r="BI9" s="107">
        <f t="shared" ref="BI9:BI22" si="48">BL9</f>
        <v>13900</v>
      </c>
      <c r="BJ9" s="107">
        <f t="shared" ref="BJ9:BJ22" si="49">BM9</f>
        <v>13856</v>
      </c>
      <c r="BK9" s="107">
        <f t="shared" ref="BK9:BK22" si="50">BN9</f>
        <v>13622</v>
      </c>
      <c r="BL9" s="772">
        <v>13900</v>
      </c>
      <c r="BM9" s="772">
        <v>13856</v>
      </c>
      <c r="BN9" s="772">
        <v>13622</v>
      </c>
      <c r="BO9" s="772">
        <v>13773</v>
      </c>
      <c r="BP9" s="772">
        <f t="shared" ref="BP9:BP22" si="51">BS9</f>
        <v>3995</v>
      </c>
      <c r="BQ9" s="772">
        <f t="shared" ref="BQ9:BQ22" si="52">BT9</f>
        <v>3996</v>
      </c>
      <c r="BR9" s="772">
        <f t="shared" ref="BR9:BR22" si="53">BU9</f>
        <v>173</v>
      </c>
      <c r="BS9" s="772">
        <v>3995</v>
      </c>
      <c r="BT9" s="772">
        <v>3996</v>
      </c>
      <c r="BU9" s="772">
        <v>173</v>
      </c>
      <c r="BV9" s="772">
        <v>179</v>
      </c>
      <c r="BW9" s="772">
        <f t="shared" ref="BW9:BW22" si="54">BZ9</f>
        <v>185</v>
      </c>
      <c r="BX9" s="772">
        <f t="shared" ref="BX9:BX22" si="55">CA9</f>
        <v>186</v>
      </c>
      <c r="BY9" s="772">
        <f t="shared" ref="BY9:BY22" si="56">CB9</f>
        <v>192</v>
      </c>
      <c r="BZ9" s="772">
        <v>185</v>
      </c>
      <c r="CA9" s="772">
        <v>186</v>
      </c>
      <c r="CB9" s="772">
        <v>192</v>
      </c>
      <c r="CC9" s="772">
        <v>197</v>
      </c>
      <c r="CD9" s="772">
        <f t="shared" ref="CD9:CD22" si="57">CG9</f>
        <v>202</v>
      </c>
      <c r="CE9" s="772">
        <f t="shared" ref="CE9:CE22" si="58">CH9</f>
        <v>207</v>
      </c>
      <c r="CF9" s="772">
        <f t="shared" ref="CF9:CF22" si="59">CI9</f>
        <v>0</v>
      </c>
      <c r="CG9" s="772">
        <v>202</v>
      </c>
      <c r="CH9" s="772">
        <v>207</v>
      </c>
      <c r="CI9" s="772">
        <v>0</v>
      </c>
      <c r="CJ9" s="772">
        <v>0</v>
      </c>
      <c r="CK9" s="772">
        <f t="shared" ref="CK9:CK22" si="60">CN9</f>
        <v>0</v>
      </c>
      <c r="CL9" s="772"/>
      <c r="CM9" s="772"/>
      <c r="CN9" s="772">
        <v>0</v>
      </c>
      <c r="CO9" s="772"/>
    </row>
    <row r="10" spans="1:93" s="92" customFormat="1" x14ac:dyDescent="0.25">
      <c r="A10" s="104" t="str">
        <f>Language!AA10</f>
        <v>Caixa Restrito</v>
      </c>
      <c r="B10" s="105"/>
      <c r="C10" s="105"/>
      <c r="D10" s="105"/>
      <c r="E10" s="106"/>
      <c r="F10" s="105"/>
      <c r="G10" s="105"/>
      <c r="H10" s="105"/>
      <c r="I10" s="106"/>
      <c r="J10" s="105"/>
      <c r="K10" s="105"/>
      <c r="L10" s="105"/>
      <c r="M10" s="106"/>
      <c r="N10" s="105"/>
      <c r="O10" s="105"/>
      <c r="P10" s="105"/>
      <c r="Q10" s="105"/>
      <c r="R10" s="107"/>
      <c r="S10" s="108">
        <f t="shared" si="20"/>
        <v>0</v>
      </c>
      <c r="T10" s="108">
        <f t="shared" si="21"/>
        <v>0</v>
      </c>
      <c r="U10" s="108">
        <f t="shared" si="22"/>
        <v>0</v>
      </c>
      <c r="V10" s="105"/>
      <c r="W10" s="105"/>
      <c r="X10" s="105"/>
      <c r="Y10" s="107"/>
      <c r="Z10" s="108"/>
      <c r="AA10" s="108"/>
      <c r="AB10" s="108"/>
      <c r="AC10" s="108"/>
      <c r="AD10" s="108"/>
      <c r="AE10" s="105"/>
      <c r="AF10" s="107"/>
      <c r="AG10" s="108"/>
      <c r="AH10" s="108">
        <f t="shared" si="2"/>
        <v>2492</v>
      </c>
      <c r="AI10" s="108">
        <f t="shared" si="3"/>
        <v>2588</v>
      </c>
      <c r="AJ10" s="108"/>
      <c r="AK10" s="108">
        <v>2492</v>
      </c>
      <c r="AL10" s="105">
        <v>2588</v>
      </c>
      <c r="AM10" s="107">
        <v>1298</v>
      </c>
      <c r="AN10" s="108">
        <f t="shared" si="27"/>
        <v>892</v>
      </c>
      <c r="AO10" s="108">
        <f t="shared" si="27"/>
        <v>687</v>
      </c>
      <c r="AP10" s="108">
        <f t="shared" si="27"/>
        <v>1396</v>
      </c>
      <c r="AQ10" s="108">
        <v>892</v>
      </c>
      <c r="AR10" s="108">
        <v>687</v>
      </c>
      <c r="AS10" s="105">
        <v>1396</v>
      </c>
      <c r="AT10" s="107">
        <v>1008</v>
      </c>
      <c r="AU10" s="107">
        <f t="shared" si="43"/>
        <v>1654</v>
      </c>
      <c r="AV10" s="107">
        <f t="shared" si="44"/>
        <v>1062</v>
      </c>
      <c r="AW10" s="107">
        <f t="shared" si="29"/>
        <v>4011</v>
      </c>
      <c r="AX10" s="107">
        <v>1654</v>
      </c>
      <c r="AY10" s="107">
        <v>1062</v>
      </c>
      <c r="AZ10" s="107">
        <v>4011</v>
      </c>
      <c r="BA10" s="107">
        <v>2055</v>
      </c>
      <c r="BB10" s="107">
        <f t="shared" si="45"/>
        <v>538</v>
      </c>
      <c r="BC10" s="107">
        <f t="shared" si="46"/>
        <v>6420</v>
      </c>
      <c r="BD10" s="107">
        <f t="shared" si="47"/>
        <v>5659</v>
      </c>
      <c r="BE10" s="107">
        <v>538</v>
      </c>
      <c r="BF10" s="107">
        <v>6420</v>
      </c>
      <c r="BG10" s="107">
        <v>5659</v>
      </c>
      <c r="BH10" s="107">
        <v>2157</v>
      </c>
      <c r="BI10" s="107">
        <f t="shared" si="48"/>
        <v>2219</v>
      </c>
      <c r="BJ10" s="107">
        <f t="shared" si="49"/>
        <v>9538</v>
      </c>
      <c r="BK10" s="107">
        <f t="shared" si="50"/>
        <v>9588</v>
      </c>
      <c r="BL10" s="772">
        <v>2219</v>
      </c>
      <c r="BM10" s="772">
        <v>9538</v>
      </c>
      <c r="BN10" s="772">
        <v>9588</v>
      </c>
      <c r="BO10" s="772">
        <v>9735</v>
      </c>
      <c r="BP10" s="772">
        <f t="shared" si="51"/>
        <v>7489</v>
      </c>
      <c r="BQ10" s="772">
        <f t="shared" si="52"/>
        <v>7770</v>
      </c>
      <c r="BR10" s="772">
        <f t="shared" si="53"/>
        <v>7312</v>
      </c>
      <c r="BS10" s="772">
        <v>7489</v>
      </c>
      <c r="BT10" s="772">
        <v>7770</v>
      </c>
      <c r="BU10" s="772">
        <v>7312</v>
      </c>
      <c r="BV10" s="772">
        <v>7621</v>
      </c>
      <c r="BW10" s="772">
        <f t="shared" si="54"/>
        <v>7957</v>
      </c>
      <c r="BX10" s="772">
        <f t="shared" si="55"/>
        <v>8446</v>
      </c>
      <c r="BY10" s="772">
        <f t="shared" si="56"/>
        <v>8306</v>
      </c>
      <c r="BZ10" s="772">
        <v>7957</v>
      </c>
      <c r="CA10" s="772">
        <v>8446</v>
      </c>
      <c r="CB10" s="772">
        <v>8306</v>
      </c>
      <c r="CC10" s="772">
        <v>7919</v>
      </c>
      <c r="CD10" s="772">
        <f t="shared" si="57"/>
        <v>8696</v>
      </c>
      <c r="CE10" s="772">
        <f t="shared" si="58"/>
        <v>10560</v>
      </c>
      <c r="CF10" s="772">
        <f t="shared" si="59"/>
        <v>10576</v>
      </c>
      <c r="CG10" s="772">
        <v>8696</v>
      </c>
      <c r="CH10" s="772">
        <v>10560</v>
      </c>
      <c r="CI10" s="772">
        <v>10576</v>
      </c>
      <c r="CJ10" s="772">
        <v>16450</v>
      </c>
      <c r="CK10" s="772">
        <f t="shared" si="60"/>
        <v>14181</v>
      </c>
      <c r="CL10" s="772"/>
      <c r="CM10" s="772"/>
      <c r="CN10" s="772">
        <v>14181</v>
      </c>
      <c r="CO10" s="772"/>
    </row>
    <row r="11" spans="1:93" s="92" customFormat="1" x14ac:dyDescent="0.25">
      <c r="A11" s="104" t="str">
        <f>Language!AA11</f>
        <v>Contas a Receber de Clientes</v>
      </c>
      <c r="B11" s="105">
        <v>38946</v>
      </c>
      <c r="C11" s="105">
        <v>40142</v>
      </c>
      <c r="D11" s="105">
        <v>40982</v>
      </c>
      <c r="E11" s="106">
        <v>54632</v>
      </c>
      <c r="F11" s="105">
        <v>55506</v>
      </c>
      <c r="G11" s="105">
        <v>61999</v>
      </c>
      <c r="H11" s="105">
        <v>84683</v>
      </c>
      <c r="I11" s="106">
        <v>86391</v>
      </c>
      <c r="J11" s="105">
        <v>101824</v>
      </c>
      <c r="K11" s="105">
        <v>95567</v>
      </c>
      <c r="L11" s="105">
        <v>102927</v>
      </c>
      <c r="M11" s="106">
        <v>109060</v>
      </c>
      <c r="N11" s="105">
        <v>165885</v>
      </c>
      <c r="O11" s="105">
        <v>140900</v>
      </c>
      <c r="P11" s="105">
        <v>237719</v>
      </c>
      <c r="Q11" s="105">
        <v>92345</v>
      </c>
      <c r="R11" s="107">
        <v>128966</v>
      </c>
      <c r="S11" s="108">
        <f t="shared" si="20"/>
        <v>0</v>
      </c>
      <c r="T11" s="108">
        <f t="shared" si="21"/>
        <v>110276</v>
      </c>
      <c r="U11" s="108">
        <f t="shared" si="22"/>
        <v>153154</v>
      </c>
      <c r="V11" s="105"/>
      <c r="W11" s="105">
        <v>110276</v>
      </c>
      <c r="X11" s="105">
        <v>153154</v>
      </c>
      <c r="Y11" s="107">
        <v>105292</v>
      </c>
      <c r="Z11" s="108">
        <f t="shared" si="23"/>
        <v>103267</v>
      </c>
      <c r="AA11" s="108">
        <f t="shared" si="24"/>
        <v>99540</v>
      </c>
      <c r="AB11" s="108">
        <f t="shared" si="25"/>
        <v>118300</v>
      </c>
      <c r="AC11" s="108">
        <v>103267</v>
      </c>
      <c r="AD11" s="108">
        <v>99540</v>
      </c>
      <c r="AE11" s="105">
        <v>118300</v>
      </c>
      <c r="AF11" s="107">
        <v>106078</v>
      </c>
      <c r="AG11" s="108">
        <f t="shared" si="26"/>
        <v>103321</v>
      </c>
      <c r="AH11" s="108">
        <f t="shared" si="2"/>
        <v>110703</v>
      </c>
      <c r="AI11" s="108">
        <f t="shared" si="3"/>
        <v>196856</v>
      </c>
      <c r="AJ11" s="108">
        <v>103321</v>
      </c>
      <c r="AK11" s="108">
        <v>110703</v>
      </c>
      <c r="AL11" s="105">
        <v>196856</v>
      </c>
      <c r="AM11" s="107">
        <v>155679</v>
      </c>
      <c r="AN11" s="108">
        <f t="shared" si="27"/>
        <v>58835</v>
      </c>
      <c r="AO11" s="108">
        <f t="shared" si="27"/>
        <v>59509</v>
      </c>
      <c r="AP11" s="108">
        <f t="shared" si="27"/>
        <v>54259</v>
      </c>
      <c r="AQ11" s="108">
        <v>58835</v>
      </c>
      <c r="AR11" s="108">
        <v>59509</v>
      </c>
      <c r="AS11" s="105">
        <v>54259</v>
      </c>
      <c r="AT11" s="107">
        <v>51005</v>
      </c>
      <c r="AU11" s="107">
        <f t="shared" si="43"/>
        <v>54429</v>
      </c>
      <c r="AV11" s="107">
        <f t="shared" si="44"/>
        <v>62497</v>
      </c>
      <c r="AW11" s="107">
        <f t="shared" si="29"/>
        <v>59520</v>
      </c>
      <c r="AX11" s="107">
        <v>54429</v>
      </c>
      <c r="AY11" s="107">
        <v>62497</v>
      </c>
      <c r="AZ11" s="107">
        <v>59520</v>
      </c>
      <c r="BA11" s="107">
        <v>55747</v>
      </c>
      <c r="BB11" s="107">
        <f t="shared" si="45"/>
        <v>56762</v>
      </c>
      <c r="BC11" s="107">
        <f t="shared" si="46"/>
        <v>61396</v>
      </c>
      <c r="BD11" s="107">
        <f t="shared" si="47"/>
        <v>63726</v>
      </c>
      <c r="BE11" s="107">
        <v>56762</v>
      </c>
      <c r="BF11" s="107">
        <v>61396</v>
      </c>
      <c r="BG11" s="107">
        <v>63726</v>
      </c>
      <c r="BH11" s="107">
        <v>61465</v>
      </c>
      <c r="BI11" s="107">
        <f t="shared" si="48"/>
        <v>65017</v>
      </c>
      <c r="BJ11" s="107">
        <f t="shared" si="49"/>
        <v>68948</v>
      </c>
      <c r="BK11" s="107">
        <f t="shared" si="50"/>
        <v>51091</v>
      </c>
      <c r="BL11" s="772">
        <v>65017</v>
      </c>
      <c r="BM11" s="772">
        <v>68948</v>
      </c>
      <c r="BN11" s="772">
        <v>51091</v>
      </c>
      <c r="BO11" s="772">
        <v>45480</v>
      </c>
      <c r="BP11" s="772">
        <f t="shared" si="51"/>
        <v>73703</v>
      </c>
      <c r="BQ11" s="772">
        <f t="shared" si="52"/>
        <v>76860</v>
      </c>
      <c r="BR11" s="772">
        <f t="shared" si="53"/>
        <v>75832</v>
      </c>
      <c r="BS11" s="772">
        <v>73703</v>
      </c>
      <c r="BT11" s="772">
        <v>76860</v>
      </c>
      <c r="BU11" s="772">
        <v>75832</v>
      </c>
      <c r="BV11" s="772">
        <v>79759</v>
      </c>
      <c r="BW11" s="772">
        <f t="shared" si="54"/>
        <v>77676</v>
      </c>
      <c r="BX11" s="772">
        <f t="shared" si="55"/>
        <v>85675</v>
      </c>
      <c r="BY11" s="772">
        <f t="shared" si="56"/>
        <v>86484</v>
      </c>
      <c r="BZ11" s="772">
        <v>77676</v>
      </c>
      <c r="CA11" s="772">
        <v>85675</v>
      </c>
      <c r="CB11" s="772">
        <v>86484</v>
      </c>
      <c r="CC11" s="772">
        <v>94678</v>
      </c>
      <c r="CD11" s="772">
        <f t="shared" si="57"/>
        <v>96116</v>
      </c>
      <c r="CE11" s="772">
        <f t="shared" si="58"/>
        <v>98034</v>
      </c>
      <c r="CF11" s="772">
        <f t="shared" si="59"/>
        <v>93513</v>
      </c>
      <c r="CG11" s="772">
        <v>96116</v>
      </c>
      <c r="CH11" s="772">
        <v>98034</v>
      </c>
      <c r="CI11" s="772">
        <v>93513</v>
      </c>
      <c r="CJ11" s="772">
        <v>92722</v>
      </c>
      <c r="CK11" s="772">
        <f t="shared" si="60"/>
        <v>85857</v>
      </c>
      <c r="CL11" s="772"/>
      <c r="CM11" s="772"/>
      <c r="CN11" s="772">
        <v>85857</v>
      </c>
      <c r="CO11" s="772"/>
    </row>
    <row r="12" spans="1:93" s="92" customFormat="1" x14ac:dyDescent="0.25">
      <c r="A12" s="104" t="str">
        <f>Language!AA12</f>
        <v>Indenizações a receber - aditivos</v>
      </c>
      <c r="B12" s="105">
        <v>0</v>
      </c>
      <c r="C12" s="105">
        <v>0</v>
      </c>
      <c r="D12" s="105">
        <v>312</v>
      </c>
      <c r="E12" s="106">
        <v>0</v>
      </c>
      <c r="F12" s="105">
        <v>0</v>
      </c>
      <c r="G12" s="105">
        <v>0</v>
      </c>
      <c r="H12" s="105">
        <v>0</v>
      </c>
      <c r="I12" s="106">
        <v>0</v>
      </c>
      <c r="J12" s="105">
        <v>0</v>
      </c>
      <c r="K12" s="105">
        <v>0</v>
      </c>
      <c r="L12" s="105">
        <v>0</v>
      </c>
      <c r="M12" s="106">
        <v>0</v>
      </c>
      <c r="N12" s="105">
        <v>0</v>
      </c>
      <c r="O12" s="105">
        <v>0</v>
      </c>
      <c r="P12" s="105">
        <v>0</v>
      </c>
      <c r="Q12" s="105">
        <v>261683</v>
      </c>
      <c r="R12" s="107">
        <v>401448</v>
      </c>
      <c r="S12" s="108">
        <f t="shared" si="20"/>
        <v>0</v>
      </c>
      <c r="T12" s="108">
        <f t="shared" si="21"/>
        <v>553149</v>
      </c>
      <c r="U12" s="108">
        <f t="shared" si="22"/>
        <v>578564</v>
      </c>
      <c r="V12" s="105"/>
      <c r="W12" s="105">
        <v>553149</v>
      </c>
      <c r="X12" s="105">
        <v>578564</v>
      </c>
      <c r="Y12" s="107">
        <v>279698</v>
      </c>
      <c r="Z12" s="108">
        <f t="shared" si="23"/>
        <v>38012</v>
      </c>
      <c r="AA12" s="108">
        <f t="shared" si="24"/>
        <v>38012</v>
      </c>
      <c r="AB12" s="108">
        <f t="shared" si="25"/>
        <v>38012</v>
      </c>
      <c r="AC12" s="108">
        <v>38012</v>
      </c>
      <c r="AD12" s="108">
        <v>38012</v>
      </c>
      <c r="AE12" s="105">
        <v>38012</v>
      </c>
      <c r="AF12" s="107">
        <v>38012</v>
      </c>
      <c r="AG12" s="108">
        <f t="shared" si="26"/>
        <v>38012</v>
      </c>
      <c r="AH12" s="108"/>
      <c r="AI12" s="108">
        <f t="shared" si="3"/>
        <v>20164</v>
      </c>
      <c r="AJ12" s="108">
        <v>38012</v>
      </c>
      <c r="AK12" s="108"/>
      <c r="AL12" s="105">
        <v>20164</v>
      </c>
      <c r="AM12" s="107">
        <v>20164</v>
      </c>
      <c r="AN12" s="108">
        <f t="shared" si="27"/>
        <v>20164</v>
      </c>
      <c r="AO12" s="108">
        <f t="shared" si="27"/>
        <v>20164</v>
      </c>
      <c r="AP12" s="108">
        <f t="shared" si="27"/>
        <v>20164</v>
      </c>
      <c r="AQ12" s="108">
        <v>20164</v>
      </c>
      <c r="AR12" s="108">
        <v>20164</v>
      </c>
      <c r="AS12" s="105">
        <v>20164</v>
      </c>
      <c r="AT12" s="107">
        <v>20164</v>
      </c>
      <c r="AU12" s="107">
        <f t="shared" si="43"/>
        <v>20164</v>
      </c>
      <c r="AV12" s="107">
        <f t="shared" si="44"/>
        <v>20164</v>
      </c>
      <c r="AW12" s="107">
        <f t="shared" si="29"/>
        <v>20164</v>
      </c>
      <c r="AX12" s="107">
        <v>20164</v>
      </c>
      <c r="AY12" s="107">
        <v>20164</v>
      </c>
      <c r="AZ12" s="107">
        <v>20164</v>
      </c>
      <c r="BA12" s="107">
        <v>20164</v>
      </c>
      <c r="BB12" s="107">
        <f t="shared" si="45"/>
        <v>20164</v>
      </c>
      <c r="BC12" s="107">
        <f t="shared" si="46"/>
        <v>20164</v>
      </c>
      <c r="BD12" s="107">
        <f t="shared" si="47"/>
        <v>20164</v>
      </c>
      <c r="BE12" s="107">
        <v>20164</v>
      </c>
      <c r="BF12" s="107">
        <v>20164</v>
      </c>
      <c r="BG12" s="107">
        <v>20164</v>
      </c>
      <c r="BH12" s="107">
        <v>20164</v>
      </c>
      <c r="BI12" s="107">
        <f t="shared" si="48"/>
        <v>20164</v>
      </c>
      <c r="BJ12" s="107">
        <f t="shared" si="49"/>
        <v>20164</v>
      </c>
      <c r="BK12" s="107">
        <f t="shared" si="50"/>
        <v>0</v>
      </c>
      <c r="BL12" s="772">
        <v>20164</v>
      </c>
      <c r="BM12" s="772">
        <v>20164</v>
      </c>
      <c r="BN12" s="772">
        <v>0</v>
      </c>
      <c r="BO12" s="772">
        <v>0</v>
      </c>
      <c r="BP12" s="772">
        <f t="shared" si="51"/>
        <v>0</v>
      </c>
      <c r="BQ12" s="772">
        <f t="shared" si="52"/>
        <v>0</v>
      </c>
      <c r="BR12" s="772">
        <f t="shared" si="53"/>
        <v>0</v>
      </c>
      <c r="BS12" s="772">
        <v>0</v>
      </c>
      <c r="BT12" s="772">
        <v>0</v>
      </c>
      <c r="BU12" s="772">
        <v>0</v>
      </c>
      <c r="BV12" s="772">
        <v>0</v>
      </c>
      <c r="BW12" s="772">
        <f t="shared" si="54"/>
        <v>0</v>
      </c>
      <c r="BX12" s="772">
        <f t="shared" si="55"/>
        <v>0</v>
      </c>
      <c r="BY12" s="772">
        <f t="shared" si="56"/>
        <v>0</v>
      </c>
      <c r="BZ12" s="772">
        <v>0</v>
      </c>
      <c r="CA12" s="772">
        <v>0</v>
      </c>
      <c r="CB12" s="772">
        <v>0</v>
      </c>
      <c r="CC12" s="772">
        <v>0</v>
      </c>
      <c r="CD12" s="772">
        <f t="shared" si="57"/>
        <v>0</v>
      </c>
      <c r="CE12" s="772">
        <f t="shared" si="58"/>
        <v>0</v>
      </c>
      <c r="CF12" s="772">
        <f t="shared" si="59"/>
        <v>0</v>
      </c>
      <c r="CG12" s="772">
        <v>0</v>
      </c>
      <c r="CH12" s="772">
        <v>0</v>
      </c>
      <c r="CI12" s="772">
        <v>0</v>
      </c>
      <c r="CJ12" s="772">
        <v>0</v>
      </c>
      <c r="CK12" s="772">
        <f t="shared" si="60"/>
        <v>0</v>
      </c>
      <c r="CL12" s="772"/>
      <c r="CM12" s="772"/>
      <c r="CN12" s="772">
        <v>0</v>
      </c>
      <c r="CO12" s="772"/>
    </row>
    <row r="13" spans="1:93" s="92" customFormat="1" x14ac:dyDescent="0.25">
      <c r="A13" s="104" t="s">
        <v>690</v>
      </c>
      <c r="B13" s="105">
        <v>19932</v>
      </c>
      <c r="C13" s="105">
        <v>16647</v>
      </c>
      <c r="D13" s="105">
        <v>25326</v>
      </c>
      <c r="E13" s="106">
        <v>34330</v>
      </c>
      <c r="F13" s="105">
        <v>39020</v>
      </c>
      <c r="G13" s="105">
        <v>53490</v>
      </c>
      <c r="H13" s="105">
        <v>55238</v>
      </c>
      <c r="I13" s="106">
        <v>31450</v>
      </c>
      <c r="J13" s="105">
        <v>17697</v>
      </c>
      <c r="K13" s="105">
        <v>33909</v>
      </c>
      <c r="L13" s="105">
        <v>14420</v>
      </c>
      <c r="M13" s="106">
        <v>10536</v>
      </c>
      <c r="N13" s="105">
        <v>7588</v>
      </c>
      <c r="O13" s="105">
        <v>22094</v>
      </c>
      <c r="P13" s="105">
        <v>27893</v>
      </c>
      <c r="Q13" s="105">
        <v>19774</v>
      </c>
      <c r="R13" s="107">
        <v>21843</v>
      </c>
      <c r="S13" s="108">
        <f t="shared" si="20"/>
        <v>0</v>
      </c>
      <c r="T13" s="108">
        <f t="shared" si="21"/>
        <v>25780</v>
      </c>
      <c r="U13" s="108">
        <f t="shared" si="22"/>
        <v>23805</v>
      </c>
      <c r="V13" s="105"/>
      <c r="W13" s="105">
        <v>25780</v>
      </c>
      <c r="X13" s="105">
        <v>23805</v>
      </c>
      <c r="Y13" s="107">
        <v>5179</v>
      </c>
      <c r="Z13" s="108">
        <f t="shared" si="23"/>
        <v>4825</v>
      </c>
      <c r="AA13" s="108">
        <f t="shared" si="24"/>
        <v>10425</v>
      </c>
      <c r="AB13" s="108">
        <f t="shared" si="25"/>
        <v>7767</v>
      </c>
      <c r="AC13" s="108">
        <v>4825</v>
      </c>
      <c r="AD13" s="108">
        <v>10425</v>
      </c>
      <c r="AE13" s="105">
        <v>7767</v>
      </c>
      <c r="AF13" s="107">
        <v>7101</v>
      </c>
      <c r="AG13" s="108">
        <f t="shared" si="26"/>
        <v>7871</v>
      </c>
      <c r="AH13" s="108">
        <f t="shared" si="2"/>
        <v>7660</v>
      </c>
      <c r="AI13" s="108">
        <f t="shared" si="3"/>
        <v>3894</v>
      </c>
      <c r="AJ13" s="108">
        <v>7871</v>
      </c>
      <c r="AK13" s="108">
        <v>7660</v>
      </c>
      <c r="AL13" s="105">
        <v>3894</v>
      </c>
      <c r="AM13" s="107">
        <v>5379</v>
      </c>
      <c r="AN13" s="108">
        <f t="shared" si="27"/>
        <v>3482</v>
      </c>
      <c r="AO13" s="108">
        <f t="shared" si="27"/>
        <v>3156</v>
      </c>
      <c r="AP13" s="108">
        <f t="shared" si="27"/>
        <v>2193</v>
      </c>
      <c r="AQ13" s="108">
        <v>3482</v>
      </c>
      <c r="AR13" s="108">
        <v>3156</v>
      </c>
      <c r="AS13" s="105">
        <v>2193</v>
      </c>
      <c r="AT13" s="107">
        <v>2411</v>
      </c>
      <c r="AU13" s="107">
        <f t="shared" si="43"/>
        <v>3438</v>
      </c>
      <c r="AV13" s="107">
        <f t="shared" si="44"/>
        <v>6047</v>
      </c>
      <c r="AW13" s="107">
        <f t="shared" si="29"/>
        <v>4423</v>
      </c>
      <c r="AX13" s="107">
        <v>3438</v>
      </c>
      <c r="AY13" s="107">
        <v>6047</v>
      </c>
      <c r="AZ13" s="107">
        <v>4423</v>
      </c>
      <c r="BA13" s="107">
        <v>5180</v>
      </c>
      <c r="BB13" s="107">
        <f t="shared" si="45"/>
        <v>5572</v>
      </c>
      <c r="BC13" s="107">
        <f t="shared" si="46"/>
        <v>5727</v>
      </c>
      <c r="BD13" s="107">
        <f t="shared" si="47"/>
        <v>5706</v>
      </c>
      <c r="BE13" s="107">
        <v>5572</v>
      </c>
      <c r="BF13" s="107">
        <v>5727</v>
      </c>
      <c r="BG13" s="107">
        <v>5706</v>
      </c>
      <c r="BH13" s="107">
        <v>4895</v>
      </c>
      <c r="BI13" s="107">
        <f t="shared" si="48"/>
        <v>10053</v>
      </c>
      <c r="BJ13" s="107">
        <f t="shared" si="49"/>
        <v>13121</v>
      </c>
      <c r="BK13" s="107">
        <f t="shared" si="50"/>
        <v>14247</v>
      </c>
      <c r="BL13" s="772">
        <v>10053</v>
      </c>
      <c r="BM13" s="772">
        <v>13121</v>
      </c>
      <c r="BN13" s="772">
        <v>14247</v>
      </c>
      <c r="BO13" s="772">
        <v>2631</v>
      </c>
      <c r="BP13" s="772">
        <f t="shared" si="51"/>
        <v>3978</v>
      </c>
      <c r="BQ13" s="772">
        <f t="shared" si="52"/>
        <v>3077</v>
      </c>
      <c r="BR13" s="772">
        <f t="shared" si="53"/>
        <v>2322</v>
      </c>
      <c r="BS13" s="772">
        <v>3978</v>
      </c>
      <c r="BT13" s="772">
        <v>3077</v>
      </c>
      <c r="BU13" s="772">
        <v>2322</v>
      </c>
      <c r="BV13" s="772">
        <v>3018</v>
      </c>
      <c r="BW13" s="772">
        <f t="shared" si="54"/>
        <v>6999</v>
      </c>
      <c r="BX13" s="772">
        <f t="shared" si="55"/>
        <v>2929</v>
      </c>
      <c r="BY13" s="772">
        <f t="shared" si="56"/>
        <v>1682</v>
      </c>
      <c r="BZ13" s="772">
        <v>6999</v>
      </c>
      <c r="CA13" s="772">
        <v>2929</v>
      </c>
      <c r="CB13" s="772">
        <v>1682</v>
      </c>
      <c r="CC13" s="772">
        <v>2493</v>
      </c>
      <c r="CD13" s="772">
        <f t="shared" si="57"/>
        <v>2729</v>
      </c>
      <c r="CE13" s="772">
        <f t="shared" si="58"/>
        <v>2520</v>
      </c>
      <c r="CF13" s="772">
        <f t="shared" si="59"/>
        <v>2375</v>
      </c>
      <c r="CG13" s="772">
        <v>2729</v>
      </c>
      <c r="CH13" s="772">
        <v>2520</v>
      </c>
      <c r="CI13" s="772">
        <v>2375</v>
      </c>
      <c r="CJ13" s="772">
        <v>3035</v>
      </c>
      <c r="CK13" s="772">
        <f t="shared" si="60"/>
        <v>2953</v>
      </c>
      <c r="CL13" s="772"/>
      <c r="CM13" s="772"/>
      <c r="CN13" s="772">
        <v>2953</v>
      </c>
      <c r="CO13" s="772"/>
    </row>
    <row r="14" spans="1:93" s="92" customFormat="1" x14ac:dyDescent="0.25">
      <c r="A14" s="104" t="str">
        <f>Language!AA14</f>
        <v>Impostos a Recuperar</v>
      </c>
      <c r="B14" s="105">
        <v>15697</v>
      </c>
      <c r="C14" s="105">
        <v>15889</v>
      </c>
      <c r="D14" s="105">
        <v>16884</v>
      </c>
      <c r="E14" s="106">
        <v>16078</v>
      </c>
      <c r="F14" s="105">
        <v>17660</v>
      </c>
      <c r="G14" s="105">
        <v>19263</v>
      </c>
      <c r="H14" s="105">
        <v>22190</v>
      </c>
      <c r="I14" s="106">
        <v>25474</v>
      </c>
      <c r="J14" s="105">
        <v>28167</v>
      </c>
      <c r="K14" s="105">
        <v>27235</v>
      </c>
      <c r="L14" s="105">
        <v>34201</v>
      </c>
      <c r="M14" s="106">
        <v>38434</v>
      </c>
      <c r="N14" s="105">
        <v>30763</v>
      </c>
      <c r="O14" s="105">
        <v>38439</v>
      </c>
      <c r="P14" s="105">
        <v>42842</v>
      </c>
      <c r="Q14" s="105">
        <v>37331</v>
      </c>
      <c r="R14" s="107">
        <v>56506</v>
      </c>
      <c r="S14" s="108">
        <f t="shared" si="20"/>
        <v>0</v>
      </c>
      <c r="T14" s="108">
        <f t="shared" si="21"/>
        <v>73390</v>
      </c>
      <c r="U14" s="108">
        <f t="shared" si="22"/>
        <v>63303</v>
      </c>
      <c r="V14" s="105"/>
      <c r="W14" s="105">
        <v>73390</v>
      </c>
      <c r="X14" s="105">
        <v>63303</v>
      </c>
      <c r="Y14" s="107">
        <v>57557</v>
      </c>
      <c r="Z14" s="108">
        <f t="shared" si="23"/>
        <v>49233</v>
      </c>
      <c r="AA14" s="108">
        <f t="shared" si="24"/>
        <v>35948</v>
      </c>
      <c r="AB14" s="108">
        <f t="shared" si="25"/>
        <v>38357</v>
      </c>
      <c r="AC14" s="108">
        <v>49233</v>
      </c>
      <c r="AD14" s="108">
        <v>35948</v>
      </c>
      <c r="AE14" s="105">
        <v>38357</v>
      </c>
      <c r="AF14" s="107">
        <v>37719</v>
      </c>
      <c r="AG14" s="108">
        <f t="shared" si="26"/>
        <v>39907</v>
      </c>
      <c r="AH14" s="108">
        <f t="shared" si="2"/>
        <v>15299</v>
      </c>
      <c r="AI14" s="108">
        <f t="shared" si="3"/>
        <v>8336</v>
      </c>
      <c r="AJ14" s="108">
        <v>39907</v>
      </c>
      <c r="AK14" s="108">
        <v>15299</v>
      </c>
      <c r="AL14" s="105">
        <v>8336</v>
      </c>
      <c r="AM14" s="107">
        <v>7601</v>
      </c>
      <c r="AN14" s="108">
        <f t="shared" si="27"/>
        <v>8549</v>
      </c>
      <c r="AO14" s="108">
        <f t="shared" si="27"/>
        <v>12813</v>
      </c>
      <c r="AP14" s="108">
        <f t="shared" si="27"/>
        <v>14018</v>
      </c>
      <c r="AQ14" s="108">
        <v>8549</v>
      </c>
      <c r="AR14" s="108">
        <v>12813</v>
      </c>
      <c r="AS14" s="105">
        <v>14018</v>
      </c>
      <c r="AT14" s="107">
        <v>16814</v>
      </c>
      <c r="AU14" s="107">
        <f t="shared" si="43"/>
        <v>23508</v>
      </c>
      <c r="AV14" s="107">
        <f t="shared" si="44"/>
        <v>23753</v>
      </c>
      <c r="AW14" s="107">
        <f t="shared" si="29"/>
        <v>12314</v>
      </c>
      <c r="AX14" s="107">
        <v>23508</v>
      </c>
      <c r="AY14" s="107">
        <v>23753</v>
      </c>
      <c r="AZ14" s="107">
        <v>12314</v>
      </c>
      <c r="BA14" s="107">
        <v>12366</v>
      </c>
      <c r="BB14" s="107">
        <f t="shared" si="45"/>
        <v>18845</v>
      </c>
      <c r="BC14" s="107">
        <f t="shared" si="46"/>
        <v>21545</v>
      </c>
      <c r="BD14" s="107">
        <f t="shared" si="47"/>
        <v>9083</v>
      </c>
      <c r="BE14" s="107">
        <v>18845</v>
      </c>
      <c r="BF14" s="107">
        <v>21545</v>
      </c>
      <c r="BG14" s="107">
        <v>9083</v>
      </c>
      <c r="BH14" s="107">
        <v>11990</v>
      </c>
      <c r="BI14" s="107">
        <f t="shared" si="48"/>
        <v>13454</v>
      </c>
      <c r="BJ14" s="107">
        <f t="shared" si="49"/>
        <v>17670</v>
      </c>
      <c r="BK14" s="107">
        <f t="shared" si="50"/>
        <v>6067</v>
      </c>
      <c r="BL14" s="772">
        <v>13454</v>
      </c>
      <c r="BM14" s="772">
        <v>17670</v>
      </c>
      <c r="BN14" s="772">
        <v>6067</v>
      </c>
      <c r="BO14" s="772">
        <v>9631</v>
      </c>
      <c r="BP14" s="772">
        <f t="shared" si="51"/>
        <v>14940</v>
      </c>
      <c r="BQ14" s="772">
        <f t="shared" si="52"/>
        <v>21297</v>
      </c>
      <c r="BR14" s="772">
        <f t="shared" si="53"/>
        <v>7332</v>
      </c>
      <c r="BS14" s="772">
        <v>14940</v>
      </c>
      <c r="BT14" s="772">
        <v>21297</v>
      </c>
      <c r="BU14" s="772">
        <v>7332</v>
      </c>
      <c r="BV14" s="772">
        <v>11528</v>
      </c>
      <c r="BW14" s="772">
        <f t="shared" si="54"/>
        <v>16322</v>
      </c>
      <c r="BX14" s="772">
        <f t="shared" si="55"/>
        <v>22661</v>
      </c>
      <c r="BY14" s="772">
        <f t="shared" si="56"/>
        <v>7150</v>
      </c>
      <c r="BZ14" s="772">
        <v>16322</v>
      </c>
      <c r="CA14" s="772">
        <v>22661</v>
      </c>
      <c r="CB14" s="772">
        <v>7150</v>
      </c>
      <c r="CC14" s="772">
        <v>10525</v>
      </c>
      <c r="CD14" s="772">
        <f t="shared" si="57"/>
        <v>16243</v>
      </c>
      <c r="CE14" s="772">
        <f t="shared" si="58"/>
        <v>22981</v>
      </c>
      <c r="CF14" s="772">
        <f t="shared" si="59"/>
        <v>14151</v>
      </c>
      <c r="CG14" s="772">
        <v>16243</v>
      </c>
      <c r="CH14" s="772">
        <v>22981</v>
      </c>
      <c r="CI14" s="772">
        <v>14151</v>
      </c>
      <c r="CJ14" s="772">
        <v>18607</v>
      </c>
      <c r="CK14" s="772">
        <f t="shared" si="60"/>
        <v>26610</v>
      </c>
      <c r="CL14" s="772"/>
      <c r="CM14" s="772"/>
      <c r="CN14" s="772">
        <v>26610</v>
      </c>
      <c r="CO14" s="772"/>
    </row>
    <row r="15" spans="1:93" s="92" customFormat="1" x14ac:dyDescent="0.25">
      <c r="A15" s="104" t="str">
        <f>Language!AA15</f>
        <v>Estoques</v>
      </c>
      <c r="B15" s="105">
        <v>796</v>
      </c>
      <c r="C15" s="105">
        <v>2700</v>
      </c>
      <c r="D15" s="105">
        <v>1456</v>
      </c>
      <c r="E15" s="106">
        <v>4410</v>
      </c>
      <c r="F15" s="105">
        <v>4901</v>
      </c>
      <c r="G15" s="105">
        <v>5108</v>
      </c>
      <c r="H15" s="105">
        <v>5080</v>
      </c>
      <c r="I15" s="106">
        <v>6550</v>
      </c>
      <c r="J15" s="105">
        <v>9665</v>
      </c>
      <c r="K15" s="105">
        <v>7352</v>
      </c>
      <c r="L15" s="105">
        <v>8808</v>
      </c>
      <c r="M15" s="106">
        <v>4742</v>
      </c>
      <c r="N15" s="105">
        <v>895</v>
      </c>
      <c r="O15" s="105">
        <v>1167</v>
      </c>
      <c r="P15" s="105">
        <v>1082</v>
      </c>
      <c r="Q15" s="105">
        <v>2537</v>
      </c>
      <c r="R15" s="107">
        <v>2548</v>
      </c>
      <c r="S15" s="108">
        <f t="shared" si="20"/>
        <v>0</v>
      </c>
      <c r="T15" s="108">
        <f t="shared" si="21"/>
        <v>986</v>
      </c>
      <c r="U15" s="108">
        <f t="shared" si="22"/>
        <v>1035</v>
      </c>
      <c r="V15" s="105"/>
      <c r="W15" s="105">
        <v>986</v>
      </c>
      <c r="X15" s="105">
        <v>1035</v>
      </c>
      <c r="Y15" s="107">
        <v>1083</v>
      </c>
      <c r="Z15" s="108">
        <f t="shared" si="23"/>
        <v>1251</v>
      </c>
      <c r="AA15" s="108">
        <f t="shared" si="24"/>
        <v>1244</v>
      </c>
      <c r="AB15" s="108">
        <f t="shared" si="25"/>
        <v>1255</v>
      </c>
      <c r="AC15" s="108">
        <v>1251</v>
      </c>
      <c r="AD15" s="108">
        <v>1244</v>
      </c>
      <c r="AE15" s="105">
        <v>1255</v>
      </c>
      <c r="AF15" s="107">
        <v>2153</v>
      </c>
      <c r="AG15" s="108">
        <f t="shared" si="26"/>
        <v>1264</v>
      </c>
      <c r="AH15" s="108">
        <f t="shared" si="2"/>
        <v>74</v>
      </c>
      <c r="AI15" s="108"/>
      <c r="AJ15" s="108">
        <v>1264</v>
      </c>
      <c r="AK15" s="108">
        <v>74</v>
      </c>
      <c r="AL15" s="105"/>
      <c r="AM15" s="107"/>
      <c r="AN15" s="108"/>
      <c r="AO15" s="108"/>
      <c r="AP15" s="108"/>
      <c r="AQ15" s="108"/>
      <c r="AR15" s="108"/>
      <c r="AS15" s="105"/>
      <c r="AT15" s="107"/>
      <c r="AU15" s="107">
        <f t="shared" si="43"/>
        <v>0</v>
      </c>
      <c r="AV15" s="107">
        <f t="shared" si="44"/>
        <v>0</v>
      </c>
      <c r="AW15" s="107">
        <f t="shared" si="29"/>
        <v>0</v>
      </c>
      <c r="AX15" s="107"/>
      <c r="AY15" s="107">
        <v>0</v>
      </c>
      <c r="AZ15" s="107">
        <v>0</v>
      </c>
      <c r="BA15" s="107">
        <v>0</v>
      </c>
      <c r="BB15" s="107">
        <f t="shared" si="45"/>
        <v>0</v>
      </c>
      <c r="BC15" s="107">
        <f t="shared" si="46"/>
        <v>0</v>
      </c>
      <c r="BD15" s="107">
        <f t="shared" si="47"/>
        <v>0</v>
      </c>
      <c r="BE15" s="107">
        <v>0</v>
      </c>
      <c r="BF15" s="107">
        <v>0</v>
      </c>
      <c r="BG15" s="107">
        <v>0</v>
      </c>
      <c r="BH15" s="107">
        <v>0</v>
      </c>
      <c r="BI15" s="107">
        <f t="shared" si="48"/>
        <v>0</v>
      </c>
      <c r="BJ15" s="107">
        <f t="shared" si="49"/>
        <v>0</v>
      </c>
      <c r="BK15" s="107">
        <f t="shared" si="50"/>
        <v>0</v>
      </c>
      <c r="BL15" s="772">
        <v>0</v>
      </c>
      <c r="BM15" s="772">
        <v>0</v>
      </c>
      <c r="BN15" s="772">
        <v>0</v>
      </c>
      <c r="BO15" s="772">
        <v>0</v>
      </c>
      <c r="BP15" s="772">
        <f t="shared" si="51"/>
        <v>0</v>
      </c>
      <c r="BQ15" s="772">
        <f t="shared" si="52"/>
        <v>0</v>
      </c>
      <c r="BR15" s="772">
        <f t="shared" si="53"/>
        <v>0</v>
      </c>
      <c r="BS15" s="772">
        <v>0</v>
      </c>
      <c r="BT15" s="772">
        <v>0</v>
      </c>
      <c r="BU15" s="772">
        <v>0</v>
      </c>
      <c r="BV15" s="772">
        <v>0</v>
      </c>
      <c r="BW15" s="772">
        <f t="shared" si="54"/>
        <v>0</v>
      </c>
      <c r="BX15" s="772">
        <f t="shared" si="55"/>
        <v>0</v>
      </c>
      <c r="BY15" s="772">
        <f t="shared" si="56"/>
        <v>0</v>
      </c>
      <c r="BZ15" s="772">
        <v>0</v>
      </c>
      <c r="CA15" s="772">
        <v>0</v>
      </c>
      <c r="CB15" s="772">
        <v>0</v>
      </c>
      <c r="CC15" s="772">
        <v>0</v>
      </c>
      <c r="CD15" s="772">
        <f t="shared" si="57"/>
        <v>0</v>
      </c>
      <c r="CE15" s="772">
        <f t="shared" si="58"/>
        <v>0</v>
      </c>
      <c r="CF15" s="772">
        <f t="shared" si="59"/>
        <v>0</v>
      </c>
      <c r="CG15" s="772">
        <v>0</v>
      </c>
      <c r="CH15" s="772">
        <v>0</v>
      </c>
      <c r="CI15" s="772">
        <v>0</v>
      </c>
      <c r="CJ15" s="772">
        <v>0</v>
      </c>
      <c r="CK15" s="772">
        <f t="shared" si="60"/>
        <v>0</v>
      </c>
      <c r="CL15" s="772"/>
      <c r="CM15" s="772"/>
      <c r="CN15" s="772">
        <v>0</v>
      </c>
      <c r="CO15" s="772"/>
    </row>
    <row r="16" spans="1:93" s="92" customFormat="1" x14ac:dyDescent="0.25">
      <c r="A16" s="104" t="str">
        <f>Language!AA16</f>
        <v>Instrumentos Financeiros Derivativos</v>
      </c>
      <c r="B16" s="105"/>
      <c r="C16" s="105"/>
      <c r="D16" s="105"/>
      <c r="E16" s="106"/>
      <c r="F16" s="105"/>
      <c r="G16" s="105"/>
      <c r="H16" s="105"/>
      <c r="I16" s="106"/>
      <c r="J16" s="105"/>
      <c r="K16" s="105"/>
      <c r="L16" s="105"/>
      <c r="M16" s="106"/>
      <c r="N16" s="105"/>
      <c r="O16" s="105"/>
      <c r="P16" s="105"/>
      <c r="Q16" s="105"/>
      <c r="R16" s="107"/>
      <c r="S16" s="108">
        <f t="shared" si="20"/>
        <v>0</v>
      </c>
      <c r="T16" s="108">
        <f t="shared" si="21"/>
        <v>13255</v>
      </c>
      <c r="U16" s="108">
        <f t="shared" si="22"/>
        <v>11805</v>
      </c>
      <c r="V16" s="105"/>
      <c r="W16" s="109">
        <v>13255</v>
      </c>
      <c r="X16" s="109">
        <v>11805</v>
      </c>
      <c r="Y16" s="107">
        <v>9189</v>
      </c>
      <c r="Z16" s="108">
        <f t="shared" si="23"/>
        <v>4821</v>
      </c>
      <c r="AA16" s="108">
        <f t="shared" si="24"/>
        <v>4834</v>
      </c>
      <c r="AB16" s="108"/>
      <c r="AC16" s="108">
        <v>4821</v>
      </c>
      <c r="AD16" s="108">
        <v>4834</v>
      </c>
      <c r="AE16" s="109"/>
      <c r="AF16" s="107"/>
      <c r="AG16" s="108"/>
      <c r="AH16" s="108"/>
      <c r="AI16" s="108"/>
      <c r="AJ16" s="108"/>
      <c r="AK16" s="108"/>
      <c r="AL16" s="105"/>
      <c r="AM16" s="107"/>
      <c r="AN16" s="108"/>
      <c r="AO16" s="108"/>
      <c r="AP16" s="108"/>
      <c r="AQ16" s="108"/>
      <c r="AR16" s="108"/>
      <c r="AS16" s="105"/>
      <c r="AT16" s="107"/>
      <c r="AU16" s="107">
        <f t="shared" si="43"/>
        <v>0</v>
      </c>
      <c r="AV16" s="107">
        <f t="shared" si="44"/>
        <v>0</v>
      </c>
      <c r="AW16" s="107">
        <f t="shared" si="29"/>
        <v>0</v>
      </c>
      <c r="AX16" s="107"/>
      <c r="AY16" s="107">
        <v>0</v>
      </c>
      <c r="AZ16" s="107">
        <v>0</v>
      </c>
      <c r="BA16" s="107">
        <v>0</v>
      </c>
      <c r="BB16" s="107">
        <f t="shared" si="45"/>
        <v>0</v>
      </c>
      <c r="BC16" s="107">
        <f t="shared" si="46"/>
        <v>0</v>
      </c>
      <c r="BD16" s="107">
        <f t="shared" si="47"/>
        <v>0</v>
      </c>
      <c r="BE16" s="107">
        <v>0</v>
      </c>
      <c r="BF16" s="107">
        <v>0</v>
      </c>
      <c r="BG16" s="107">
        <v>0</v>
      </c>
      <c r="BH16" s="107">
        <v>0</v>
      </c>
      <c r="BI16" s="107">
        <f t="shared" si="48"/>
        <v>0</v>
      </c>
      <c r="BJ16" s="107">
        <f t="shared" si="49"/>
        <v>0</v>
      </c>
      <c r="BK16" s="107">
        <f t="shared" si="50"/>
        <v>0</v>
      </c>
      <c r="BL16" s="772">
        <v>0</v>
      </c>
      <c r="BM16" s="772">
        <v>0</v>
      </c>
      <c r="BN16" s="772">
        <v>0</v>
      </c>
      <c r="BO16" s="772">
        <v>0</v>
      </c>
      <c r="BP16" s="772">
        <f t="shared" si="51"/>
        <v>0</v>
      </c>
      <c r="BQ16" s="772">
        <f t="shared" si="52"/>
        <v>0</v>
      </c>
      <c r="BR16" s="772">
        <f t="shared" si="53"/>
        <v>0</v>
      </c>
      <c r="BS16" s="772">
        <v>0</v>
      </c>
      <c r="BT16" s="772">
        <v>0</v>
      </c>
      <c r="BU16" s="772">
        <v>0</v>
      </c>
      <c r="BV16" s="772">
        <v>0</v>
      </c>
      <c r="BW16" s="772">
        <f t="shared" si="54"/>
        <v>0</v>
      </c>
      <c r="BX16" s="772">
        <f t="shared" si="55"/>
        <v>0</v>
      </c>
      <c r="BY16" s="772">
        <f t="shared" si="56"/>
        <v>0</v>
      </c>
      <c r="BZ16" s="772">
        <v>0</v>
      </c>
      <c r="CA16" s="772">
        <v>0</v>
      </c>
      <c r="CB16" s="772">
        <v>0</v>
      </c>
      <c r="CC16" s="772">
        <v>0</v>
      </c>
      <c r="CD16" s="772">
        <f t="shared" si="57"/>
        <v>0</v>
      </c>
      <c r="CE16" s="772">
        <f t="shared" si="58"/>
        <v>0</v>
      </c>
      <c r="CF16" s="772">
        <f t="shared" si="59"/>
        <v>0</v>
      </c>
      <c r="CG16" s="772">
        <v>0</v>
      </c>
      <c r="CH16" s="772">
        <v>0</v>
      </c>
      <c r="CI16" s="772">
        <v>0</v>
      </c>
      <c r="CJ16" s="772">
        <v>0</v>
      </c>
      <c r="CK16" s="772">
        <f t="shared" si="60"/>
        <v>0</v>
      </c>
      <c r="CL16" s="772"/>
      <c r="CM16" s="772"/>
      <c r="CN16" s="772">
        <v>0</v>
      </c>
      <c r="CO16" s="772"/>
    </row>
    <row r="17" spans="1:93" s="92" customFormat="1" x14ac:dyDescent="0.25">
      <c r="A17" s="104" t="str">
        <f>Language!AA17</f>
        <v>Contas a receber - partes relacionadas</v>
      </c>
      <c r="B17" s="105">
        <v>0</v>
      </c>
      <c r="C17" s="105">
        <v>31</v>
      </c>
      <c r="D17" s="105">
        <v>135</v>
      </c>
      <c r="E17" s="106">
        <v>0</v>
      </c>
      <c r="F17" s="105">
        <v>0</v>
      </c>
      <c r="G17" s="105">
        <v>0</v>
      </c>
      <c r="H17" s="105">
        <v>0</v>
      </c>
      <c r="I17" s="106">
        <v>0</v>
      </c>
      <c r="J17" s="105">
        <v>0</v>
      </c>
      <c r="K17" s="105">
        <v>0</v>
      </c>
      <c r="L17" s="105">
        <v>0</v>
      </c>
      <c r="M17" s="110">
        <v>0</v>
      </c>
      <c r="N17" s="109">
        <v>0</v>
      </c>
      <c r="O17" s="109">
        <v>0</v>
      </c>
      <c r="P17" s="109">
        <v>0</v>
      </c>
      <c r="Q17" s="109">
        <v>0</v>
      </c>
      <c r="R17" s="111">
        <v>0</v>
      </c>
      <c r="S17" s="108">
        <f t="shared" si="20"/>
        <v>0</v>
      </c>
      <c r="T17" s="108">
        <f t="shared" si="21"/>
        <v>0</v>
      </c>
      <c r="U17" s="108">
        <f t="shared" si="22"/>
        <v>0</v>
      </c>
      <c r="V17" s="109"/>
      <c r="W17" s="105">
        <v>0</v>
      </c>
      <c r="X17" s="105">
        <v>0</v>
      </c>
      <c r="Y17" s="111">
        <v>0</v>
      </c>
      <c r="Z17" s="108"/>
      <c r="AA17" s="108"/>
      <c r="AB17" s="108"/>
      <c r="AC17" s="112"/>
      <c r="AD17" s="112"/>
      <c r="AE17" s="105"/>
      <c r="AF17" s="111"/>
      <c r="AG17" s="108"/>
      <c r="AH17" s="108"/>
      <c r="AI17" s="108"/>
      <c r="AJ17" s="108"/>
      <c r="AK17" s="108"/>
      <c r="AL17" s="105"/>
      <c r="AM17" s="111"/>
      <c r="AN17" s="112"/>
      <c r="AO17" s="112"/>
      <c r="AP17" s="112"/>
      <c r="AQ17" s="108"/>
      <c r="AR17" s="108"/>
      <c r="AS17" s="105"/>
      <c r="AT17" s="107"/>
      <c r="AU17" s="107">
        <f t="shared" si="43"/>
        <v>0</v>
      </c>
      <c r="AV17" s="107">
        <f t="shared" si="44"/>
        <v>0</v>
      </c>
      <c r="AW17" s="107">
        <f t="shared" si="29"/>
        <v>0</v>
      </c>
      <c r="AX17" s="107"/>
      <c r="AY17" s="107">
        <v>0</v>
      </c>
      <c r="AZ17" s="107">
        <v>0</v>
      </c>
      <c r="BA17" s="107">
        <v>0</v>
      </c>
      <c r="BB17" s="107">
        <f t="shared" si="45"/>
        <v>0</v>
      </c>
      <c r="BC17" s="107">
        <f t="shared" si="46"/>
        <v>0</v>
      </c>
      <c r="BD17" s="107">
        <f t="shared" si="47"/>
        <v>1703</v>
      </c>
      <c r="BE17" s="107">
        <v>0</v>
      </c>
      <c r="BF17" s="107">
        <v>0</v>
      </c>
      <c r="BG17" s="107">
        <v>1703</v>
      </c>
      <c r="BH17" s="107">
        <v>0</v>
      </c>
      <c r="BI17" s="107">
        <f t="shared" si="48"/>
        <v>0</v>
      </c>
      <c r="BJ17" s="107">
        <f t="shared" si="49"/>
        <v>0</v>
      </c>
      <c r="BK17" s="107">
        <f t="shared" si="50"/>
        <v>0</v>
      </c>
      <c r="BL17" s="772">
        <v>0</v>
      </c>
      <c r="BM17" s="772">
        <v>0</v>
      </c>
      <c r="BN17" s="772">
        <v>0</v>
      </c>
      <c r="BO17" s="772">
        <v>0</v>
      </c>
      <c r="BP17" s="772">
        <f t="shared" si="51"/>
        <v>0</v>
      </c>
      <c r="BQ17" s="772">
        <f t="shared" si="52"/>
        <v>0</v>
      </c>
      <c r="BR17" s="772">
        <f t="shared" si="53"/>
        <v>0</v>
      </c>
      <c r="BS17" s="772">
        <v>0</v>
      </c>
      <c r="BT17" s="772">
        <v>0</v>
      </c>
      <c r="BU17" s="772">
        <v>0</v>
      </c>
      <c r="BV17" s="772">
        <v>0</v>
      </c>
      <c r="BW17" s="772">
        <f t="shared" si="54"/>
        <v>0</v>
      </c>
      <c r="BX17" s="772">
        <f t="shared" si="55"/>
        <v>0</v>
      </c>
      <c r="BY17" s="772">
        <f t="shared" si="56"/>
        <v>0</v>
      </c>
      <c r="BZ17" s="772">
        <v>0</v>
      </c>
      <c r="CA17" s="772">
        <v>0</v>
      </c>
      <c r="CB17" s="772">
        <v>0</v>
      </c>
      <c r="CC17" s="772">
        <v>0</v>
      </c>
      <c r="CD17" s="772">
        <f t="shared" si="57"/>
        <v>0</v>
      </c>
      <c r="CE17" s="772">
        <f t="shared" si="58"/>
        <v>0</v>
      </c>
      <c r="CF17" s="772">
        <f t="shared" si="59"/>
        <v>0</v>
      </c>
      <c r="CG17" s="772">
        <v>0</v>
      </c>
      <c r="CH17" s="772">
        <v>0</v>
      </c>
      <c r="CI17" s="772">
        <v>0</v>
      </c>
      <c r="CJ17" s="772">
        <v>0</v>
      </c>
      <c r="CK17" s="772">
        <f t="shared" si="60"/>
        <v>0</v>
      </c>
      <c r="CL17" s="772"/>
      <c r="CM17" s="772"/>
      <c r="CN17" s="772">
        <v>0</v>
      </c>
      <c r="CO17" s="772"/>
    </row>
    <row r="18" spans="1:93" s="92" customFormat="1" x14ac:dyDescent="0.25">
      <c r="A18" s="104" t="str">
        <f>Language!AA18</f>
        <v>Dividendos e JCP a receber</v>
      </c>
      <c r="B18" s="105">
        <v>278</v>
      </c>
      <c r="C18" s="105">
        <v>278</v>
      </c>
      <c r="D18" s="105">
        <v>278</v>
      </c>
      <c r="E18" s="106">
        <v>2736</v>
      </c>
      <c r="F18" s="105">
        <v>3057</v>
      </c>
      <c r="G18" s="105">
        <v>3057</v>
      </c>
      <c r="H18" s="105">
        <v>3057</v>
      </c>
      <c r="I18" s="106">
        <v>0</v>
      </c>
      <c r="J18" s="105">
        <v>0</v>
      </c>
      <c r="K18" s="105">
        <v>0</v>
      </c>
      <c r="L18" s="105">
        <v>0</v>
      </c>
      <c r="M18" s="106">
        <v>0</v>
      </c>
      <c r="N18" s="105">
        <v>0</v>
      </c>
      <c r="O18" s="105">
        <v>0</v>
      </c>
      <c r="P18" s="105">
        <v>0</v>
      </c>
      <c r="Q18" s="105">
        <v>0</v>
      </c>
      <c r="R18" s="107">
        <v>0</v>
      </c>
      <c r="S18" s="108">
        <f t="shared" si="20"/>
        <v>0</v>
      </c>
      <c r="T18" s="108">
        <f t="shared" si="21"/>
        <v>0</v>
      </c>
      <c r="U18" s="108">
        <f t="shared" si="22"/>
        <v>0</v>
      </c>
      <c r="V18" s="105"/>
      <c r="W18" s="105">
        <v>0</v>
      </c>
      <c r="X18" s="105">
        <v>0</v>
      </c>
      <c r="Y18" s="107">
        <v>0</v>
      </c>
      <c r="Z18" s="108"/>
      <c r="AA18" s="108"/>
      <c r="AB18" s="108"/>
      <c r="AC18" s="108"/>
      <c r="AD18" s="108"/>
      <c r="AE18" s="105"/>
      <c r="AF18" s="107"/>
      <c r="AG18" s="108"/>
      <c r="AH18" s="108"/>
      <c r="AI18" s="108"/>
      <c r="AJ18" s="108"/>
      <c r="AK18" s="108"/>
      <c r="AL18" s="105"/>
      <c r="AM18" s="107"/>
      <c r="AN18" s="108"/>
      <c r="AO18" s="108"/>
      <c r="AP18" s="108"/>
      <c r="AQ18" s="108"/>
      <c r="AR18" s="108"/>
      <c r="AS18" s="105"/>
      <c r="AT18" s="107"/>
      <c r="AU18" s="107">
        <f t="shared" si="43"/>
        <v>1387</v>
      </c>
      <c r="AV18" s="107">
        <f t="shared" si="44"/>
        <v>7460</v>
      </c>
      <c r="AW18" s="107">
        <f t="shared" si="29"/>
        <v>0</v>
      </c>
      <c r="AX18" s="107">
        <v>1387</v>
      </c>
      <c r="AY18" s="107">
        <v>7460</v>
      </c>
      <c r="AZ18" s="107">
        <v>0</v>
      </c>
      <c r="BA18" s="107">
        <v>2</v>
      </c>
      <c r="BB18" s="107">
        <f t="shared" si="45"/>
        <v>1</v>
      </c>
      <c r="BC18" s="107">
        <f t="shared" si="46"/>
        <v>1</v>
      </c>
      <c r="BD18" s="107">
        <f t="shared" si="47"/>
        <v>1</v>
      </c>
      <c r="BE18" s="107">
        <v>1</v>
      </c>
      <c r="BF18" s="107">
        <v>1</v>
      </c>
      <c r="BG18" s="107">
        <v>1</v>
      </c>
      <c r="BH18" s="107">
        <v>0</v>
      </c>
      <c r="BI18" s="107">
        <f t="shared" si="48"/>
        <v>0</v>
      </c>
      <c r="BJ18" s="107">
        <f t="shared" si="49"/>
        <v>0</v>
      </c>
      <c r="BK18" s="107">
        <f t="shared" si="50"/>
        <v>0</v>
      </c>
      <c r="BL18" s="772">
        <v>0</v>
      </c>
      <c r="BM18" s="772">
        <v>0</v>
      </c>
      <c r="BN18" s="772">
        <v>0</v>
      </c>
      <c r="BO18" s="772">
        <v>0</v>
      </c>
      <c r="BP18" s="772">
        <f t="shared" si="51"/>
        <v>0</v>
      </c>
      <c r="BQ18" s="772">
        <f t="shared" si="52"/>
        <v>0</v>
      </c>
      <c r="BR18" s="772">
        <f t="shared" si="53"/>
        <v>0</v>
      </c>
      <c r="BS18" s="772">
        <v>0</v>
      </c>
      <c r="BT18" s="772">
        <v>0</v>
      </c>
      <c r="BU18" s="772">
        <v>0</v>
      </c>
      <c r="BV18" s="772">
        <v>0</v>
      </c>
      <c r="BW18" s="772">
        <f t="shared" si="54"/>
        <v>0</v>
      </c>
      <c r="BX18" s="772">
        <f t="shared" si="55"/>
        <v>0</v>
      </c>
      <c r="BY18" s="772">
        <f t="shared" si="56"/>
        <v>4007</v>
      </c>
      <c r="BZ18" s="772">
        <v>0</v>
      </c>
      <c r="CA18" s="772">
        <v>0</v>
      </c>
      <c r="CB18" s="772">
        <v>4007</v>
      </c>
      <c r="CC18" s="772">
        <v>12525</v>
      </c>
      <c r="CD18" s="772">
        <f t="shared" si="57"/>
        <v>0</v>
      </c>
      <c r="CE18" s="772">
        <f t="shared" si="58"/>
        <v>-1</v>
      </c>
      <c r="CF18" s="772">
        <f t="shared" si="59"/>
        <v>2</v>
      </c>
      <c r="CG18" s="772">
        <v>0</v>
      </c>
      <c r="CH18" s="772">
        <v>-1</v>
      </c>
      <c r="CI18" s="772">
        <v>2</v>
      </c>
      <c r="CJ18" s="772">
        <v>0</v>
      </c>
      <c r="CK18" s="772">
        <f t="shared" si="60"/>
        <v>18197</v>
      </c>
      <c r="CL18" s="772"/>
      <c r="CM18" s="772"/>
      <c r="CN18" s="772">
        <v>18197</v>
      </c>
      <c r="CO18" s="772"/>
    </row>
    <row r="19" spans="1:93" s="92" customFormat="1" x14ac:dyDescent="0.25">
      <c r="A19" s="104" t="str">
        <f>Language!AA19</f>
        <v>Despesas de Exercícios Seguintes</v>
      </c>
      <c r="B19" s="105">
        <v>5033</v>
      </c>
      <c r="C19" s="105">
        <v>3352</v>
      </c>
      <c r="D19" s="105">
        <v>5362</v>
      </c>
      <c r="E19" s="106">
        <v>4592</v>
      </c>
      <c r="F19" s="105">
        <v>6256</v>
      </c>
      <c r="G19" s="105">
        <v>7230</v>
      </c>
      <c r="H19" s="105">
        <v>8525</v>
      </c>
      <c r="I19" s="106">
        <v>5715</v>
      </c>
      <c r="J19" s="105">
        <v>8002</v>
      </c>
      <c r="K19" s="105">
        <v>7155</v>
      </c>
      <c r="L19" s="105">
        <v>5947</v>
      </c>
      <c r="M19" s="106">
        <v>6610</v>
      </c>
      <c r="N19" s="105">
        <v>13962</v>
      </c>
      <c r="O19" s="105">
        <v>14030</v>
      </c>
      <c r="P19" s="105">
        <v>11409</v>
      </c>
      <c r="Q19" s="105">
        <v>9922</v>
      </c>
      <c r="R19" s="107">
        <v>15870</v>
      </c>
      <c r="S19" s="108">
        <f t="shared" si="20"/>
        <v>0</v>
      </c>
      <c r="T19" s="108">
        <f t="shared" si="21"/>
        <v>10237</v>
      </c>
      <c r="U19" s="108">
        <f t="shared" si="22"/>
        <v>9358</v>
      </c>
      <c r="V19" s="105"/>
      <c r="W19" s="105">
        <v>10237</v>
      </c>
      <c r="X19" s="105">
        <v>9358</v>
      </c>
      <c r="Y19" s="107">
        <v>8260</v>
      </c>
      <c r="Z19" s="108">
        <f t="shared" si="23"/>
        <v>7732</v>
      </c>
      <c r="AA19" s="108">
        <f t="shared" si="24"/>
        <v>11997</v>
      </c>
      <c r="AB19" s="108">
        <f t="shared" si="25"/>
        <v>8061</v>
      </c>
      <c r="AC19" s="108">
        <v>7732</v>
      </c>
      <c r="AD19" s="108">
        <v>11997</v>
      </c>
      <c r="AE19" s="105">
        <v>8061</v>
      </c>
      <c r="AF19" s="107">
        <v>10594</v>
      </c>
      <c r="AG19" s="108">
        <f t="shared" si="26"/>
        <v>20257</v>
      </c>
      <c r="AH19" s="108">
        <f t="shared" si="2"/>
        <v>14584</v>
      </c>
      <c r="AI19" s="108">
        <f t="shared" si="3"/>
        <v>3731</v>
      </c>
      <c r="AJ19" s="108">
        <v>20257</v>
      </c>
      <c r="AK19" s="108">
        <v>14584</v>
      </c>
      <c r="AL19" s="105">
        <v>3731</v>
      </c>
      <c r="AM19" s="107">
        <v>7234</v>
      </c>
      <c r="AN19" s="108">
        <f t="shared" si="27"/>
        <v>8665</v>
      </c>
      <c r="AO19" s="108">
        <f t="shared" si="27"/>
        <v>5478</v>
      </c>
      <c r="AP19" s="108">
        <f t="shared" si="27"/>
        <v>3283</v>
      </c>
      <c r="AQ19" s="108">
        <v>8665</v>
      </c>
      <c r="AR19" s="108">
        <v>5478</v>
      </c>
      <c r="AS19" s="105">
        <v>3283</v>
      </c>
      <c r="AT19" s="107">
        <v>5781</v>
      </c>
      <c r="AU19" s="107">
        <f t="shared" si="43"/>
        <v>7150</v>
      </c>
      <c r="AV19" s="107">
        <f t="shared" si="44"/>
        <v>4551</v>
      </c>
      <c r="AW19" s="107">
        <f t="shared" si="29"/>
        <v>3876</v>
      </c>
      <c r="AX19" s="107">
        <v>7150</v>
      </c>
      <c r="AY19" s="107">
        <v>4551</v>
      </c>
      <c r="AZ19" s="107">
        <v>3876</v>
      </c>
      <c r="BA19" s="107">
        <v>8828</v>
      </c>
      <c r="BB19" s="107">
        <f t="shared" si="45"/>
        <v>7221</v>
      </c>
      <c r="BC19" s="107">
        <f t="shared" si="46"/>
        <v>4402</v>
      </c>
      <c r="BD19" s="107">
        <f t="shared" si="47"/>
        <v>2761</v>
      </c>
      <c r="BE19" s="107">
        <v>7221</v>
      </c>
      <c r="BF19" s="107">
        <v>4402</v>
      </c>
      <c r="BG19" s="107">
        <v>2761</v>
      </c>
      <c r="BH19" s="107">
        <v>8689</v>
      </c>
      <c r="BI19" s="107">
        <f t="shared" si="48"/>
        <v>9018</v>
      </c>
      <c r="BJ19" s="107">
        <f t="shared" si="49"/>
        <v>5949</v>
      </c>
      <c r="BK19" s="107">
        <f t="shared" si="50"/>
        <v>3970</v>
      </c>
      <c r="BL19" s="772">
        <v>9018</v>
      </c>
      <c r="BM19" s="772">
        <v>5949</v>
      </c>
      <c r="BN19" s="772">
        <v>3970</v>
      </c>
      <c r="BO19" s="772">
        <v>17469</v>
      </c>
      <c r="BP19" s="772">
        <f t="shared" si="51"/>
        <v>17476</v>
      </c>
      <c r="BQ19" s="772">
        <f t="shared" si="52"/>
        <v>11812</v>
      </c>
      <c r="BR19" s="772">
        <f t="shared" si="53"/>
        <v>5882</v>
      </c>
      <c r="BS19" s="772">
        <v>17476</v>
      </c>
      <c r="BT19" s="772">
        <v>11812</v>
      </c>
      <c r="BU19" s="772">
        <v>5882</v>
      </c>
      <c r="BV19" s="772">
        <v>17751</v>
      </c>
      <c r="BW19" s="772">
        <f t="shared" si="54"/>
        <v>18255</v>
      </c>
      <c r="BX19" s="772">
        <f t="shared" si="55"/>
        <v>10100</v>
      </c>
      <c r="BY19" s="772">
        <f t="shared" si="56"/>
        <v>9239</v>
      </c>
      <c r="BZ19" s="772">
        <v>18255</v>
      </c>
      <c r="CA19" s="772">
        <v>10100</v>
      </c>
      <c r="CB19" s="772">
        <v>9239</v>
      </c>
      <c r="CC19" s="772">
        <v>14881</v>
      </c>
      <c r="CD19" s="772">
        <f t="shared" si="57"/>
        <v>13866</v>
      </c>
      <c r="CE19" s="772">
        <f t="shared" si="58"/>
        <v>9122</v>
      </c>
      <c r="CF19" s="772">
        <f t="shared" si="59"/>
        <v>20402</v>
      </c>
      <c r="CG19" s="772">
        <v>13866</v>
      </c>
      <c r="CH19" s="772">
        <v>9122</v>
      </c>
      <c r="CI19" s="772">
        <v>20402</v>
      </c>
      <c r="CJ19" s="772">
        <v>16591</v>
      </c>
      <c r="CK19" s="772">
        <f t="shared" si="60"/>
        <v>17460</v>
      </c>
      <c r="CL19" s="772"/>
      <c r="CM19" s="772"/>
      <c r="CN19" s="772">
        <v>17460</v>
      </c>
      <c r="CO19" s="772"/>
    </row>
    <row r="20" spans="1:93" s="92" customFormat="1" x14ac:dyDescent="0.25">
      <c r="A20" s="104" t="s">
        <v>606</v>
      </c>
      <c r="B20" s="109">
        <v>0</v>
      </c>
      <c r="C20" s="109">
        <v>0</v>
      </c>
      <c r="D20" s="109">
        <v>0</v>
      </c>
      <c r="E20" s="110">
        <v>0</v>
      </c>
      <c r="F20" s="109">
        <v>0</v>
      </c>
      <c r="G20" s="109">
        <v>0</v>
      </c>
      <c r="H20" s="109">
        <v>0</v>
      </c>
      <c r="I20" s="110">
        <v>0</v>
      </c>
      <c r="J20" s="109">
        <v>0</v>
      </c>
      <c r="K20" s="109">
        <v>0</v>
      </c>
      <c r="L20" s="109">
        <v>0</v>
      </c>
      <c r="M20" s="110">
        <v>0</v>
      </c>
      <c r="N20" s="109">
        <v>0</v>
      </c>
      <c r="O20" s="109">
        <v>0</v>
      </c>
      <c r="P20" s="109">
        <v>0</v>
      </c>
      <c r="Q20" s="109">
        <v>11457</v>
      </c>
      <c r="R20" s="111">
        <v>0</v>
      </c>
      <c r="S20" s="108">
        <f t="shared" si="20"/>
        <v>0</v>
      </c>
      <c r="T20" s="108">
        <f t="shared" si="21"/>
        <v>0</v>
      </c>
      <c r="U20" s="108">
        <f t="shared" si="22"/>
        <v>0</v>
      </c>
      <c r="V20" s="109"/>
      <c r="W20" s="92">
        <v>0</v>
      </c>
      <c r="X20" s="92">
        <v>0</v>
      </c>
      <c r="Y20" s="111">
        <v>0</v>
      </c>
      <c r="Z20" s="108"/>
      <c r="AA20" s="108"/>
      <c r="AB20" s="108"/>
      <c r="AC20" s="112"/>
      <c r="AD20" s="112"/>
      <c r="AF20" s="111"/>
      <c r="AG20" s="108"/>
      <c r="AH20" s="108"/>
      <c r="AI20" s="108"/>
      <c r="AJ20" s="108"/>
      <c r="AK20" s="108"/>
      <c r="AL20" s="105"/>
      <c r="AM20" s="111"/>
      <c r="AN20" s="112"/>
      <c r="AO20" s="112"/>
      <c r="AP20" s="112"/>
      <c r="AQ20" s="108"/>
      <c r="AR20" s="108"/>
      <c r="AS20" s="105"/>
      <c r="AT20" s="107"/>
      <c r="AU20" s="107">
        <f t="shared" si="43"/>
        <v>0</v>
      </c>
      <c r="AV20" s="107">
        <f t="shared" si="44"/>
        <v>0</v>
      </c>
      <c r="AW20" s="107">
        <f t="shared" si="29"/>
        <v>0</v>
      </c>
      <c r="AX20" s="107"/>
      <c r="AY20" s="107">
        <v>0</v>
      </c>
      <c r="AZ20" s="107">
        <v>0</v>
      </c>
      <c r="BA20" s="107">
        <v>0</v>
      </c>
      <c r="BB20" s="107">
        <f t="shared" si="45"/>
        <v>0</v>
      </c>
      <c r="BC20" s="107">
        <f t="shared" si="46"/>
        <v>0</v>
      </c>
      <c r="BD20" s="107">
        <f t="shared" si="47"/>
        <v>0</v>
      </c>
      <c r="BE20" s="107">
        <v>0</v>
      </c>
      <c r="BF20" s="107">
        <v>0</v>
      </c>
      <c r="BG20" s="107">
        <v>0</v>
      </c>
      <c r="BH20" s="107">
        <v>0</v>
      </c>
      <c r="BI20" s="107">
        <f t="shared" si="48"/>
        <v>0</v>
      </c>
      <c r="BJ20" s="107">
        <f t="shared" si="49"/>
        <v>0</v>
      </c>
      <c r="BK20" s="107">
        <f t="shared" si="50"/>
        <v>0</v>
      </c>
      <c r="BL20" s="772">
        <v>0</v>
      </c>
      <c r="BM20" s="772">
        <v>0</v>
      </c>
      <c r="BN20" s="772">
        <v>0</v>
      </c>
      <c r="BO20" s="772">
        <v>0</v>
      </c>
      <c r="BP20" s="772">
        <f t="shared" si="51"/>
        <v>0</v>
      </c>
      <c r="BQ20" s="772">
        <f t="shared" si="52"/>
        <v>0</v>
      </c>
      <c r="BR20" s="772">
        <f t="shared" si="53"/>
        <v>0</v>
      </c>
      <c r="BS20" s="772">
        <v>0</v>
      </c>
      <c r="BT20" s="772"/>
      <c r="BU20" s="772"/>
      <c r="BV20" s="772"/>
      <c r="BW20" s="772">
        <f t="shared" si="54"/>
        <v>0</v>
      </c>
      <c r="BX20" s="772">
        <f t="shared" si="55"/>
        <v>0</v>
      </c>
      <c r="BY20" s="772">
        <f t="shared" si="56"/>
        <v>0</v>
      </c>
      <c r="BZ20" s="772"/>
      <c r="CA20" s="772"/>
      <c r="CB20" s="772"/>
      <c r="CC20" s="772">
        <v>12125</v>
      </c>
      <c r="CD20" s="772">
        <f t="shared" si="57"/>
        <v>12125</v>
      </c>
      <c r="CE20" s="772">
        <f t="shared" si="58"/>
        <v>8701</v>
      </c>
      <c r="CF20" s="772">
        <f t="shared" si="59"/>
        <v>0</v>
      </c>
      <c r="CG20" s="772">
        <v>12125</v>
      </c>
      <c r="CH20" s="772">
        <v>8701</v>
      </c>
      <c r="CI20" s="772">
        <v>0</v>
      </c>
      <c r="CJ20" s="772">
        <v>0</v>
      </c>
      <c r="CK20" s="772">
        <f t="shared" si="60"/>
        <v>0</v>
      </c>
      <c r="CL20" s="772"/>
      <c r="CM20" s="772"/>
      <c r="CN20" s="772">
        <v>0</v>
      </c>
      <c r="CO20" s="772"/>
    </row>
    <row r="21" spans="1:93" s="92" customFormat="1" x14ac:dyDescent="0.25">
      <c r="A21" s="801" t="s">
        <v>603</v>
      </c>
      <c r="B21" s="109"/>
      <c r="C21" s="109"/>
      <c r="D21" s="109"/>
      <c r="E21" s="110"/>
      <c r="F21" s="109"/>
      <c r="G21" s="109"/>
      <c r="H21" s="109"/>
      <c r="I21" s="110"/>
      <c r="J21" s="109"/>
      <c r="K21" s="109"/>
      <c r="L21" s="109"/>
      <c r="M21" s="110"/>
      <c r="N21" s="109"/>
      <c r="O21" s="109"/>
      <c r="P21" s="109"/>
      <c r="Q21" s="109"/>
      <c r="R21" s="111"/>
      <c r="S21" s="108"/>
      <c r="T21" s="108"/>
      <c r="U21" s="108"/>
      <c r="V21" s="109"/>
      <c r="Y21" s="111"/>
      <c r="Z21" s="108"/>
      <c r="AA21" s="108"/>
      <c r="AB21" s="108"/>
      <c r="AC21" s="112"/>
      <c r="AD21" s="112"/>
      <c r="AF21" s="111"/>
      <c r="AG21" s="108"/>
      <c r="AH21" s="108"/>
      <c r="AI21" s="108"/>
      <c r="AJ21" s="108"/>
      <c r="AK21" s="108"/>
      <c r="AL21" s="105"/>
      <c r="AM21" s="111"/>
      <c r="AN21" s="112"/>
      <c r="AO21" s="112"/>
      <c r="AP21" s="112"/>
      <c r="AQ21" s="108"/>
      <c r="AR21" s="108"/>
      <c r="AS21" s="105"/>
      <c r="AT21" s="107">
        <v>0</v>
      </c>
      <c r="AU21" s="107">
        <v>0</v>
      </c>
      <c r="AV21" s="107">
        <v>0</v>
      </c>
      <c r="AW21" s="107">
        <v>0</v>
      </c>
      <c r="AX21" s="107">
        <v>0</v>
      </c>
      <c r="AY21" s="107">
        <v>0</v>
      </c>
      <c r="AZ21" s="107">
        <v>0</v>
      </c>
      <c r="BA21" s="107">
        <v>0</v>
      </c>
      <c r="BB21" s="107">
        <v>0</v>
      </c>
      <c r="BC21" s="107">
        <v>0</v>
      </c>
      <c r="BD21" s="107">
        <v>0</v>
      </c>
      <c r="BE21" s="107">
        <v>0</v>
      </c>
      <c r="BF21" s="107">
        <v>0</v>
      </c>
      <c r="BG21" s="107">
        <v>0</v>
      </c>
      <c r="BH21" s="107">
        <v>0</v>
      </c>
      <c r="BI21" s="107">
        <v>0</v>
      </c>
      <c r="BJ21" s="107">
        <v>0</v>
      </c>
      <c r="BK21" s="107">
        <v>0</v>
      </c>
      <c r="BL21" s="107">
        <v>0</v>
      </c>
      <c r="BM21" s="107">
        <v>0</v>
      </c>
      <c r="BN21" s="107">
        <v>0</v>
      </c>
      <c r="BO21" s="107">
        <v>0</v>
      </c>
      <c r="BP21" s="107">
        <v>0</v>
      </c>
      <c r="BQ21" s="107">
        <v>0</v>
      </c>
      <c r="BR21" s="107">
        <v>0</v>
      </c>
      <c r="BS21" s="107">
        <v>0</v>
      </c>
      <c r="BT21" s="107">
        <v>0</v>
      </c>
      <c r="BU21" s="107">
        <v>0</v>
      </c>
      <c r="BV21" s="107">
        <v>0</v>
      </c>
      <c r="BW21" s="107">
        <v>0</v>
      </c>
      <c r="BX21" s="107">
        <v>0</v>
      </c>
      <c r="BY21" s="107">
        <v>0</v>
      </c>
      <c r="BZ21" s="107">
        <v>0</v>
      </c>
      <c r="CA21" s="107">
        <v>0</v>
      </c>
      <c r="CB21" s="107">
        <v>0</v>
      </c>
      <c r="CC21" s="107">
        <v>0</v>
      </c>
      <c r="CD21" s="107">
        <v>0</v>
      </c>
      <c r="CE21" s="107">
        <v>0</v>
      </c>
      <c r="CF21" s="772">
        <f t="shared" si="59"/>
        <v>8701</v>
      </c>
      <c r="CG21" s="107">
        <v>0</v>
      </c>
      <c r="CH21" s="107">
        <v>0</v>
      </c>
      <c r="CI21" s="772">
        <v>8701</v>
      </c>
      <c r="CJ21" s="772">
        <v>8701</v>
      </c>
      <c r="CK21" s="772">
        <f t="shared" si="60"/>
        <v>8701</v>
      </c>
      <c r="CL21" s="772"/>
      <c r="CM21" s="772"/>
      <c r="CN21" s="772">
        <v>8701</v>
      </c>
      <c r="CO21" s="772"/>
    </row>
    <row r="22" spans="1:93" s="92" customFormat="1" x14ac:dyDescent="0.25">
      <c r="A22" s="104" t="str">
        <f>Language!AA20</f>
        <v>Outros Créditos</v>
      </c>
      <c r="B22" s="105">
        <v>15024</v>
      </c>
      <c r="C22" s="105">
        <v>1104</v>
      </c>
      <c r="D22" s="105">
        <v>6284</v>
      </c>
      <c r="E22" s="106">
        <v>1232</v>
      </c>
      <c r="F22" s="105">
        <v>2140</v>
      </c>
      <c r="G22" s="105">
        <v>3427</v>
      </c>
      <c r="H22" s="105">
        <v>3898</v>
      </c>
      <c r="I22" s="106">
        <v>3792</v>
      </c>
      <c r="J22" s="105">
        <v>13670</v>
      </c>
      <c r="K22" s="105">
        <v>2557</v>
      </c>
      <c r="L22" s="105">
        <v>3945</v>
      </c>
      <c r="M22" s="106">
        <v>3214</v>
      </c>
      <c r="N22" s="105">
        <v>8650</v>
      </c>
      <c r="O22" s="105">
        <v>4952</v>
      </c>
      <c r="P22" s="105">
        <v>6600</v>
      </c>
      <c r="Q22" s="105">
        <v>11564</v>
      </c>
      <c r="R22" s="107">
        <v>6267</v>
      </c>
      <c r="S22" s="108">
        <f t="shared" si="20"/>
        <v>0</v>
      </c>
      <c r="T22" s="108">
        <f t="shared" si="21"/>
        <v>8032</v>
      </c>
      <c r="U22" s="108">
        <f t="shared" si="22"/>
        <v>8474</v>
      </c>
      <c r="V22" s="105"/>
      <c r="W22" s="105">
        <v>8032</v>
      </c>
      <c r="X22" s="105">
        <v>8474</v>
      </c>
      <c r="Y22" s="107">
        <v>13501</v>
      </c>
      <c r="Z22" s="108">
        <f t="shared" si="23"/>
        <v>22778</v>
      </c>
      <c r="AA22" s="108">
        <f t="shared" si="24"/>
        <v>10714</v>
      </c>
      <c r="AB22" s="108">
        <f t="shared" si="25"/>
        <v>9754</v>
      </c>
      <c r="AC22" s="108">
        <v>22778</v>
      </c>
      <c r="AD22" s="108">
        <v>10714</v>
      </c>
      <c r="AE22" s="105">
        <v>9754</v>
      </c>
      <c r="AF22" s="107">
        <v>10229</v>
      </c>
      <c r="AG22" s="108">
        <f t="shared" si="26"/>
        <v>5481</v>
      </c>
      <c r="AH22" s="108">
        <f t="shared" si="2"/>
        <v>2634</v>
      </c>
      <c r="AI22" s="108">
        <f t="shared" si="3"/>
        <v>3334</v>
      </c>
      <c r="AJ22" s="108">
        <v>5481</v>
      </c>
      <c r="AK22" s="108">
        <v>2634</v>
      </c>
      <c r="AL22" s="105">
        <v>3334</v>
      </c>
      <c r="AM22" s="107">
        <v>3882</v>
      </c>
      <c r="AN22" s="108">
        <f t="shared" si="27"/>
        <v>4335</v>
      </c>
      <c r="AO22" s="108">
        <f t="shared" si="27"/>
        <v>3424</v>
      </c>
      <c r="AP22" s="108">
        <f t="shared" si="27"/>
        <v>11975</v>
      </c>
      <c r="AQ22" s="108">
        <v>4335</v>
      </c>
      <c r="AR22" s="108">
        <v>3424</v>
      </c>
      <c r="AS22" s="105">
        <v>11975</v>
      </c>
      <c r="AT22" s="107">
        <v>4296</v>
      </c>
      <c r="AU22" s="107">
        <f t="shared" si="43"/>
        <v>4020</v>
      </c>
      <c r="AV22" s="107">
        <f t="shared" si="44"/>
        <v>4368</v>
      </c>
      <c r="AW22" s="107">
        <f t="shared" si="29"/>
        <v>5021</v>
      </c>
      <c r="AX22" s="107">
        <v>4020</v>
      </c>
      <c r="AY22" s="107">
        <v>4368</v>
      </c>
      <c r="AZ22" s="107">
        <v>5021</v>
      </c>
      <c r="BA22" s="107">
        <v>9271</v>
      </c>
      <c r="BB22" s="107">
        <f t="shared" si="45"/>
        <v>9477</v>
      </c>
      <c r="BC22" s="107">
        <f t="shared" si="46"/>
        <v>9540</v>
      </c>
      <c r="BD22" s="107">
        <f t="shared" si="47"/>
        <v>29630</v>
      </c>
      <c r="BE22" s="107">
        <v>9477</v>
      </c>
      <c r="BF22" s="107">
        <v>9540</v>
      </c>
      <c r="BG22" s="107">
        <v>29630</v>
      </c>
      <c r="BH22" s="107">
        <v>9834</v>
      </c>
      <c r="BI22" s="107">
        <f t="shared" si="48"/>
        <v>14328</v>
      </c>
      <c r="BJ22" s="107">
        <f t="shared" si="49"/>
        <v>10541</v>
      </c>
      <c r="BK22" s="107">
        <f t="shared" si="50"/>
        <v>12315</v>
      </c>
      <c r="BL22" s="772">
        <v>14328</v>
      </c>
      <c r="BM22" s="772">
        <v>10541</v>
      </c>
      <c r="BN22" s="772">
        <v>12315</v>
      </c>
      <c r="BO22" s="772">
        <v>13065</v>
      </c>
      <c r="BP22" s="772">
        <f t="shared" si="51"/>
        <v>12998</v>
      </c>
      <c r="BQ22" s="772">
        <f t="shared" si="52"/>
        <v>11082</v>
      </c>
      <c r="BR22" s="772">
        <f t="shared" si="53"/>
        <v>10960</v>
      </c>
      <c r="BS22" s="772">
        <v>12998</v>
      </c>
      <c r="BT22" s="772">
        <v>11082</v>
      </c>
      <c r="BU22" s="772">
        <v>10960</v>
      </c>
      <c r="BV22" s="772">
        <v>9369</v>
      </c>
      <c r="BW22" s="772">
        <f t="shared" si="54"/>
        <v>5887</v>
      </c>
      <c r="BX22" s="772">
        <f t="shared" si="55"/>
        <v>2985</v>
      </c>
      <c r="BY22" s="772">
        <f t="shared" si="56"/>
        <v>4672</v>
      </c>
      <c r="BZ22" s="772">
        <v>5887</v>
      </c>
      <c r="CA22" s="772">
        <v>2985</v>
      </c>
      <c r="CB22" s="772">
        <v>4672</v>
      </c>
      <c r="CC22" s="772">
        <v>4299</v>
      </c>
      <c r="CD22" s="772">
        <f t="shared" si="57"/>
        <v>3546</v>
      </c>
      <c r="CE22" s="772">
        <f t="shared" si="58"/>
        <v>4340</v>
      </c>
      <c r="CF22" s="772">
        <f t="shared" si="59"/>
        <v>5093</v>
      </c>
      <c r="CG22" s="772">
        <v>3546</v>
      </c>
      <c r="CH22" s="772">
        <v>4340</v>
      </c>
      <c r="CI22" s="772">
        <v>5093</v>
      </c>
      <c r="CJ22" s="772">
        <v>4923</v>
      </c>
      <c r="CK22" s="772">
        <f t="shared" si="60"/>
        <v>3608</v>
      </c>
      <c r="CL22" s="772"/>
      <c r="CM22" s="772"/>
      <c r="CN22" s="772">
        <v>3608</v>
      </c>
      <c r="CO22" s="772"/>
    </row>
    <row r="23" spans="1:93" s="100" customFormat="1" ht="13" x14ac:dyDescent="0.3">
      <c r="A23" s="113" t="str">
        <f>Language!AA21</f>
        <v>Ativo Não Circulante</v>
      </c>
      <c r="B23" s="114">
        <f t="shared" ref="B23:K23" si="61">SUM(B24,B25,B26,B27)</f>
        <v>2823488</v>
      </c>
      <c r="C23" s="114">
        <f t="shared" si="61"/>
        <v>2907946</v>
      </c>
      <c r="D23" s="114">
        <f t="shared" si="61"/>
        <v>2976877</v>
      </c>
      <c r="E23" s="115">
        <f t="shared" si="61"/>
        <v>3070334</v>
      </c>
      <c r="F23" s="114">
        <f t="shared" si="61"/>
        <v>3176915</v>
      </c>
      <c r="G23" s="114">
        <f t="shared" si="61"/>
        <v>3283429</v>
      </c>
      <c r="H23" s="114">
        <f t="shared" si="61"/>
        <v>3432417</v>
      </c>
      <c r="I23" s="115">
        <f t="shared" si="61"/>
        <v>4754634</v>
      </c>
      <c r="J23" s="114">
        <f t="shared" si="61"/>
        <v>4970143</v>
      </c>
      <c r="K23" s="114">
        <f t="shared" si="61"/>
        <v>5154597</v>
      </c>
      <c r="L23" s="114">
        <f t="shared" ref="L23:Q23" si="62">SUM(L24,L25,L26,L27)</f>
        <v>5420413</v>
      </c>
      <c r="M23" s="115">
        <f>SUM(M24,M25,M26,M27)</f>
        <v>5920168</v>
      </c>
      <c r="N23" s="114">
        <f>SUM(N24,N25,N26,N27)</f>
        <v>6011796</v>
      </c>
      <c r="O23" s="114">
        <f t="shared" si="62"/>
        <v>6202291</v>
      </c>
      <c r="P23" s="114">
        <f t="shared" si="62"/>
        <v>6446860</v>
      </c>
      <c r="Q23" s="114">
        <f t="shared" si="62"/>
        <v>5945712</v>
      </c>
      <c r="R23" s="114">
        <f>SUM(R24:R27)</f>
        <v>6722489</v>
      </c>
      <c r="S23" s="114">
        <f t="shared" si="20"/>
        <v>0</v>
      </c>
      <c r="T23" s="114">
        <f t="shared" si="21"/>
        <v>7049227</v>
      </c>
      <c r="U23" s="114">
        <f t="shared" si="22"/>
        <v>5629843</v>
      </c>
      <c r="V23" s="114">
        <f>SUM(V24:V27)</f>
        <v>0</v>
      </c>
      <c r="W23" s="114">
        <f>SUM(W24:W27)</f>
        <v>7049227</v>
      </c>
      <c r="X23" s="114">
        <f>SUM(X24:X27)</f>
        <v>5629843</v>
      </c>
      <c r="Y23" s="114">
        <f>SUM(Y24:Y27)</f>
        <v>6036327</v>
      </c>
      <c r="Z23" s="114">
        <f t="shared" si="23"/>
        <v>6196004</v>
      </c>
      <c r="AA23" s="114">
        <f t="shared" si="24"/>
        <v>6199820</v>
      </c>
      <c r="AB23" s="114">
        <f t="shared" si="25"/>
        <v>6043961</v>
      </c>
      <c r="AC23" s="114">
        <f>SUM(AC24:AC27)</f>
        <v>6196004</v>
      </c>
      <c r="AD23" s="114">
        <f>SUM(AD24:AD27)</f>
        <v>6199820</v>
      </c>
      <c r="AE23" s="114">
        <f>SUM(AE24:AE27)</f>
        <v>6043961</v>
      </c>
      <c r="AF23" s="114">
        <f>SUM(AF24:AF27)</f>
        <v>6009420</v>
      </c>
      <c r="AG23" s="114">
        <f t="shared" si="26"/>
        <v>5913814</v>
      </c>
      <c r="AH23" s="114">
        <f t="shared" si="2"/>
        <v>4195093</v>
      </c>
      <c r="AI23" s="114">
        <f t="shared" si="3"/>
        <v>3529001</v>
      </c>
      <c r="AJ23" s="114">
        <f>SUM(AJ24:AJ27)</f>
        <v>5913814</v>
      </c>
      <c r="AK23" s="114">
        <f>SUM(AK24:AK27)</f>
        <v>4195093</v>
      </c>
      <c r="AL23" s="114">
        <f>SUM(AL24:AL27)</f>
        <v>3529001</v>
      </c>
      <c r="AM23" s="114">
        <f>SUM(AM24:AM27)</f>
        <v>3508703</v>
      </c>
      <c r="AN23" s="114">
        <f t="shared" si="27"/>
        <v>3636606</v>
      </c>
      <c r="AO23" s="114">
        <f t="shared" si="27"/>
        <v>3623880</v>
      </c>
      <c r="AP23" s="114">
        <f t="shared" si="27"/>
        <v>3391997</v>
      </c>
      <c r="AQ23" s="114">
        <f>SUM(AQ24:AQ27)</f>
        <v>3636606</v>
      </c>
      <c r="AR23" s="114">
        <f>SUM(AR24:AR27)</f>
        <v>3623880</v>
      </c>
      <c r="AS23" s="114">
        <f>SUM(AS24:AS27)</f>
        <v>3391997</v>
      </c>
      <c r="AT23" s="114">
        <f>SUM(AT24:AT27)</f>
        <v>3430708</v>
      </c>
      <c r="AU23" s="114">
        <f t="shared" ref="AU23" si="63">SUM(AU24:AU27)</f>
        <v>3381339</v>
      </c>
      <c r="AV23" s="114">
        <f>SUM(AV24:AV27)</f>
        <v>3328023</v>
      </c>
      <c r="AW23" s="114">
        <f t="shared" si="29"/>
        <v>3411349</v>
      </c>
      <c r="AX23" s="114">
        <f t="shared" ref="AX23:BE23" si="64">SUM(AX24:AX27)</f>
        <v>3381339</v>
      </c>
      <c r="AY23" s="114">
        <f t="shared" si="64"/>
        <v>3328023</v>
      </c>
      <c r="AZ23" s="114">
        <f t="shared" si="64"/>
        <v>3411349</v>
      </c>
      <c r="BA23" s="114">
        <f t="shared" si="64"/>
        <v>3325425</v>
      </c>
      <c r="BB23" s="114">
        <f t="shared" si="64"/>
        <v>3282714</v>
      </c>
      <c r="BC23" s="114">
        <f t="shared" si="64"/>
        <v>3227327</v>
      </c>
      <c r="BD23" s="114">
        <f t="shared" si="64"/>
        <v>3068117</v>
      </c>
      <c r="BE23" s="114">
        <f t="shared" si="64"/>
        <v>3282714</v>
      </c>
      <c r="BF23" s="114">
        <f t="shared" ref="BF23:BG23" si="65">SUM(BF24:BF27)</f>
        <v>3227327</v>
      </c>
      <c r="BG23" s="114">
        <f t="shared" si="65"/>
        <v>3068117</v>
      </c>
      <c r="BH23" s="114">
        <f t="shared" ref="BH23:BL23" si="66">SUM(BH24:BH27)</f>
        <v>3003557</v>
      </c>
      <c r="BI23" s="114">
        <f t="shared" si="66"/>
        <v>2937222</v>
      </c>
      <c r="BJ23" s="114">
        <f t="shared" si="66"/>
        <v>2936556</v>
      </c>
      <c r="BK23" s="114">
        <f t="shared" si="66"/>
        <v>2916823</v>
      </c>
      <c r="BL23" s="115">
        <f t="shared" si="66"/>
        <v>2937222</v>
      </c>
      <c r="BM23" s="115">
        <f t="shared" ref="BM23:BN23" si="67">SUM(BM24:BM27)</f>
        <v>2936556</v>
      </c>
      <c r="BN23" s="115">
        <f t="shared" si="67"/>
        <v>2916823</v>
      </c>
      <c r="BO23" s="115">
        <f t="shared" ref="BO23:BP23" si="68">SUM(BO24:BO27)</f>
        <v>2777206</v>
      </c>
      <c r="BP23" s="115">
        <f t="shared" si="68"/>
        <v>2996426</v>
      </c>
      <c r="BQ23" s="115">
        <f t="shared" ref="BQ23:BS23" si="69">SUM(BQ24:BQ27)</f>
        <v>2794294</v>
      </c>
      <c r="BR23" s="115">
        <f t="shared" si="69"/>
        <v>2776608</v>
      </c>
      <c r="BS23" s="115">
        <f t="shared" si="69"/>
        <v>2996426</v>
      </c>
      <c r="BT23" s="115">
        <f t="shared" ref="BT23:BU23" si="70">SUM(BT24:BT27)</f>
        <v>2794294</v>
      </c>
      <c r="BU23" s="115">
        <f t="shared" si="70"/>
        <v>2776608</v>
      </c>
      <c r="BV23" s="115">
        <f t="shared" ref="BV23" si="71">SUM(BV24:BV27)</f>
        <v>2713089</v>
      </c>
      <c r="BW23" s="115">
        <f t="shared" ref="BW23:CB23" si="72">SUM(BW24:BW27)</f>
        <v>2648413</v>
      </c>
      <c r="BX23" s="115">
        <f t="shared" si="72"/>
        <v>2719168</v>
      </c>
      <c r="BY23" s="115">
        <f t="shared" si="72"/>
        <v>2676973</v>
      </c>
      <c r="BZ23" s="115">
        <f t="shared" si="72"/>
        <v>2648413</v>
      </c>
      <c r="CA23" s="115">
        <f t="shared" si="72"/>
        <v>2719168</v>
      </c>
      <c r="CB23" s="115">
        <f t="shared" si="72"/>
        <v>2676973</v>
      </c>
      <c r="CC23" s="115">
        <f t="shared" ref="CC23:CD23" si="73">SUM(CC24:CC27)</f>
        <v>2630063</v>
      </c>
      <c r="CD23" s="115">
        <f t="shared" si="73"/>
        <v>2630113</v>
      </c>
      <c r="CE23" s="115">
        <f t="shared" ref="CE23:CG23" si="74">SUM(CE24:CE27)</f>
        <v>2583388</v>
      </c>
      <c r="CF23" s="115">
        <f t="shared" si="74"/>
        <v>2593683</v>
      </c>
      <c r="CG23" s="115">
        <f t="shared" si="74"/>
        <v>2630113</v>
      </c>
      <c r="CH23" s="115">
        <f t="shared" ref="CH23:CI23" si="75">SUM(CH24:CH27)</f>
        <v>2583388</v>
      </c>
      <c r="CI23" s="115">
        <f t="shared" si="75"/>
        <v>2593683</v>
      </c>
      <c r="CJ23" s="115">
        <v>2563887</v>
      </c>
      <c r="CK23" s="115">
        <f t="shared" ref="CK23:CO23" si="76">SUM(CK24:CK27)</f>
        <v>2493862</v>
      </c>
      <c r="CL23" s="115">
        <f t="shared" si="76"/>
        <v>0</v>
      </c>
      <c r="CM23" s="115">
        <f t="shared" si="76"/>
        <v>0</v>
      </c>
      <c r="CN23" s="115">
        <f t="shared" si="76"/>
        <v>2493862</v>
      </c>
      <c r="CO23" s="115">
        <f t="shared" si="76"/>
        <v>0</v>
      </c>
    </row>
    <row r="24" spans="1:93" s="92" customFormat="1" x14ac:dyDescent="0.25">
      <c r="A24" s="104" t="str">
        <f>Language!AA22</f>
        <v>Realizável a Longo Prazo (RLP)</v>
      </c>
      <c r="B24" s="105">
        <v>52853</v>
      </c>
      <c r="C24" s="105">
        <v>56639</v>
      </c>
      <c r="D24" s="105">
        <v>68046</v>
      </c>
      <c r="E24" s="106">
        <v>69522</v>
      </c>
      <c r="F24" s="105">
        <v>77778</v>
      </c>
      <c r="G24" s="105">
        <v>86525</v>
      </c>
      <c r="H24" s="105">
        <v>102336</v>
      </c>
      <c r="I24" s="106">
        <v>161072</v>
      </c>
      <c r="J24" s="105">
        <v>184707</v>
      </c>
      <c r="K24" s="105">
        <v>231508</v>
      </c>
      <c r="L24" s="105">
        <v>267907</v>
      </c>
      <c r="M24" s="106">
        <v>165035</v>
      </c>
      <c r="N24" s="105">
        <v>167437</v>
      </c>
      <c r="O24" s="105">
        <v>140872</v>
      </c>
      <c r="P24" s="105">
        <v>241195</v>
      </c>
      <c r="Q24" s="105">
        <v>205813</v>
      </c>
      <c r="R24" s="107">
        <v>296882</v>
      </c>
      <c r="S24" s="108">
        <f t="shared" si="20"/>
        <v>0</v>
      </c>
      <c r="T24" s="108">
        <f t="shared" si="21"/>
        <v>314214</v>
      </c>
      <c r="U24" s="108">
        <f t="shared" si="22"/>
        <v>324531</v>
      </c>
      <c r="V24" s="105"/>
      <c r="W24" s="105">
        <v>314214</v>
      </c>
      <c r="X24" s="105">
        <v>324531</v>
      </c>
      <c r="Y24" s="107">
        <v>333512</v>
      </c>
      <c r="Z24" s="108">
        <f t="shared" si="23"/>
        <v>359856</v>
      </c>
      <c r="AA24" s="108">
        <f t="shared" si="24"/>
        <v>369048</v>
      </c>
      <c r="AB24" s="108">
        <f t="shared" si="25"/>
        <v>243879</v>
      </c>
      <c r="AC24" s="108">
        <v>359856</v>
      </c>
      <c r="AD24" s="108">
        <v>369048</v>
      </c>
      <c r="AE24" s="105">
        <v>243879</v>
      </c>
      <c r="AF24" s="107">
        <v>270116</v>
      </c>
      <c r="AG24" s="108">
        <f t="shared" si="26"/>
        <v>274224</v>
      </c>
      <c r="AH24" s="108">
        <f t="shared" si="2"/>
        <v>188811</v>
      </c>
      <c r="AI24" s="108">
        <f t="shared" si="3"/>
        <v>174583</v>
      </c>
      <c r="AJ24" s="108">
        <v>274224</v>
      </c>
      <c r="AK24" s="108">
        <v>188811</v>
      </c>
      <c r="AL24" s="105">
        <v>174583</v>
      </c>
      <c r="AM24" s="107">
        <v>180677</v>
      </c>
      <c r="AN24" s="108">
        <f t="shared" si="27"/>
        <v>322567</v>
      </c>
      <c r="AO24" s="108">
        <f t="shared" si="27"/>
        <v>234421</v>
      </c>
      <c r="AP24" s="108">
        <f t="shared" si="27"/>
        <v>221820</v>
      </c>
      <c r="AQ24" s="108">
        <v>322567</v>
      </c>
      <c r="AR24" s="108">
        <v>234421</v>
      </c>
      <c r="AS24" s="105">
        <v>221820</v>
      </c>
      <c r="AT24" s="107">
        <v>234366</v>
      </c>
      <c r="AU24" s="107">
        <f>AX24</f>
        <v>237204</v>
      </c>
      <c r="AV24" s="107">
        <f>AY24</f>
        <v>295522</v>
      </c>
      <c r="AW24" s="107">
        <f t="shared" si="29"/>
        <v>419655</v>
      </c>
      <c r="AX24" s="107">
        <v>237204</v>
      </c>
      <c r="AY24" s="107">
        <v>295522</v>
      </c>
      <c r="AZ24" s="107">
        <v>419655</v>
      </c>
      <c r="BA24" s="107">
        <v>393393</v>
      </c>
      <c r="BB24" s="107">
        <f>BE24</f>
        <v>398284</v>
      </c>
      <c r="BC24" s="107">
        <f>BF24</f>
        <v>420755</v>
      </c>
      <c r="BD24" s="107">
        <f>BG24</f>
        <v>402587</v>
      </c>
      <c r="BE24" s="107">
        <v>398284</v>
      </c>
      <c r="BF24" s="107">
        <v>420755</v>
      </c>
      <c r="BG24" s="107">
        <v>402587</v>
      </c>
      <c r="BH24" s="107">
        <v>412532</v>
      </c>
      <c r="BI24" s="107">
        <f>BL24</f>
        <v>421216</v>
      </c>
      <c r="BJ24" s="107">
        <f>BM24</f>
        <v>427747</v>
      </c>
      <c r="BK24" s="107">
        <f>BN24</f>
        <v>451183</v>
      </c>
      <c r="BL24" s="772">
        <v>421216</v>
      </c>
      <c r="BM24" s="772">
        <v>427747</v>
      </c>
      <c r="BN24" s="772">
        <v>451183</v>
      </c>
      <c r="BO24" s="772">
        <v>329284</v>
      </c>
      <c r="BP24" s="772">
        <f>BS24</f>
        <v>1856289</v>
      </c>
      <c r="BQ24" s="772">
        <f>BT24</f>
        <v>1667881</v>
      </c>
      <c r="BR24" s="772">
        <f>BU24</f>
        <v>1612350</v>
      </c>
      <c r="BS24" s="772">
        <v>1856289</v>
      </c>
      <c r="BT24" s="772">
        <v>1667881</v>
      </c>
      <c r="BU24" s="772">
        <v>1612350</v>
      </c>
      <c r="BV24" s="772">
        <v>1550865</v>
      </c>
      <c r="BW24" s="772">
        <f>BZ24</f>
        <v>1483252</v>
      </c>
      <c r="BX24" s="772">
        <f>CA24</f>
        <v>1474987</v>
      </c>
      <c r="BY24" s="772">
        <f>CB24</f>
        <v>1446507</v>
      </c>
      <c r="BZ24" s="772">
        <v>1483252</v>
      </c>
      <c r="CA24" s="772">
        <v>1474987</v>
      </c>
      <c r="CB24" s="772">
        <v>1446507</v>
      </c>
      <c r="CC24" s="772">
        <v>1416074</v>
      </c>
      <c r="CD24" s="772">
        <f>CG24</f>
        <v>1402195</v>
      </c>
      <c r="CE24" s="772">
        <f>CH24</f>
        <v>1360315</v>
      </c>
      <c r="CF24" s="772">
        <f>CI24</f>
        <v>1574994</v>
      </c>
      <c r="CG24" s="772">
        <v>1402195</v>
      </c>
      <c r="CH24" s="772">
        <v>1360315</v>
      </c>
      <c r="CI24" s="772">
        <v>1574994</v>
      </c>
      <c r="CJ24" s="772">
        <v>1567224</v>
      </c>
      <c r="CK24" s="772">
        <f>CN24</f>
        <v>1541337</v>
      </c>
      <c r="CL24" s="772"/>
      <c r="CM24" s="772"/>
      <c r="CN24" s="772">
        <v>1541337</v>
      </c>
      <c r="CO24" s="772"/>
    </row>
    <row r="25" spans="1:93" s="92" customFormat="1" x14ac:dyDescent="0.25">
      <c r="A25" s="104" t="str">
        <f>Language!AA23</f>
        <v>Investimentos</v>
      </c>
      <c r="B25" s="105">
        <v>25</v>
      </c>
      <c r="C25" s="105">
        <v>28</v>
      </c>
      <c r="D25" s="105">
        <v>32</v>
      </c>
      <c r="E25" s="106">
        <v>35</v>
      </c>
      <c r="F25" s="105">
        <v>38</v>
      </c>
      <c r="G25" s="105">
        <v>11138</v>
      </c>
      <c r="H25" s="105">
        <v>32410</v>
      </c>
      <c r="I25" s="106">
        <v>649534</v>
      </c>
      <c r="J25" s="105">
        <v>664896</v>
      </c>
      <c r="K25" s="105">
        <v>624032</v>
      </c>
      <c r="L25" s="105">
        <v>621430</v>
      </c>
      <c r="M25" s="106">
        <v>73272</v>
      </c>
      <c r="N25" s="105">
        <v>74191</v>
      </c>
      <c r="O25" s="105">
        <v>28452</v>
      </c>
      <c r="P25" s="105">
        <v>20935</v>
      </c>
      <c r="Q25" s="105">
        <v>21028</v>
      </c>
      <c r="R25" s="107">
        <v>39247</v>
      </c>
      <c r="S25" s="108">
        <f t="shared" si="20"/>
        <v>0</v>
      </c>
      <c r="T25" s="108">
        <f t="shared" si="21"/>
        <v>44834</v>
      </c>
      <c r="U25" s="108">
        <f t="shared" si="22"/>
        <v>56704</v>
      </c>
      <c r="V25" s="105"/>
      <c r="W25" s="105">
        <v>44834</v>
      </c>
      <c r="X25" s="105">
        <v>56704</v>
      </c>
      <c r="Y25" s="107">
        <v>69042</v>
      </c>
      <c r="Z25" s="108">
        <f t="shared" si="23"/>
        <v>47855</v>
      </c>
      <c r="AA25" s="108">
        <f t="shared" si="24"/>
        <v>50630</v>
      </c>
      <c r="AB25" s="108">
        <f t="shared" si="25"/>
        <v>55595</v>
      </c>
      <c r="AC25" s="108">
        <v>47855</v>
      </c>
      <c r="AD25" s="108">
        <v>50630</v>
      </c>
      <c r="AE25" s="105">
        <v>55595</v>
      </c>
      <c r="AF25" s="107">
        <v>55981</v>
      </c>
      <c r="AG25" s="108">
        <f t="shared" si="26"/>
        <v>6823</v>
      </c>
      <c r="AH25" s="108">
        <f t="shared" si="2"/>
        <v>3791</v>
      </c>
      <c r="AI25" s="108">
        <f t="shared" si="3"/>
        <v>6553</v>
      </c>
      <c r="AJ25" s="108">
        <v>6823</v>
      </c>
      <c r="AK25" s="108">
        <v>3791</v>
      </c>
      <c r="AL25" s="105">
        <v>6553</v>
      </c>
      <c r="AM25" s="107">
        <v>6553</v>
      </c>
      <c r="AN25" s="108">
        <f t="shared" si="27"/>
        <v>6554</v>
      </c>
      <c r="AO25" s="108">
        <f t="shared" si="27"/>
        <v>0</v>
      </c>
      <c r="AP25" s="108"/>
      <c r="AQ25" s="108">
        <v>6554</v>
      </c>
      <c r="AR25" s="108">
        <v>0</v>
      </c>
      <c r="AS25" s="105"/>
      <c r="AT25" s="107">
        <v>0</v>
      </c>
      <c r="AU25" s="107">
        <f t="shared" ref="AU25:AU27" si="77">AX25</f>
        <v>50</v>
      </c>
      <c r="AV25" s="107">
        <f t="shared" ref="AV25:AV27" si="78">AY25</f>
        <v>50</v>
      </c>
      <c r="AW25" s="107">
        <f t="shared" si="29"/>
        <v>12443</v>
      </c>
      <c r="AX25" s="107">
        <v>50</v>
      </c>
      <c r="AY25" s="107">
        <v>50</v>
      </c>
      <c r="AZ25" s="107">
        <v>12443</v>
      </c>
      <c r="BA25" s="107">
        <v>10143</v>
      </c>
      <c r="BB25" s="107">
        <f t="shared" ref="BB25:BB27" si="79">BE25</f>
        <v>9611</v>
      </c>
      <c r="BC25" s="107">
        <f t="shared" ref="BC25:BC27" si="80">BF25</f>
        <v>0</v>
      </c>
      <c r="BD25" s="107">
        <f t="shared" ref="BD25:BD27" si="81">BG25</f>
        <v>0</v>
      </c>
      <c r="BE25" s="107">
        <v>9611</v>
      </c>
      <c r="BF25" s="107">
        <v>0</v>
      </c>
      <c r="BG25" s="107">
        <v>0</v>
      </c>
      <c r="BH25" s="107">
        <v>0</v>
      </c>
      <c r="BI25" s="107">
        <f t="shared" ref="BI25:BI27" si="82">BL25</f>
        <v>0</v>
      </c>
      <c r="BJ25" s="107">
        <f t="shared" ref="BJ25:BJ27" si="83">BM25</f>
        <v>0</v>
      </c>
      <c r="BK25" s="107">
        <f t="shared" ref="BK25:BK27" si="84">BN25</f>
        <v>0</v>
      </c>
      <c r="BL25" s="772">
        <v>0</v>
      </c>
      <c r="BM25" s="772">
        <v>0</v>
      </c>
      <c r="BN25" s="772">
        <v>0</v>
      </c>
      <c r="BO25" s="772">
        <v>0</v>
      </c>
      <c r="BP25" s="772">
        <f t="shared" ref="BP25:BP27" si="85">BS25</f>
        <v>0</v>
      </c>
      <c r="BQ25" s="772">
        <f t="shared" ref="BQ25:BQ27" si="86">BT25</f>
        <v>0</v>
      </c>
      <c r="BR25" s="772">
        <f t="shared" ref="BR25:BR27" si="87">BU25</f>
        <v>0</v>
      </c>
      <c r="BS25" s="772">
        <v>0</v>
      </c>
      <c r="BT25" s="772">
        <v>0</v>
      </c>
      <c r="BU25" s="772">
        <v>0</v>
      </c>
      <c r="BV25" s="772">
        <v>0</v>
      </c>
      <c r="BW25" s="772">
        <f t="shared" ref="BW25:BW27" si="88">BZ25</f>
        <v>1</v>
      </c>
      <c r="BX25" s="772">
        <f t="shared" ref="BX25:BX27" si="89">CA25</f>
        <v>0</v>
      </c>
      <c r="BY25" s="772">
        <f t="shared" ref="BY25:BY27" si="90">CB25</f>
        <v>1360</v>
      </c>
      <c r="BZ25" s="772">
        <v>1</v>
      </c>
      <c r="CA25" s="772">
        <v>0</v>
      </c>
      <c r="CB25" s="772">
        <v>1360</v>
      </c>
      <c r="CC25" s="772">
        <v>1360</v>
      </c>
      <c r="CD25" s="772">
        <f t="shared" ref="CD25:CD27" si="91">CG25</f>
        <v>1360</v>
      </c>
      <c r="CE25" s="772">
        <f t="shared" ref="CE25:CE27" si="92">CH25</f>
        <v>1641</v>
      </c>
      <c r="CF25" s="772">
        <f t="shared" ref="CF25:CF27" si="93">CI25</f>
        <v>1639</v>
      </c>
      <c r="CG25" s="772">
        <v>1360</v>
      </c>
      <c r="CH25" s="772">
        <v>1641</v>
      </c>
      <c r="CI25" s="772">
        <v>1639</v>
      </c>
      <c r="CJ25" s="772">
        <v>2060</v>
      </c>
      <c r="CK25" s="772">
        <f t="shared" ref="CK25:CK27" si="94">CN25</f>
        <v>2060</v>
      </c>
      <c r="CL25" s="772"/>
      <c r="CM25" s="772"/>
      <c r="CN25" s="772">
        <v>2060</v>
      </c>
      <c r="CO25" s="772"/>
    </row>
    <row r="26" spans="1:93" s="92" customFormat="1" x14ac:dyDescent="0.25">
      <c r="A26" s="104" t="str">
        <f>Language!AA24</f>
        <v>Imobilizado</v>
      </c>
      <c r="B26" s="105">
        <v>1621635</v>
      </c>
      <c r="C26" s="105">
        <v>1622009</v>
      </c>
      <c r="D26" s="105">
        <v>1762894</v>
      </c>
      <c r="E26" s="106">
        <v>1829167</v>
      </c>
      <c r="F26" s="105">
        <v>1910222</v>
      </c>
      <c r="G26" s="105">
        <v>1985826</v>
      </c>
      <c r="H26" s="105">
        <v>2097912</v>
      </c>
      <c r="I26" s="106">
        <v>2182518</v>
      </c>
      <c r="J26" s="105">
        <v>2311565</v>
      </c>
      <c r="K26" s="105">
        <v>2407481</v>
      </c>
      <c r="L26" s="105">
        <v>2514546</v>
      </c>
      <c r="M26" s="106">
        <v>2566936</v>
      </c>
      <c r="N26" s="105">
        <v>2468290</v>
      </c>
      <c r="O26" s="105">
        <v>2482974</v>
      </c>
      <c r="P26" s="105">
        <v>2466335</v>
      </c>
      <c r="Q26" s="105">
        <v>2448623</v>
      </c>
      <c r="R26" s="107">
        <v>2452038</v>
      </c>
      <c r="S26" s="108">
        <f t="shared" si="20"/>
        <v>0</v>
      </c>
      <c r="T26" s="108">
        <f t="shared" si="21"/>
        <v>2420215</v>
      </c>
      <c r="U26" s="108">
        <f t="shared" si="22"/>
        <v>831764</v>
      </c>
      <c r="V26" s="105"/>
      <c r="W26" s="105">
        <v>2420215</v>
      </c>
      <c r="X26" s="105">
        <v>831764</v>
      </c>
      <c r="Y26" s="107">
        <v>820678</v>
      </c>
      <c r="Z26" s="108">
        <f t="shared" si="23"/>
        <v>812460</v>
      </c>
      <c r="AA26" s="108">
        <f t="shared" si="24"/>
        <v>804689</v>
      </c>
      <c r="AB26" s="108">
        <f t="shared" si="25"/>
        <v>796341</v>
      </c>
      <c r="AC26" s="108">
        <v>812460</v>
      </c>
      <c r="AD26" s="108">
        <v>804689</v>
      </c>
      <c r="AE26" s="105">
        <v>796341</v>
      </c>
      <c r="AF26" s="107">
        <v>787461</v>
      </c>
      <c r="AG26" s="108">
        <f t="shared" si="26"/>
        <v>764983</v>
      </c>
      <c r="AH26" s="108">
        <f t="shared" si="2"/>
        <v>749353</v>
      </c>
      <c r="AI26" s="108">
        <f t="shared" si="3"/>
        <v>155160</v>
      </c>
      <c r="AJ26" s="108">
        <v>764983</v>
      </c>
      <c r="AK26" s="108">
        <v>749353</v>
      </c>
      <c r="AL26" s="105">
        <v>155160</v>
      </c>
      <c r="AM26" s="107">
        <v>154957</v>
      </c>
      <c r="AN26" s="108">
        <f t="shared" si="27"/>
        <v>156026</v>
      </c>
      <c r="AO26" s="108">
        <f t="shared" si="27"/>
        <v>153926</v>
      </c>
      <c r="AP26" s="108">
        <f t="shared" si="27"/>
        <v>189961</v>
      </c>
      <c r="AQ26" s="108">
        <v>156026</v>
      </c>
      <c r="AR26" s="108">
        <v>153926</v>
      </c>
      <c r="AS26" s="105">
        <v>189961</v>
      </c>
      <c r="AT26" s="107">
        <v>190324</v>
      </c>
      <c r="AU26" s="107">
        <f t="shared" si="77"/>
        <v>190373</v>
      </c>
      <c r="AV26" s="107">
        <f t="shared" si="78"/>
        <v>191165</v>
      </c>
      <c r="AW26" s="107">
        <f t="shared" si="29"/>
        <v>200008</v>
      </c>
      <c r="AX26" s="107">
        <v>190373</v>
      </c>
      <c r="AY26" s="107">
        <v>191165</v>
      </c>
      <c r="AZ26" s="107">
        <v>200008</v>
      </c>
      <c r="BA26" s="107">
        <v>198739</v>
      </c>
      <c r="BB26" s="107">
        <f t="shared" si="79"/>
        <v>198031</v>
      </c>
      <c r="BC26" s="107">
        <f t="shared" si="80"/>
        <v>197254</v>
      </c>
      <c r="BD26" s="107">
        <f t="shared" si="81"/>
        <v>196042</v>
      </c>
      <c r="BE26" s="107">
        <v>198031</v>
      </c>
      <c r="BF26" s="107">
        <v>197254</v>
      </c>
      <c r="BG26" s="107">
        <v>196042</v>
      </c>
      <c r="BH26" s="107">
        <v>196671</v>
      </c>
      <c r="BI26" s="107">
        <f t="shared" si="82"/>
        <v>197373</v>
      </c>
      <c r="BJ26" s="107">
        <f t="shared" si="83"/>
        <v>194573</v>
      </c>
      <c r="BK26" s="107">
        <f t="shared" si="84"/>
        <v>195181</v>
      </c>
      <c r="BL26" s="772">
        <v>197373</v>
      </c>
      <c r="BM26" s="772">
        <v>194573</v>
      </c>
      <c r="BN26" s="772">
        <v>195181</v>
      </c>
      <c r="BO26" s="772">
        <v>194729</v>
      </c>
      <c r="BP26" s="772">
        <f t="shared" si="85"/>
        <v>191885</v>
      </c>
      <c r="BQ26" s="772">
        <f t="shared" si="86"/>
        <v>192044</v>
      </c>
      <c r="BR26" s="772">
        <f t="shared" si="87"/>
        <v>197006</v>
      </c>
      <c r="BS26" s="772">
        <v>191885</v>
      </c>
      <c r="BT26" s="772">
        <v>192044</v>
      </c>
      <c r="BU26" s="772">
        <v>197006</v>
      </c>
      <c r="BV26" s="772">
        <v>198246</v>
      </c>
      <c r="BW26" s="772">
        <f t="shared" si="88"/>
        <v>200280</v>
      </c>
      <c r="BX26" s="772">
        <f t="shared" si="89"/>
        <v>202909</v>
      </c>
      <c r="BY26" s="772">
        <f t="shared" si="90"/>
        <v>192113</v>
      </c>
      <c r="BZ26" s="772">
        <v>200280</v>
      </c>
      <c r="CA26" s="772">
        <v>202909</v>
      </c>
      <c r="CB26" s="772">
        <v>192113</v>
      </c>
      <c r="CC26" s="772">
        <v>192936</v>
      </c>
      <c r="CD26" s="772">
        <f t="shared" si="91"/>
        <v>191364</v>
      </c>
      <c r="CE26" s="772">
        <f t="shared" si="92"/>
        <v>192735</v>
      </c>
      <c r="CF26" s="772">
        <f t="shared" si="93"/>
        <v>194722</v>
      </c>
      <c r="CG26" s="772">
        <v>191364</v>
      </c>
      <c r="CH26" s="772">
        <v>192735</v>
      </c>
      <c r="CI26" s="772">
        <v>194722</v>
      </c>
      <c r="CJ26" s="772">
        <v>196670</v>
      </c>
      <c r="CK26" s="772">
        <f t="shared" si="94"/>
        <v>197960</v>
      </c>
      <c r="CL26" s="772"/>
      <c r="CM26" s="772"/>
      <c r="CN26" s="772">
        <v>197960</v>
      </c>
      <c r="CO26" s="772"/>
    </row>
    <row r="27" spans="1:93" s="92" customFormat="1" x14ac:dyDescent="0.25">
      <c r="A27" s="104" t="str">
        <f>Language!AA25</f>
        <v>Intangível</v>
      </c>
      <c r="B27" s="105">
        <v>1148975</v>
      </c>
      <c r="C27" s="105">
        <v>1229270</v>
      </c>
      <c r="D27" s="105">
        <v>1145905</v>
      </c>
      <c r="E27" s="106">
        <v>1171610</v>
      </c>
      <c r="F27" s="105">
        <v>1188877</v>
      </c>
      <c r="G27" s="105">
        <v>1199940</v>
      </c>
      <c r="H27" s="105">
        <v>1199759</v>
      </c>
      <c r="I27" s="106">
        <v>1761510</v>
      </c>
      <c r="J27" s="105">
        <v>1808975</v>
      </c>
      <c r="K27" s="105">
        <v>1891576</v>
      </c>
      <c r="L27" s="105">
        <v>2016530</v>
      </c>
      <c r="M27" s="106">
        <v>3114925</v>
      </c>
      <c r="N27" s="105">
        <v>3301878</v>
      </c>
      <c r="O27" s="105">
        <v>3549993</v>
      </c>
      <c r="P27" s="105">
        <v>3718395</v>
      </c>
      <c r="Q27" s="105">
        <v>3270248</v>
      </c>
      <c r="R27" s="107">
        <v>3934322</v>
      </c>
      <c r="S27" s="108">
        <f t="shared" si="20"/>
        <v>0</v>
      </c>
      <c r="T27" s="108">
        <f t="shared" si="21"/>
        <v>4269964</v>
      </c>
      <c r="U27" s="108">
        <f t="shared" si="22"/>
        <v>4416844</v>
      </c>
      <c r="V27" s="105"/>
      <c r="W27" s="105">
        <v>4269964</v>
      </c>
      <c r="X27" s="105">
        <v>4416844</v>
      </c>
      <c r="Y27" s="107">
        <v>4813095</v>
      </c>
      <c r="Z27" s="108">
        <f t="shared" si="23"/>
        <v>4975833</v>
      </c>
      <c r="AA27" s="108">
        <f t="shared" si="24"/>
        <v>4975453</v>
      </c>
      <c r="AB27" s="108">
        <f t="shared" si="25"/>
        <v>4948146</v>
      </c>
      <c r="AC27" s="108">
        <v>4975833</v>
      </c>
      <c r="AD27" s="108">
        <v>4975453</v>
      </c>
      <c r="AE27" s="105">
        <v>4948146</v>
      </c>
      <c r="AF27" s="107">
        <v>4895862</v>
      </c>
      <c r="AG27" s="108">
        <f t="shared" si="26"/>
        <v>4867784</v>
      </c>
      <c r="AH27" s="108">
        <f t="shared" si="2"/>
        <v>3253138</v>
      </c>
      <c r="AI27" s="108">
        <f t="shared" si="3"/>
        <v>3192705</v>
      </c>
      <c r="AJ27" s="108">
        <v>4867784</v>
      </c>
      <c r="AK27" s="108">
        <v>3253138</v>
      </c>
      <c r="AL27" s="105">
        <v>3192705</v>
      </c>
      <c r="AM27" s="107">
        <v>3166516</v>
      </c>
      <c r="AN27" s="108">
        <f t="shared" si="27"/>
        <v>3151459</v>
      </c>
      <c r="AO27" s="108">
        <f t="shared" si="27"/>
        <v>3235533</v>
      </c>
      <c r="AP27" s="108">
        <f t="shared" si="27"/>
        <v>2980216</v>
      </c>
      <c r="AQ27" s="108">
        <v>3151459</v>
      </c>
      <c r="AR27" s="108">
        <v>3235533</v>
      </c>
      <c r="AS27" s="105">
        <v>2980216</v>
      </c>
      <c r="AT27" s="107">
        <v>3006018</v>
      </c>
      <c r="AU27" s="107">
        <f t="shared" si="77"/>
        <v>2953712</v>
      </c>
      <c r="AV27" s="107">
        <f t="shared" si="78"/>
        <v>2841286</v>
      </c>
      <c r="AW27" s="107">
        <f t="shared" si="29"/>
        <v>2779243</v>
      </c>
      <c r="AX27" s="107">
        <v>2953712</v>
      </c>
      <c r="AY27" s="107">
        <v>2841286</v>
      </c>
      <c r="AZ27" s="107">
        <v>2779243</v>
      </c>
      <c r="BA27" s="107">
        <v>2723150</v>
      </c>
      <c r="BB27" s="107">
        <f t="shared" si="79"/>
        <v>2676788</v>
      </c>
      <c r="BC27" s="107">
        <f t="shared" si="80"/>
        <v>2609318</v>
      </c>
      <c r="BD27" s="107">
        <f t="shared" si="81"/>
        <v>2469488</v>
      </c>
      <c r="BE27" s="107">
        <v>2676788</v>
      </c>
      <c r="BF27" s="107">
        <v>2609318</v>
      </c>
      <c r="BG27" s="107">
        <v>2469488</v>
      </c>
      <c r="BH27" s="107">
        <v>2394354</v>
      </c>
      <c r="BI27" s="107">
        <f t="shared" si="82"/>
        <v>2318633</v>
      </c>
      <c r="BJ27" s="107">
        <f t="shared" si="83"/>
        <v>2314236</v>
      </c>
      <c r="BK27" s="107">
        <f t="shared" si="84"/>
        <v>2270459</v>
      </c>
      <c r="BL27" s="772">
        <v>2318633</v>
      </c>
      <c r="BM27" s="772">
        <v>2314236</v>
      </c>
      <c r="BN27" s="772">
        <v>2270459</v>
      </c>
      <c r="BO27" s="772">
        <v>2253193</v>
      </c>
      <c r="BP27" s="772">
        <f t="shared" si="85"/>
        <v>948252</v>
      </c>
      <c r="BQ27" s="772">
        <f t="shared" si="86"/>
        <v>934369</v>
      </c>
      <c r="BR27" s="772">
        <f t="shared" si="87"/>
        <v>967252</v>
      </c>
      <c r="BS27" s="772">
        <v>948252</v>
      </c>
      <c r="BT27" s="772">
        <v>934369</v>
      </c>
      <c r="BU27" s="772">
        <v>967252</v>
      </c>
      <c r="BV27" s="772">
        <v>963978</v>
      </c>
      <c r="BW27" s="772">
        <f t="shared" si="88"/>
        <v>964880</v>
      </c>
      <c r="BX27" s="772">
        <f t="shared" si="89"/>
        <v>1041272</v>
      </c>
      <c r="BY27" s="772">
        <f t="shared" si="90"/>
        <v>1036993</v>
      </c>
      <c r="BZ27" s="772">
        <v>964880</v>
      </c>
      <c r="CA27" s="772">
        <v>1041272</v>
      </c>
      <c r="CB27" s="772">
        <v>1036993</v>
      </c>
      <c r="CC27" s="772">
        <v>1019693</v>
      </c>
      <c r="CD27" s="772">
        <f t="shared" si="91"/>
        <v>1035194</v>
      </c>
      <c r="CE27" s="772">
        <f t="shared" si="92"/>
        <v>1028697</v>
      </c>
      <c r="CF27" s="772">
        <f t="shared" si="93"/>
        <v>822328</v>
      </c>
      <c r="CG27" s="772">
        <v>1035194</v>
      </c>
      <c r="CH27" s="772">
        <v>1028697</v>
      </c>
      <c r="CI27" s="772">
        <v>822328</v>
      </c>
      <c r="CJ27" s="772">
        <v>797933</v>
      </c>
      <c r="CK27" s="772">
        <f t="shared" si="94"/>
        <v>752505</v>
      </c>
      <c r="CL27" s="772"/>
      <c r="CM27" s="772"/>
      <c r="CN27" s="772">
        <v>752505</v>
      </c>
      <c r="CO27" s="772"/>
    </row>
    <row r="28" spans="1:93" s="100" customFormat="1" ht="13" x14ac:dyDescent="0.3">
      <c r="A28" s="113" t="str">
        <f>Language!AA26</f>
        <v>Ativos de Operações Descontinuadas</v>
      </c>
      <c r="B28" s="116">
        <v>0</v>
      </c>
      <c r="C28" s="116">
        <v>0</v>
      </c>
      <c r="D28" s="116">
        <v>0</v>
      </c>
      <c r="E28" s="117">
        <v>0</v>
      </c>
      <c r="F28" s="116">
        <v>0</v>
      </c>
      <c r="G28" s="116">
        <v>0</v>
      </c>
      <c r="H28" s="116">
        <v>0</v>
      </c>
      <c r="I28" s="117">
        <v>0</v>
      </c>
      <c r="J28" s="116">
        <v>0</v>
      </c>
      <c r="K28" s="116">
        <v>0</v>
      </c>
      <c r="L28" s="116">
        <v>0</v>
      </c>
      <c r="M28" s="117">
        <v>146323</v>
      </c>
      <c r="N28" s="116">
        <v>142216</v>
      </c>
      <c r="O28" s="116">
        <v>139580</v>
      </c>
      <c r="P28" s="116">
        <v>71306</v>
      </c>
      <c r="Q28" s="116">
        <v>180346</v>
      </c>
      <c r="R28" s="118">
        <v>46032</v>
      </c>
      <c r="S28" s="116">
        <f t="shared" si="20"/>
        <v>0</v>
      </c>
      <c r="T28" s="116">
        <f t="shared" si="21"/>
        <v>0</v>
      </c>
      <c r="U28" s="116">
        <f t="shared" si="22"/>
        <v>0</v>
      </c>
      <c r="V28" s="116"/>
      <c r="W28" s="116">
        <v>0</v>
      </c>
      <c r="X28" s="116">
        <v>0</v>
      </c>
      <c r="Y28" s="118">
        <v>0</v>
      </c>
      <c r="Z28" s="116"/>
      <c r="AA28" s="116"/>
      <c r="AB28" s="116"/>
      <c r="AC28" s="116"/>
      <c r="AD28" s="116"/>
      <c r="AE28" s="116"/>
      <c r="AF28" s="118"/>
      <c r="AG28" s="116"/>
      <c r="AH28" s="116"/>
      <c r="AI28" s="116"/>
      <c r="AJ28" s="116"/>
      <c r="AK28" s="116"/>
      <c r="AL28" s="116"/>
      <c r="AM28" s="118"/>
      <c r="AN28" s="116"/>
      <c r="AO28" s="116"/>
      <c r="AP28" s="116"/>
      <c r="AQ28" s="116"/>
      <c r="AR28" s="116"/>
      <c r="AS28" s="116"/>
      <c r="AT28" s="118"/>
      <c r="AU28" s="118"/>
      <c r="AV28" s="118"/>
      <c r="AW28" s="118"/>
      <c r="AX28" s="118"/>
      <c r="AY28" s="118"/>
      <c r="AZ28" s="118">
        <v>0</v>
      </c>
      <c r="BA28" s="118">
        <v>0</v>
      </c>
      <c r="BB28" s="118">
        <v>0</v>
      </c>
      <c r="BC28" s="118">
        <v>0</v>
      </c>
      <c r="BD28" s="118"/>
      <c r="BE28" s="118">
        <v>0</v>
      </c>
      <c r="BF28" s="118"/>
      <c r="BG28" s="118"/>
      <c r="BH28" s="118"/>
      <c r="BI28" s="118"/>
      <c r="BJ28" s="118"/>
      <c r="BK28" s="118"/>
      <c r="BL28" s="773"/>
      <c r="BM28" s="773"/>
      <c r="BN28" s="773"/>
      <c r="BO28" s="773"/>
      <c r="BP28" s="773"/>
      <c r="BQ28" s="773"/>
      <c r="BR28" s="773"/>
      <c r="BS28" s="773"/>
      <c r="BT28" s="773"/>
      <c r="BU28" s="773"/>
      <c r="BV28" s="773"/>
      <c r="BW28" s="773"/>
      <c r="BX28" s="773"/>
      <c r="BY28" s="773"/>
      <c r="BZ28" s="773"/>
      <c r="CA28" s="773"/>
      <c r="CB28" s="773"/>
      <c r="CC28" s="773"/>
      <c r="CD28" s="773"/>
      <c r="CE28" s="773"/>
      <c r="CF28" s="773"/>
      <c r="CG28" s="773"/>
      <c r="CH28" s="773"/>
      <c r="CI28" s="773"/>
      <c r="CJ28" s="773"/>
      <c r="CK28" s="773"/>
      <c r="CL28" s="773"/>
      <c r="CM28" s="773"/>
      <c r="CN28" s="773"/>
      <c r="CO28" s="773"/>
    </row>
    <row r="29" spans="1:93" s="120" customFormat="1" ht="13" x14ac:dyDescent="0.3">
      <c r="A29" s="119"/>
      <c r="S29" s="120">
        <f t="shared" si="20"/>
        <v>0</v>
      </c>
      <c r="T29" s="120">
        <f t="shared" si="21"/>
        <v>0</v>
      </c>
      <c r="U29" s="120">
        <f t="shared" si="22"/>
        <v>0</v>
      </c>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c r="CN29" s="138"/>
      <c r="CO29" s="138"/>
    </row>
    <row r="30" spans="1:93" s="100" customFormat="1" ht="13" x14ac:dyDescent="0.3">
      <c r="A30" s="97" t="str">
        <f>Language!AA27</f>
        <v>PASSIVO TOTAL</v>
      </c>
      <c r="B30" s="98">
        <f t="shared" ref="B30:L30" si="95">SUM(B31,B49,B67,B79)</f>
        <v>2990512</v>
      </c>
      <c r="C30" s="98">
        <f t="shared" si="95"/>
        <v>3270183</v>
      </c>
      <c r="D30" s="98">
        <f t="shared" si="95"/>
        <v>3224482</v>
      </c>
      <c r="E30" s="99">
        <f t="shared" si="95"/>
        <v>3403687</v>
      </c>
      <c r="F30" s="98">
        <f t="shared" si="95"/>
        <v>3431313</v>
      </c>
      <c r="G30" s="98">
        <f t="shared" si="95"/>
        <v>3628348</v>
      </c>
      <c r="H30" s="98">
        <f t="shared" si="95"/>
        <v>3906802</v>
      </c>
      <c r="I30" s="99">
        <f t="shared" si="95"/>
        <v>5102790</v>
      </c>
      <c r="J30" s="98">
        <f t="shared" si="95"/>
        <v>5248210</v>
      </c>
      <c r="K30" s="98">
        <f t="shared" si="95"/>
        <v>5617585</v>
      </c>
      <c r="L30" s="98">
        <f t="shared" si="95"/>
        <v>5780365</v>
      </c>
      <c r="M30" s="99">
        <f>SUM(M31,M49,M67,M80)</f>
        <v>6334714</v>
      </c>
      <c r="N30" s="98">
        <f t="shared" ref="N30:Q30" si="96">SUM(N31,N49,N67,N79,N80)</f>
        <v>6760722</v>
      </c>
      <c r="O30" s="98">
        <f t="shared" si="96"/>
        <v>6872761</v>
      </c>
      <c r="P30" s="98">
        <f t="shared" si="96"/>
        <v>7161445</v>
      </c>
      <c r="Q30" s="98">
        <f t="shared" si="96"/>
        <v>6806558</v>
      </c>
      <c r="R30" s="98">
        <f>SUM(R31,R49,R67,R80)</f>
        <v>7674207</v>
      </c>
      <c r="S30" s="98">
        <f t="shared" si="20"/>
        <v>0</v>
      </c>
      <c r="T30" s="98">
        <f t="shared" si="21"/>
        <v>8170335</v>
      </c>
      <c r="U30" s="98">
        <f t="shared" si="22"/>
        <v>6747853</v>
      </c>
      <c r="V30" s="98">
        <f>SUM(V31,V49,V67,V80)</f>
        <v>0</v>
      </c>
      <c r="W30" s="98">
        <f>SUM(W31,W49,W67,W80)</f>
        <v>8170335</v>
      </c>
      <c r="X30" s="98">
        <f>SUM(X31,X49,X67,X80)</f>
        <v>6747853</v>
      </c>
      <c r="Y30" s="98">
        <f>SUM(Y31,Y49,Y67,Y80)</f>
        <v>6745556</v>
      </c>
      <c r="Z30" s="98">
        <f t="shared" si="23"/>
        <v>6552265</v>
      </c>
      <c r="AA30" s="98">
        <f t="shared" si="24"/>
        <v>6588575</v>
      </c>
      <c r="AB30" s="98">
        <f t="shared" si="25"/>
        <v>6436406</v>
      </c>
      <c r="AC30" s="98">
        <f>SUM(AC31,AC49,AC67,AC80)</f>
        <v>6552265</v>
      </c>
      <c r="AD30" s="98">
        <f>SUM(AD31,AD49,AD67,AD80)</f>
        <v>6588575</v>
      </c>
      <c r="AE30" s="98">
        <f>SUM(AE31,AE49,AE67,AE80)</f>
        <v>6436406</v>
      </c>
      <c r="AF30" s="98">
        <f>SUM(AF31,AF49,AF67,AF80)</f>
        <v>6455344</v>
      </c>
      <c r="AG30" s="98">
        <f t="shared" ref="AG30:AG78" si="97">AJ30</f>
        <v>6311111</v>
      </c>
      <c r="AH30" s="98">
        <f t="shared" ref="AH30:AH75" si="98">AK30</f>
        <v>4505348</v>
      </c>
      <c r="AI30" s="98">
        <f t="shared" ref="AI30:AI78" si="99">AL30</f>
        <v>4176645</v>
      </c>
      <c r="AJ30" s="98">
        <f>SUM(AJ31,AJ49,AJ67,AJ80)</f>
        <v>6311111</v>
      </c>
      <c r="AK30" s="98">
        <f>SUM(AK31,AK49,AK67,AK80)</f>
        <v>4505348</v>
      </c>
      <c r="AL30" s="98">
        <f>SUM(AL31,AL49,AL67,AL80)</f>
        <v>4176645</v>
      </c>
      <c r="AM30" s="98">
        <f>SUM(AM31,AM49,AM67,AM80)</f>
        <v>4115428</v>
      </c>
      <c r="AN30" s="98">
        <f>AQ30</f>
        <v>4028109</v>
      </c>
      <c r="AO30" s="98">
        <f>AR30</f>
        <v>3958741</v>
      </c>
      <c r="AP30" s="98">
        <f>AS30</f>
        <v>3668268</v>
      </c>
      <c r="AQ30" s="98">
        <f>SUM(AQ31,AQ49,AQ67,AQ80)</f>
        <v>4028109</v>
      </c>
      <c r="AR30" s="98">
        <f>SUM(AR31,AR49,AR67,AR80)</f>
        <v>3958741</v>
      </c>
      <c r="AS30" s="98">
        <f>SUM(AS31,AS49,AS67,AS80)</f>
        <v>3668268</v>
      </c>
      <c r="AT30" s="98">
        <f>SUM(AT31,AT49,AT67,AT80)</f>
        <v>3640847</v>
      </c>
      <c r="AU30" s="98">
        <v>3592562</v>
      </c>
      <c r="AV30" s="98">
        <f>SUM(AV31,AV49,AV67,AV80)</f>
        <v>3564532</v>
      </c>
      <c r="AW30" s="98">
        <f t="shared" ref="AW30:AW78" si="100">AZ30</f>
        <v>3641420</v>
      </c>
      <c r="AX30" s="98">
        <v>3592562</v>
      </c>
      <c r="AY30" s="98">
        <f t="shared" ref="AY30:BE30" si="101">SUM(AY31,AY49,AY67,AY80)</f>
        <v>3564532</v>
      </c>
      <c r="AZ30" s="98">
        <f t="shared" si="101"/>
        <v>3641420</v>
      </c>
      <c r="BA30" s="98">
        <f t="shared" si="101"/>
        <v>3568156</v>
      </c>
      <c r="BB30" s="98">
        <f t="shared" si="101"/>
        <v>3526585</v>
      </c>
      <c r="BC30" s="98">
        <f t="shared" si="101"/>
        <v>3462835</v>
      </c>
      <c r="BD30" s="98">
        <f t="shared" si="101"/>
        <v>3281606</v>
      </c>
      <c r="BE30" s="98">
        <f t="shared" si="101"/>
        <v>3526585</v>
      </c>
      <c r="BF30" s="98">
        <f t="shared" ref="BF30:BG30" si="102">SUM(BF31,BF49,BF67,BF80)</f>
        <v>3462835</v>
      </c>
      <c r="BG30" s="98">
        <f t="shared" si="102"/>
        <v>3281606</v>
      </c>
      <c r="BH30" s="98">
        <f t="shared" ref="BH30:BL30" si="103">SUM(BH31,BH49,BH67,BH80)</f>
        <v>3220898</v>
      </c>
      <c r="BI30" s="98">
        <f t="shared" si="103"/>
        <v>3154113</v>
      </c>
      <c r="BJ30" s="98">
        <f t="shared" si="103"/>
        <v>3181125</v>
      </c>
      <c r="BK30" s="98">
        <f t="shared" si="103"/>
        <v>3101960</v>
      </c>
      <c r="BL30" s="99">
        <f t="shared" si="103"/>
        <v>3154113</v>
      </c>
      <c r="BM30" s="99">
        <f t="shared" ref="BM30:BN30" si="104">SUM(BM31,BM49,BM67,BM80)</f>
        <v>3181125</v>
      </c>
      <c r="BN30" s="99">
        <f t="shared" si="104"/>
        <v>3101960</v>
      </c>
      <c r="BO30" s="99">
        <f t="shared" ref="BO30:BP30" si="105">SUM(BO31,BO49,BO67,BO80)</f>
        <v>2929693</v>
      </c>
      <c r="BP30" s="99">
        <f t="shared" si="105"/>
        <v>3222043</v>
      </c>
      <c r="BQ30" s="99">
        <f t="shared" ref="BQ30:BS30" si="106">SUM(BQ31,BQ49,BQ67,BQ80)</f>
        <v>3010403</v>
      </c>
      <c r="BR30" s="99">
        <f t="shared" si="106"/>
        <v>2949300</v>
      </c>
      <c r="BS30" s="99">
        <f t="shared" si="106"/>
        <v>3222043</v>
      </c>
      <c r="BT30" s="99">
        <f t="shared" ref="BT30:BU30" si="107">SUM(BT31,BT49,BT67,BT80)</f>
        <v>3010403</v>
      </c>
      <c r="BU30" s="99">
        <f t="shared" si="107"/>
        <v>2949300</v>
      </c>
      <c r="BV30" s="99">
        <f t="shared" ref="BV30" si="108">SUM(BV31,BV49,BV67,BV80)</f>
        <v>2903385</v>
      </c>
      <c r="BW30" s="99">
        <f t="shared" ref="BW30:CB30" si="109">SUM(BW31,BW49,BW67,BW80)</f>
        <v>2831975</v>
      </c>
      <c r="BX30" s="99">
        <f t="shared" si="109"/>
        <v>2896009</v>
      </c>
      <c r="BY30" s="99">
        <f t="shared" si="109"/>
        <v>2856618</v>
      </c>
      <c r="BZ30" s="99">
        <f t="shared" si="109"/>
        <v>2831975</v>
      </c>
      <c r="CA30" s="99">
        <f t="shared" si="109"/>
        <v>2896009</v>
      </c>
      <c r="CB30" s="99">
        <f t="shared" si="109"/>
        <v>2856618</v>
      </c>
      <c r="CC30" s="99">
        <f t="shared" ref="CC30:CD30" si="110">SUM(CC31,CC49,CC67,CC80)</f>
        <v>2845119</v>
      </c>
      <c r="CD30" s="99">
        <f t="shared" si="110"/>
        <v>2843420</v>
      </c>
      <c r="CE30" s="99">
        <f t="shared" ref="CE30:CG30" si="111">SUM(CE31,CE49,CE67,CE80)</f>
        <v>2801498</v>
      </c>
      <c r="CF30" s="99">
        <f t="shared" si="111"/>
        <v>2801622</v>
      </c>
      <c r="CG30" s="99">
        <f t="shared" si="111"/>
        <v>2843420</v>
      </c>
      <c r="CH30" s="99">
        <f t="shared" ref="CH30:CI30" si="112">SUM(CH31,CH49,CH67,CH80)</f>
        <v>2801498</v>
      </c>
      <c r="CI30" s="99">
        <f t="shared" si="112"/>
        <v>2801622</v>
      </c>
      <c r="CJ30" s="99">
        <v>2773137</v>
      </c>
      <c r="CK30" s="99">
        <f t="shared" ref="CK30:CO30" si="113">SUM(CK31,CK49,CK67,CK80)</f>
        <v>2715687</v>
      </c>
      <c r="CL30" s="99">
        <f t="shared" si="113"/>
        <v>0</v>
      </c>
      <c r="CM30" s="99">
        <f t="shared" si="113"/>
        <v>0</v>
      </c>
      <c r="CN30" s="99">
        <f>SUM(CN31,CN49,CN67,CN80)+1</f>
        <v>2715688</v>
      </c>
      <c r="CO30" s="99">
        <f t="shared" si="113"/>
        <v>0</v>
      </c>
    </row>
    <row r="31" spans="1:93" s="100" customFormat="1" ht="13" x14ac:dyDescent="0.3">
      <c r="A31" s="101" t="str">
        <f>Language!AA28</f>
        <v>Passivo Circulante</v>
      </c>
      <c r="B31" s="102">
        <f t="shared" ref="B31:K31" si="114">SUM(B32:B48)</f>
        <v>384649</v>
      </c>
      <c r="C31" s="102">
        <f t="shared" si="114"/>
        <v>412139</v>
      </c>
      <c r="D31" s="102">
        <f t="shared" si="114"/>
        <v>380508</v>
      </c>
      <c r="E31" s="103">
        <f t="shared" si="114"/>
        <v>533620</v>
      </c>
      <c r="F31" s="102">
        <f t="shared" si="114"/>
        <v>513886</v>
      </c>
      <c r="G31" s="102">
        <f t="shared" si="114"/>
        <v>887123</v>
      </c>
      <c r="H31" s="102">
        <f t="shared" si="114"/>
        <v>738589</v>
      </c>
      <c r="I31" s="103">
        <f t="shared" si="114"/>
        <v>482061</v>
      </c>
      <c r="J31" s="102">
        <f t="shared" si="114"/>
        <v>570232</v>
      </c>
      <c r="K31" s="102">
        <f t="shared" si="114"/>
        <v>763867</v>
      </c>
      <c r="L31" s="102">
        <f t="shared" ref="L31:M31" si="115">SUM(L32:L48)</f>
        <v>742768</v>
      </c>
      <c r="M31" s="103">
        <f t="shared" si="115"/>
        <v>793786</v>
      </c>
      <c r="N31" s="102">
        <f>SUM(N32:N48)</f>
        <v>848667</v>
      </c>
      <c r="O31" s="102">
        <f t="shared" ref="O31" si="116">SUM(O32:O48)</f>
        <v>868016</v>
      </c>
      <c r="P31" s="102">
        <f t="shared" ref="P31" si="117">SUM(P32:P48)</f>
        <v>1279467</v>
      </c>
      <c r="Q31" s="102">
        <f t="shared" ref="Q31:Y31" si="118">SUM(Q32:Q48)</f>
        <v>1443944</v>
      </c>
      <c r="R31" s="102">
        <f t="shared" si="118"/>
        <v>2185942</v>
      </c>
      <c r="S31" s="102">
        <f t="shared" si="20"/>
        <v>0</v>
      </c>
      <c r="T31" s="102">
        <f t="shared" si="21"/>
        <v>3595410</v>
      </c>
      <c r="U31" s="102">
        <f t="shared" si="22"/>
        <v>2681585</v>
      </c>
      <c r="V31" s="102">
        <f t="shared" ref="V31" si="119">SUM(V32:V48)</f>
        <v>0</v>
      </c>
      <c r="W31" s="102">
        <f t="shared" ref="W31" si="120">SUM(W32:W48)</f>
        <v>3595410</v>
      </c>
      <c r="X31" s="102">
        <f t="shared" si="118"/>
        <v>2681585</v>
      </c>
      <c r="Y31" s="102">
        <f t="shared" si="118"/>
        <v>2579798</v>
      </c>
      <c r="Z31" s="102">
        <f t="shared" si="23"/>
        <v>2488670</v>
      </c>
      <c r="AA31" s="102">
        <f t="shared" si="24"/>
        <v>2573615</v>
      </c>
      <c r="AB31" s="102">
        <f t="shared" si="25"/>
        <v>2290317</v>
      </c>
      <c r="AC31" s="102">
        <f t="shared" ref="AC31" si="121">SUM(AC32:AC48)</f>
        <v>2488670</v>
      </c>
      <c r="AD31" s="102">
        <f t="shared" ref="AD31:AE31" si="122">SUM(AD32:AD48)</f>
        <v>2573615</v>
      </c>
      <c r="AE31" s="102">
        <f t="shared" si="122"/>
        <v>2290317</v>
      </c>
      <c r="AF31" s="102">
        <f t="shared" ref="AF31" si="123">SUM(AF32:AF48)</f>
        <v>2210723</v>
      </c>
      <c r="AG31" s="102">
        <f t="shared" si="97"/>
        <v>2346912</v>
      </c>
      <c r="AH31" s="102">
        <f t="shared" si="98"/>
        <v>2844354</v>
      </c>
      <c r="AI31" s="102">
        <f t="shared" si="99"/>
        <v>1832626</v>
      </c>
      <c r="AJ31" s="102">
        <f t="shared" ref="AJ31:AQ31" si="124">SUM(AJ32:AJ48)</f>
        <v>2346912</v>
      </c>
      <c r="AK31" s="102">
        <f t="shared" si="124"/>
        <v>2844354</v>
      </c>
      <c r="AL31" s="102">
        <f t="shared" si="124"/>
        <v>1832626</v>
      </c>
      <c r="AM31" s="102">
        <f t="shared" si="124"/>
        <v>1749612</v>
      </c>
      <c r="AN31" s="102">
        <f t="shared" ref="AN31:AP78" si="125">AQ31</f>
        <v>1690061</v>
      </c>
      <c r="AO31" s="102">
        <f t="shared" si="125"/>
        <v>1665092</v>
      </c>
      <c r="AP31" s="102">
        <f t="shared" si="125"/>
        <v>1729618</v>
      </c>
      <c r="AQ31" s="102">
        <f t="shared" si="124"/>
        <v>1690061</v>
      </c>
      <c r="AR31" s="102">
        <f t="shared" ref="AR31:AS31" si="126">SUM(AR32:AR48)</f>
        <v>1665092</v>
      </c>
      <c r="AS31" s="102">
        <f t="shared" si="126"/>
        <v>1729618</v>
      </c>
      <c r="AT31" s="102">
        <f t="shared" ref="AT31:AU31" si="127">SUM(AT32:AT48)</f>
        <v>1735169</v>
      </c>
      <c r="AU31" s="102">
        <f t="shared" si="127"/>
        <v>1829076</v>
      </c>
      <c r="AV31" s="102">
        <f>SUM(AV32:AV48)</f>
        <v>1874342</v>
      </c>
      <c r="AW31" s="102">
        <f t="shared" si="100"/>
        <v>898138</v>
      </c>
      <c r="AX31" s="102">
        <f t="shared" ref="AX31:BE31" si="128">SUM(AX32:AX48)</f>
        <v>1829076</v>
      </c>
      <c r="AY31" s="102">
        <f t="shared" si="128"/>
        <v>1874342</v>
      </c>
      <c r="AZ31" s="102">
        <f t="shared" si="128"/>
        <v>898138</v>
      </c>
      <c r="BA31" s="102">
        <f t="shared" si="128"/>
        <v>1060541</v>
      </c>
      <c r="BB31" s="102">
        <f t="shared" si="128"/>
        <v>975227</v>
      </c>
      <c r="BC31" s="102">
        <f t="shared" si="128"/>
        <v>958544</v>
      </c>
      <c r="BD31" s="102">
        <f t="shared" si="128"/>
        <v>814287</v>
      </c>
      <c r="BE31" s="102">
        <f t="shared" si="128"/>
        <v>975227</v>
      </c>
      <c r="BF31" s="102">
        <f t="shared" ref="BF31:BG31" si="129">SUM(BF32:BF48)</f>
        <v>958544</v>
      </c>
      <c r="BG31" s="102">
        <f t="shared" si="129"/>
        <v>814287</v>
      </c>
      <c r="BH31" s="102">
        <f t="shared" ref="BH31:BL31" si="130">SUM(BH32:BH48)</f>
        <v>807479</v>
      </c>
      <c r="BI31" s="102">
        <f t="shared" si="130"/>
        <v>595795</v>
      </c>
      <c r="BJ31" s="102">
        <f t="shared" si="130"/>
        <v>536272</v>
      </c>
      <c r="BK31" s="102">
        <f t="shared" si="130"/>
        <v>508718</v>
      </c>
      <c r="BL31" s="103">
        <f t="shared" si="130"/>
        <v>595795</v>
      </c>
      <c r="BM31" s="103">
        <f t="shared" ref="BM31:BN31" si="131">SUM(BM32:BM48)</f>
        <v>536272</v>
      </c>
      <c r="BN31" s="103">
        <f t="shared" si="131"/>
        <v>508718</v>
      </c>
      <c r="BO31" s="103">
        <f t="shared" ref="BO31:BP31" si="132">SUM(BO32:BO48)</f>
        <v>513165</v>
      </c>
      <c r="BP31" s="103">
        <f t="shared" si="132"/>
        <v>563683</v>
      </c>
      <c r="BQ31" s="103">
        <f t="shared" ref="BQ31:BS31" si="133">SUM(BQ32:BQ48)</f>
        <v>493783</v>
      </c>
      <c r="BR31" s="103">
        <f t="shared" si="133"/>
        <v>532972</v>
      </c>
      <c r="BS31" s="103">
        <f t="shared" si="133"/>
        <v>563683</v>
      </c>
      <c r="BT31" s="103">
        <f t="shared" ref="BT31:BU31" si="134">SUM(BT32:BT48)</f>
        <v>493783</v>
      </c>
      <c r="BU31" s="103">
        <f t="shared" si="134"/>
        <v>532972</v>
      </c>
      <c r="BV31" s="103">
        <f t="shared" ref="BV31" si="135">SUM(BV32:BV48)</f>
        <v>543142</v>
      </c>
      <c r="BW31" s="103">
        <f t="shared" ref="BW31:CB31" si="136">SUM(BW32:BW48)</f>
        <v>515949</v>
      </c>
      <c r="BX31" s="103">
        <f t="shared" si="136"/>
        <v>536655</v>
      </c>
      <c r="BY31" s="103">
        <f t="shared" si="136"/>
        <v>527421</v>
      </c>
      <c r="BZ31" s="103">
        <f t="shared" si="136"/>
        <v>515949</v>
      </c>
      <c r="CA31" s="103">
        <f t="shared" si="136"/>
        <v>536655</v>
      </c>
      <c r="CB31" s="103">
        <f t="shared" si="136"/>
        <v>527421</v>
      </c>
      <c r="CC31" s="103">
        <f t="shared" ref="CC31:CD31" si="137">SUM(CC32:CC48)</f>
        <v>498851</v>
      </c>
      <c r="CD31" s="103">
        <f t="shared" si="137"/>
        <v>484727</v>
      </c>
      <c r="CE31" s="103">
        <f t="shared" ref="CE31:CG31" si="138">SUM(CE32:CE48)</f>
        <v>437869</v>
      </c>
      <c r="CF31" s="103">
        <f t="shared" si="138"/>
        <v>1118843</v>
      </c>
      <c r="CG31" s="103">
        <f t="shared" si="138"/>
        <v>484727</v>
      </c>
      <c r="CH31" s="103">
        <f t="shared" ref="CH31:CI31" si="139">SUM(CH32:CH48)</f>
        <v>437869</v>
      </c>
      <c r="CI31" s="103">
        <f t="shared" si="139"/>
        <v>1118843</v>
      </c>
      <c r="CJ31" s="103">
        <v>1352179</v>
      </c>
      <c r="CK31" s="103">
        <f t="shared" ref="CK31:CO31" si="140">SUM(CK32:CK48)</f>
        <v>1316142</v>
      </c>
      <c r="CL31" s="103">
        <f t="shared" si="140"/>
        <v>0</v>
      </c>
      <c r="CM31" s="103">
        <f t="shared" si="140"/>
        <v>0</v>
      </c>
      <c r="CN31" s="103">
        <f t="shared" si="140"/>
        <v>1316142</v>
      </c>
      <c r="CO31" s="103">
        <f t="shared" si="140"/>
        <v>0</v>
      </c>
    </row>
    <row r="32" spans="1:93" s="92" customFormat="1" x14ac:dyDescent="0.25">
      <c r="A32" s="121" t="str">
        <f>Language!AA29</f>
        <v>Fornecedores</v>
      </c>
      <c r="B32" s="108">
        <v>31747</v>
      </c>
      <c r="C32" s="108">
        <v>34828</v>
      </c>
      <c r="D32" s="108">
        <v>38456</v>
      </c>
      <c r="E32" s="106">
        <v>58776</v>
      </c>
      <c r="F32" s="108">
        <v>62296</v>
      </c>
      <c r="G32" s="108">
        <v>62145</v>
      </c>
      <c r="H32" s="108">
        <v>79065</v>
      </c>
      <c r="I32" s="106">
        <v>89036</v>
      </c>
      <c r="J32" s="108">
        <v>108487</v>
      </c>
      <c r="K32" s="108">
        <v>84175</v>
      </c>
      <c r="L32" s="108">
        <v>64808</v>
      </c>
      <c r="M32" s="106">
        <v>76114</v>
      </c>
      <c r="N32" s="108">
        <v>59403</v>
      </c>
      <c r="O32" s="108">
        <v>59282</v>
      </c>
      <c r="P32" s="108">
        <v>66744</v>
      </c>
      <c r="Q32" s="108">
        <v>107582</v>
      </c>
      <c r="R32" s="107">
        <v>152663</v>
      </c>
      <c r="S32" s="108">
        <f t="shared" si="20"/>
        <v>0</v>
      </c>
      <c r="T32" s="108">
        <f t="shared" si="21"/>
        <v>211494</v>
      </c>
      <c r="U32" s="108">
        <f t="shared" si="22"/>
        <v>211399</v>
      </c>
      <c r="V32" s="108"/>
      <c r="W32" s="108">
        <v>211494</v>
      </c>
      <c r="X32" s="108">
        <v>211399</v>
      </c>
      <c r="Y32" s="107">
        <v>183928</v>
      </c>
      <c r="Z32" s="108">
        <f t="shared" si="23"/>
        <v>155495</v>
      </c>
      <c r="AA32" s="108">
        <f t="shared" si="24"/>
        <v>149122</v>
      </c>
      <c r="AB32" s="108">
        <f t="shared" si="25"/>
        <v>130063</v>
      </c>
      <c r="AC32" s="108">
        <v>155495</v>
      </c>
      <c r="AD32" s="108">
        <v>149122</v>
      </c>
      <c r="AE32" s="108">
        <v>130063</v>
      </c>
      <c r="AF32" s="107">
        <v>126330</v>
      </c>
      <c r="AG32" s="108">
        <f t="shared" si="97"/>
        <v>140723</v>
      </c>
      <c r="AH32" s="108">
        <f t="shared" si="98"/>
        <v>104010</v>
      </c>
      <c r="AI32" s="108">
        <f t="shared" si="99"/>
        <v>91224</v>
      </c>
      <c r="AJ32" s="108">
        <v>140723</v>
      </c>
      <c r="AK32" s="108">
        <v>104010</v>
      </c>
      <c r="AL32" s="108">
        <v>91224</v>
      </c>
      <c r="AM32" s="107">
        <v>80202</v>
      </c>
      <c r="AN32" s="108">
        <f t="shared" si="125"/>
        <v>74017</v>
      </c>
      <c r="AO32" s="108">
        <f t="shared" si="125"/>
        <v>68481</v>
      </c>
      <c r="AP32" s="108">
        <f t="shared" si="125"/>
        <v>74402</v>
      </c>
      <c r="AQ32" s="108">
        <v>74017</v>
      </c>
      <c r="AR32" s="108">
        <v>68481</v>
      </c>
      <c r="AS32" s="108">
        <v>74402</v>
      </c>
      <c r="AT32" s="107">
        <v>66082</v>
      </c>
      <c r="AU32" s="107">
        <f>AX32</f>
        <v>64324</v>
      </c>
      <c r="AV32" s="107">
        <f>AY32</f>
        <v>58297</v>
      </c>
      <c r="AW32" s="107">
        <f t="shared" si="100"/>
        <v>54055</v>
      </c>
      <c r="AX32" s="107">
        <v>64324</v>
      </c>
      <c r="AY32" s="107">
        <v>58297</v>
      </c>
      <c r="AZ32" s="107">
        <v>54055</v>
      </c>
      <c r="BA32" s="107">
        <v>53534</v>
      </c>
      <c r="BB32" s="107">
        <f>BE32</f>
        <v>44741</v>
      </c>
      <c r="BC32" s="107">
        <f>BF32</f>
        <v>43728</v>
      </c>
      <c r="BD32" s="107">
        <f>BG32</f>
        <v>44758</v>
      </c>
      <c r="BE32" s="107">
        <v>44741</v>
      </c>
      <c r="BF32" s="107">
        <v>43728</v>
      </c>
      <c r="BG32" s="107">
        <v>44758</v>
      </c>
      <c r="BH32" s="107">
        <v>44728</v>
      </c>
      <c r="BI32" s="107">
        <f>BL32</f>
        <v>52162</v>
      </c>
      <c r="BJ32" s="107">
        <f>BM32</f>
        <v>61258</v>
      </c>
      <c r="BK32" s="107">
        <f>BN32</f>
        <v>65279</v>
      </c>
      <c r="BL32" s="775">
        <v>52162</v>
      </c>
      <c r="BM32" s="775">
        <v>61258</v>
      </c>
      <c r="BN32" s="775">
        <v>65279</v>
      </c>
      <c r="BO32" s="775">
        <v>81986</v>
      </c>
      <c r="BP32" s="775">
        <f>BS32</f>
        <v>72546</v>
      </c>
      <c r="BQ32" s="775">
        <f>BT32</f>
        <v>69628</v>
      </c>
      <c r="BR32" s="775">
        <f>BU32</f>
        <v>82150</v>
      </c>
      <c r="BS32" s="775">
        <v>72546</v>
      </c>
      <c r="BT32" s="775">
        <v>69628</v>
      </c>
      <c r="BU32" s="775">
        <v>82150</v>
      </c>
      <c r="BV32" s="775">
        <v>94449</v>
      </c>
      <c r="BW32" s="775">
        <f>BZ32</f>
        <v>102937</v>
      </c>
      <c r="BX32" s="775">
        <f>CA32</f>
        <v>110495</v>
      </c>
      <c r="BY32" s="775">
        <f>CB32</f>
        <v>88418</v>
      </c>
      <c r="BZ32" s="775">
        <v>102937</v>
      </c>
      <c r="CA32" s="775">
        <v>110495</v>
      </c>
      <c r="CB32" s="775">
        <v>88418</v>
      </c>
      <c r="CC32" s="775">
        <v>98264</v>
      </c>
      <c r="CD32" s="775">
        <f>CG32</f>
        <v>117929</v>
      </c>
      <c r="CE32" s="775">
        <f>CH32</f>
        <v>105001</v>
      </c>
      <c r="CF32" s="775">
        <f>CI32</f>
        <v>87246</v>
      </c>
      <c r="CG32" s="775">
        <v>117929</v>
      </c>
      <c r="CH32" s="775">
        <v>105001</v>
      </c>
      <c r="CI32" s="775">
        <v>87246</v>
      </c>
      <c r="CJ32" s="775">
        <v>95590</v>
      </c>
      <c r="CK32" s="775">
        <f>CN32</f>
        <v>77341</v>
      </c>
      <c r="CL32" s="775"/>
      <c r="CM32" s="775"/>
      <c r="CN32" s="775">
        <v>77341</v>
      </c>
      <c r="CO32" s="775"/>
    </row>
    <row r="33" spans="1:93" s="92" customFormat="1" x14ac:dyDescent="0.25">
      <c r="A33" s="121" t="str">
        <f>Language!AA30</f>
        <v>Empréstimos e Financiamentos</v>
      </c>
      <c r="B33" s="108">
        <v>206548</v>
      </c>
      <c r="C33" s="108">
        <v>227752</v>
      </c>
      <c r="D33" s="108">
        <v>140460</v>
      </c>
      <c r="E33" s="106">
        <v>140387</v>
      </c>
      <c r="F33" s="108">
        <v>108936</v>
      </c>
      <c r="G33" s="108">
        <v>186412</v>
      </c>
      <c r="H33" s="108">
        <v>153738</v>
      </c>
      <c r="I33" s="106">
        <v>132252</v>
      </c>
      <c r="J33" s="108">
        <v>195361</v>
      </c>
      <c r="K33" s="108">
        <v>349348</v>
      </c>
      <c r="L33" s="108">
        <v>386118</v>
      </c>
      <c r="M33" s="106">
        <v>317204</v>
      </c>
      <c r="N33" s="108">
        <v>207497</v>
      </c>
      <c r="O33" s="108">
        <v>261637</v>
      </c>
      <c r="P33" s="108">
        <v>417445</v>
      </c>
      <c r="Q33" s="108">
        <v>574951</v>
      </c>
      <c r="R33" s="107">
        <v>1145962</v>
      </c>
      <c r="S33" s="108">
        <f t="shared" si="20"/>
        <v>0</v>
      </c>
      <c r="T33" s="108">
        <f t="shared" si="21"/>
        <v>1592179</v>
      </c>
      <c r="U33" s="108">
        <f t="shared" si="22"/>
        <v>1397289</v>
      </c>
      <c r="V33" s="108"/>
      <c r="W33" s="108">
        <v>1592179</v>
      </c>
      <c r="X33" s="108">
        <v>1397289</v>
      </c>
      <c r="Y33" s="107">
        <v>1312627</v>
      </c>
      <c r="Z33" s="108">
        <f t="shared" si="23"/>
        <v>1436423</v>
      </c>
      <c r="AA33" s="108">
        <f t="shared" si="24"/>
        <v>1421706</v>
      </c>
      <c r="AB33" s="108">
        <f t="shared" si="25"/>
        <v>1385089</v>
      </c>
      <c r="AC33" s="108">
        <v>1436423</v>
      </c>
      <c r="AD33" s="108">
        <v>1421706</v>
      </c>
      <c r="AE33" s="108">
        <v>1385089</v>
      </c>
      <c r="AF33" s="107">
        <v>1251434</v>
      </c>
      <c r="AG33" s="108">
        <f t="shared" si="97"/>
        <v>1290696</v>
      </c>
      <c r="AH33" s="108">
        <f t="shared" si="98"/>
        <v>1295452</v>
      </c>
      <c r="AI33" s="108">
        <f t="shared" si="99"/>
        <v>1008496</v>
      </c>
      <c r="AJ33" s="108">
        <v>1290696</v>
      </c>
      <c r="AK33" s="108">
        <v>1295452</v>
      </c>
      <c r="AL33" s="108">
        <v>1008496</v>
      </c>
      <c r="AM33" s="107">
        <v>984415</v>
      </c>
      <c r="AN33" s="108">
        <f t="shared" si="125"/>
        <v>1078426</v>
      </c>
      <c r="AO33" s="108">
        <f t="shared" si="125"/>
        <v>1112005</v>
      </c>
      <c r="AP33" s="108">
        <f t="shared" si="125"/>
        <v>1155974</v>
      </c>
      <c r="AQ33" s="108">
        <v>1078426</v>
      </c>
      <c r="AR33" s="108">
        <v>1112005</v>
      </c>
      <c r="AS33" s="108">
        <v>1155974</v>
      </c>
      <c r="AT33" s="107">
        <v>1173749</v>
      </c>
      <c r="AU33" s="107">
        <f t="shared" ref="AU33:AU48" si="141">AX33</f>
        <v>1251232</v>
      </c>
      <c r="AV33" s="107">
        <f t="shared" ref="AV33:AV48" si="142">AY33</f>
        <v>1314415</v>
      </c>
      <c r="AW33" s="107">
        <f t="shared" si="100"/>
        <v>324608</v>
      </c>
      <c r="AX33" s="107">
        <v>1251232</v>
      </c>
      <c r="AY33" s="107">
        <v>1314415</v>
      </c>
      <c r="AZ33" s="107">
        <v>324608</v>
      </c>
      <c r="BA33" s="107">
        <v>488855</v>
      </c>
      <c r="BB33" s="107">
        <f t="shared" ref="BB33:BB48" si="143">BE33</f>
        <v>410256</v>
      </c>
      <c r="BC33" s="107">
        <f t="shared" ref="BC33:BC48" si="144">BF33</f>
        <v>428193</v>
      </c>
      <c r="BD33" s="107">
        <f t="shared" ref="BD33:BD48" si="145">BG33</f>
        <v>407799</v>
      </c>
      <c r="BE33" s="107">
        <v>410256</v>
      </c>
      <c r="BF33" s="107">
        <v>428193</v>
      </c>
      <c r="BG33" s="107">
        <v>407799</v>
      </c>
      <c r="BH33" s="107">
        <v>406929</v>
      </c>
      <c r="BI33" s="107">
        <f t="shared" ref="BI33:BI48" si="146">BL33</f>
        <v>339902</v>
      </c>
      <c r="BJ33" s="107">
        <f t="shared" ref="BJ33:BJ48" si="147">BM33</f>
        <v>296687</v>
      </c>
      <c r="BK33" s="107">
        <f t="shared" ref="BK33:BK48" si="148">BN33</f>
        <v>293512</v>
      </c>
      <c r="BL33" s="772">
        <v>339902</v>
      </c>
      <c r="BM33" s="772">
        <v>296687</v>
      </c>
      <c r="BN33" s="772">
        <v>293512</v>
      </c>
      <c r="BO33" s="772">
        <v>269087</v>
      </c>
      <c r="BP33" s="775">
        <f t="shared" ref="BP33:BP48" si="149">BS33</f>
        <v>236836</v>
      </c>
      <c r="BQ33" s="775">
        <f t="shared" ref="BQ33:BQ48" si="150">BT33</f>
        <v>270055</v>
      </c>
      <c r="BR33" s="775">
        <f t="shared" ref="BR33:BR48" si="151">BU33</f>
        <v>311355</v>
      </c>
      <c r="BS33" s="772">
        <v>236836</v>
      </c>
      <c r="BT33" s="772">
        <v>270055</v>
      </c>
      <c r="BU33" s="772">
        <v>311355</v>
      </c>
      <c r="BV33" s="772">
        <v>276989</v>
      </c>
      <c r="BW33" s="775">
        <f t="shared" ref="BW33:BW48" si="152">BZ33</f>
        <v>213593</v>
      </c>
      <c r="BX33" s="775">
        <f t="shared" ref="BX33:BX48" si="153">CA33</f>
        <v>250403</v>
      </c>
      <c r="BY33" s="775">
        <f t="shared" ref="BY33:BY48" si="154">CB33</f>
        <v>257007</v>
      </c>
      <c r="BZ33" s="772">
        <v>213593</v>
      </c>
      <c r="CA33" s="772">
        <v>250403</v>
      </c>
      <c r="CB33" s="772">
        <v>257007</v>
      </c>
      <c r="CC33" s="772">
        <v>213138</v>
      </c>
      <c r="CD33" s="775">
        <f t="shared" ref="CD33:CD48" si="155">CG33</f>
        <v>191370</v>
      </c>
      <c r="CE33" s="775">
        <f t="shared" ref="CE33:CE48" si="156">CH33</f>
        <v>167521</v>
      </c>
      <c r="CF33" s="775">
        <f t="shared" ref="CF33:CF48" si="157">CI33</f>
        <v>842371</v>
      </c>
      <c r="CG33" s="772">
        <v>191370</v>
      </c>
      <c r="CH33" s="772">
        <v>167521</v>
      </c>
      <c r="CI33" s="772">
        <v>842371</v>
      </c>
      <c r="CJ33" s="772">
        <v>1037800</v>
      </c>
      <c r="CK33" s="775">
        <f t="shared" ref="CK33:CK48" si="158">CN33</f>
        <v>1004937</v>
      </c>
      <c r="CL33" s="772"/>
      <c r="CM33" s="772"/>
      <c r="CN33" s="772">
        <v>1004937</v>
      </c>
      <c r="CO33" s="772"/>
    </row>
    <row r="34" spans="1:93" s="92" customFormat="1" x14ac:dyDescent="0.25">
      <c r="A34" s="121" t="str">
        <f>Language!AA31</f>
        <v>Notas Promissórias</v>
      </c>
      <c r="B34" s="108">
        <v>0</v>
      </c>
      <c r="C34" s="108">
        <v>0</v>
      </c>
      <c r="D34" s="108">
        <v>0</v>
      </c>
      <c r="E34" s="106">
        <v>0</v>
      </c>
      <c r="F34" s="108">
        <v>0</v>
      </c>
      <c r="G34" s="108">
        <v>299448</v>
      </c>
      <c r="H34" s="108">
        <v>306976</v>
      </c>
      <c r="I34" s="106">
        <v>0</v>
      </c>
      <c r="J34" s="108">
        <v>0</v>
      </c>
      <c r="K34" s="108">
        <v>63584</v>
      </c>
      <c r="L34" s="108">
        <v>0</v>
      </c>
      <c r="M34" s="106">
        <v>0</v>
      </c>
      <c r="N34" s="108">
        <v>263671</v>
      </c>
      <c r="O34" s="108">
        <v>273065</v>
      </c>
      <c r="P34" s="108">
        <v>162604</v>
      </c>
      <c r="Q34" s="108">
        <v>169874</v>
      </c>
      <c r="R34" s="107">
        <v>222783</v>
      </c>
      <c r="S34" s="108">
        <f t="shared" si="20"/>
        <v>0</v>
      </c>
      <c r="T34" s="108">
        <f t="shared" si="21"/>
        <v>133145</v>
      </c>
      <c r="U34" s="108">
        <f t="shared" si="22"/>
        <v>136487</v>
      </c>
      <c r="V34" s="108"/>
      <c r="W34" s="108">
        <v>133145</v>
      </c>
      <c r="X34" s="108">
        <v>136487</v>
      </c>
      <c r="Y34" s="107">
        <v>133731</v>
      </c>
      <c r="Z34" s="108">
        <f t="shared" si="23"/>
        <v>142381</v>
      </c>
      <c r="AA34" s="108">
        <f t="shared" si="24"/>
        <v>149429</v>
      </c>
      <c r="AB34" s="108">
        <f t="shared" si="25"/>
        <v>141002</v>
      </c>
      <c r="AC34" s="108">
        <v>142381</v>
      </c>
      <c r="AD34" s="108">
        <v>149429</v>
      </c>
      <c r="AE34" s="108">
        <v>141002</v>
      </c>
      <c r="AF34" s="107">
        <v>133230</v>
      </c>
      <c r="AG34" s="108">
        <f t="shared" si="97"/>
        <v>131367</v>
      </c>
      <c r="AH34" s="108">
        <f t="shared" si="98"/>
        <v>120413</v>
      </c>
      <c r="AI34" s="108">
        <f t="shared" si="99"/>
        <v>111558</v>
      </c>
      <c r="AJ34" s="108">
        <v>131367</v>
      </c>
      <c r="AK34" s="108">
        <v>120413</v>
      </c>
      <c r="AL34" s="108">
        <v>111558</v>
      </c>
      <c r="AM34" s="107">
        <v>35313</v>
      </c>
      <c r="AN34" s="108">
        <f t="shared" si="125"/>
        <v>35304</v>
      </c>
      <c r="AO34" s="108">
        <f t="shared" si="125"/>
        <v>39729</v>
      </c>
      <c r="AP34" s="108">
        <f t="shared" si="125"/>
        <v>40657</v>
      </c>
      <c r="AQ34" s="108">
        <v>35304</v>
      </c>
      <c r="AR34" s="108">
        <v>39729</v>
      </c>
      <c r="AS34" s="108">
        <v>40657</v>
      </c>
      <c r="AT34" s="107">
        <v>42917</v>
      </c>
      <c r="AU34" s="107">
        <f t="shared" si="141"/>
        <v>44397</v>
      </c>
      <c r="AV34" s="107">
        <f t="shared" si="142"/>
        <v>44382</v>
      </c>
      <c r="AW34" s="107">
        <f t="shared" si="100"/>
        <v>44370</v>
      </c>
      <c r="AX34" s="107">
        <v>44397</v>
      </c>
      <c r="AY34" s="107">
        <v>44382</v>
      </c>
      <c r="AZ34" s="107">
        <v>44370</v>
      </c>
      <c r="BA34" s="107">
        <v>40676</v>
      </c>
      <c r="BB34" s="107">
        <f t="shared" si="143"/>
        <v>36160</v>
      </c>
      <c r="BC34" s="107">
        <f t="shared" si="144"/>
        <v>23338</v>
      </c>
      <c r="BD34" s="107">
        <f t="shared" si="145"/>
        <v>9349</v>
      </c>
      <c r="BE34" s="107">
        <v>36160</v>
      </c>
      <c r="BF34" s="107">
        <v>23338</v>
      </c>
      <c r="BG34" s="107">
        <v>9349</v>
      </c>
      <c r="BH34" s="107">
        <v>0</v>
      </c>
      <c r="BI34" s="107">
        <f t="shared" si="146"/>
        <v>0</v>
      </c>
      <c r="BJ34" s="107">
        <f t="shared" si="147"/>
        <v>0</v>
      </c>
      <c r="BK34" s="107">
        <f t="shared" si="148"/>
        <v>0</v>
      </c>
      <c r="BL34" s="772">
        <v>0</v>
      </c>
      <c r="BM34" s="772">
        <v>0</v>
      </c>
      <c r="BN34" s="772">
        <v>0</v>
      </c>
      <c r="BO34" s="772">
        <v>0</v>
      </c>
      <c r="BP34" s="775">
        <f t="shared" si="149"/>
        <v>0</v>
      </c>
      <c r="BQ34" s="775">
        <f t="shared" si="150"/>
        <v>0</v>
      </c>
      <c r="BR34" s="775">
        <f t="shared" si="151"/>
        <v>0</v>
      </c>
      <c r="BS34" s="772">
        <v>0</v>
      </c>
      <c r="BT34" s="772">
        <v>0</v>
      </c>
      <c r="BU34" s="772">
        <v>0</v>
      </c>
      <c r="BV34" s="772">
        <v>0</v>
      </c>
      <c r="BW34" s="775">
        <f t="shared" si="152"/>
        <v>0</v>
      </c>
      <c r="BX34" s="775">
        <f t="shared" si="153"/>
        <v>0</v>
      </c>
      <c r="BY34" s="775">
        <f t="shared" si="154"/>
        <v>0</v>
      </c>
      <c r="BZ34" s="772">
        <v>0</v>
      </c>
      <c r="CA34" s="772">
        <v>0</v>
      </c>
      <c r="CB34" s="772">
        <v>0</v>
      </c>
      <c r="CC34" s="772">
        <v>0</v>
      </c>
      <c r="CD34" s="775">
        <f t="shared" si="155"/>
        <v>0</v>
      </c>
      <c r="CE34" s="775">
        <f t="shared" si="156"/>
        <v>0</v>
      </c>
      <c r="CF34" s="775">
        <f t="shared" si="157"/>
        <v>0</v>
      </c>
      <c r="CG34" s="772">
        <v>0</v>
      </c>
      <c r="CH34" s="772">
        <v>0</v>
      </c>
      <c r="CI34" s="772">
        <v>0</v>
      </c>
      <c r="CJ34" s="772">
        <v>0</v>
      </c>
      <c r="CK34" s="775">
        <f t="shared" si="158"/>
        <v>0</v>
      </c>
      <c r="CL34" s="772"/>
      <c r="CM34" s="772"/>
      <c r="CN34" s="772">
        <v>0</v>
      </c>
      <c r="CO34" s="772"/>
    </row>
    <row r="35" spans="1:93" s="92" customFormat="1" x14ac:dyDescent="0.25">
      <c r="A35" s="121" t="s">
        <v>633</v>
      </c>
      <c r="B35" s="108"/>
      <c r="C35" s="108"/>
      <c r="D35" s="108"/>
      <c r="E35" s="106"/>
      <c r="F35" s="108"/>
      <c r="G35" s="108"/>
      <c r="H35" s="108"/>
      <c r="I35" s="106"/>
      <c r="J35" s="108"/>
      <c r="K35" s="108"/>
      <c r="L35" s="108"/>
      <c r="M35" s="106"/>
      <c r="N35" s="108"/>
      <c r="O35" s="108"/>
      <c r="P35" s="108"/>
      <c r="Q35" s="108"/>
      <c r="R35" s="107"/>
      <c r="S35" s="108">
        <f t="shared" si="20"/>
        <v>0</v>
      </c>
      <c r="T35" s="108">
        <f t="shared" si="21"/>
        <v>0</v>
      </c>
      <c r="U35" s="108">
        <f t="shared" si="22"/>
        <v>0</v>
      </c>
      <c r="V35" s="108"/>
      <c r="W35" s="108"/>
      <c r="X35" s="108"/>
      <c r="Y35" s="107"/>
      <c r="Z35" s="108"/>
      <c r="AA35" s="108"/>
      <c r="AB35" s="108">
        <f t="shared" si="25"/>
        <v>10</v>
      </c>
      <c r="AC35" s="108"/>
      <c r="AD35" s="108"/>
      <c r="AE35" s="108">
        <v>10</v>
      </c>
      <c r="AF35" s="107">
        <v>637</v>
      </c>
      <c r="AG35" s="108">
        <f t="shared" si="97"/>
        <v>5867</v>
      </c>
      <c r="AH35" s="108">
        <f t="shared" si="98"/>
        <v>6476</v>
      </c>
      <c r="AI35" s="108">
        <f t="shared" si="99"/>
        <v>9466</v>
      </c>
      <c r="AJ35" s="108">
        <v>5867</v>
      </c>
      <c r="AK35" s="108">
        <v>6476</v>
      </c>
      <c r="AL35" s="108">
        <v>9466</v>
      </c>
      <c r="AM35" s="107">
        <v>10589</v>
      </c>
      <c r="AN35" s="108">
        <f t="shared" si="125"/>
        <v>11997</v>
      </c>
      <c r="AO35" s="108">
        <f t="shared" si="125"/>
        <v>14512</v>
      </c>
      <c r="AP35" s="108">
        <f t="shared" si="125"/>
        <v>16813</v>
      </c>
      <c r="AQ35" s="108">
        <v>11997</v>
      </c>
      <c r="AR35" s="108">
        <v>14512</v>
      </c>
      <c r="AS35" s="108">
        <v>16813</v>
      </c>
      <c r="AT35" s="107">
        <v>18384</v>
      </c>
      <c r="AU35" s="107">
        <f t="shared" si="141"/>
        <v>0</v>
      </c>
      <c r="AV35" s="107">
        <f t="shared" si="142"/>
        <v>0</v>
      </c>
      <c r="AW35" s="107">
        <f t="shared" si="100"/>
        <v>0</v>
      </c>
      <c r="AX35" s="107">
        <v>0</v>
      </c>
      <c r="AY35" s="107">
        <v>0</v>
      </c>
      <c r="AZ35" s="107">
        <v>0</v>
      </c>
      <c r="BA35" s="107">
        <v>0</v>
      </c>
      <c r="BB35" s="107">
        <f t="shared" si="143"/>
        <v>0</v>
      </c>
      <c r="BC35" s="107">
        <f t="shared" si="144"/>
        <v>0</v>
      </c>
      <c r="BD35" s="107">
        <f t="shared" si="145"/>
        <v>0</v>
      </c>
      <c r="BE35" s="107">
        <v>0</v>
      </c>
      <c r="BF35" s="107">
        <v>0</v>
      </c>
      <c r="BG35" s="107">
        <v>0</v>
      </c>
      <c r="BH35" s="107">
        <v>0</v>
      </c>
      <c r="BI35" s="107">
        <f t="shared" si="146"/>
        <v>0</v>
      </c>
      <c r="BJ35" s="107">
        <f t="shared" si="147"/>
        <v>0</v>
      </c>
      <c r="BK35" s="107">
        <f t="shared" si="148"/>
        <v>0</v>
      </c>
      <c r="BL35" s="772">
        <v>0</v>
      </c>
      <c r="BM35" s="772">
        <v>0</v>
      </c>
      <c r="BN35" s="772">
        <v>0</v>
      </c>
      <c r="BO35" s="772">
        <v>0</v>
      </c>
      <c r="BP35" s="775">
        <f t="shared" si="149"/>
        <v>0</v>
      </c>
      <c r="BQ35" s="775">
        <f t="shared" si="150"/>
        <v>0</v>
      </c>
      <c r="BR35" s="775">
        <f t="shared" si="151"/>
        <v>0</v>
      </c>
      <c r="BS35" s="772">
        <v>0</v>
      </c>
      <c r="BT35" s="772">
        <v>0</v>
      </c>
      <c r="BU35" s="772">
        <v>0</v>
      </c>
      <c r="BV35" s="772">
        <v>0</v>
      </c>
      <c r="BW35" s="775">
        <f t="shared" si="152"/>
        <v>0</v>
      </c>
      <c r="BX35" s="775">
        <f t="shared" si="153"/>
        <v>0</v>
      </c>
      <c r="BY35" s="775">
        <f t="shared" si="154"/>
        <v>0</v>
      </c>
      <c r="BZ35" s="772">
        <v>0</v>
      </c>
      <c r="CA35" s="772">
        <v>0</v>
      </c>
      <c r="CB35" s="772">
        <v>0</v>
      </c>
      <c r="CC35" s="772">
        <v>0</v>
      </c>
      <c r="CD35" s="775">
        <f t="shared" si="155"/>
        <v>0</v>
      </c>
      <c r="CE35" s="775">
        <f t="shared" si="156"/>
        <v>0</v>
      </c>
      <c r="CF35" s="775">
        <f t="shared" si="157"/>
        <v>0</v>
      </c>
      <c r="CG35" s="772">
        <v>0</v>
      </c>
      <c r="CH35" s="772">
        <v>0</v>
      </c>
      <c r="CI35" s="772">
        <v>0</v>
      </c>
      <c r="CJ35" s="772">
        <v>0</v>
      </c>
      <c r="CK35" s="775">
        <f t="shared" si="158"/>
        <v>0</v>
      </c>
      <c r="CL35" s="772"/>
      <c r="CM35" s="772"/>
      <c r="CN35" s="772">
        <v>0</v>
      </c>
      <c r="CO35" s="772"/>
    </row>
    <row r="36" spans="1:93" s="92" customFormat="1" x14ac:dyDescent="0.25">
      <c r="A36" s="121" t="str">
        <f>Language!AA32</f>
        <v>Debêntures</v>
      </c>
      <c r="B36" s="108">
        <v>39944</v>
      </c>
      <c r="C36" s="108">
        <v>60064</v>
      </c>
      <c r="D36" s="108">
        <v>68331</v>
      </c>
      <c r="E36" s="106">
        <v>216951</v>
      </c>
      <c r="F36" s="108">
        <v>254759</v>
      </c>
      <c r="G36" s="108">
        <v>247699</v>
      </c>
      <c r="H36" s="108">
        <v>100948</v>
      </c>
      <c r="I36" s="106">
        <v>106534</v>
      </c>
      <c r="J36" s="108">
        <v>102172</v>
      </c>
      <c r="K36" s="108">
        <v>100672</v>
      </c>
      <c r="L36" s="108">
        <v>111812</v>
      </c>
      <c r="M36" s="106">
        <v>205677</v>
      </c>
      <c r="N36" s="108">
        <v>154757</v>
      </c>
      <c r="O36" s="108">
        <v>120957</v>
      </c>
      <c r="P36" s="108">
        <v>221681</v>
      </c>
      <c r="Q36" s="108">
        <v>206545</v>
      </c>
      <c r="R36" s="107">
        <v>339030</v>
      </c>
      <c r="S36" s="108">
        <f t="shared" si="20"/>
        <v>0</v>
      </c>
      <c r="T36" s="108">
        <f t="shared" si="21"/>
        <v>1348034</v>
      </c>
      <c r="U36" s="108">
        <f t="shared" si="22"/>
        <v>680268</v>
      </c>
      <c r="V36" s="108"/>
      <c r="W36" s="108">
        <v>1348034</v>
      </c>
      <c r="X36" s="108">
        <v>680268</v>
      </c>
      <c r="Y36" s="107">
        <v>674192</v>
      </c>
      <c r="Z36" s="108">
        <f t="shared" si="23"/>
        <v>421039</v>
      </c>
      <c r="AA36" s="108">
        <f t="shared" si="24"/>
        <v>463294</v>
      </c>
      <c r="AB36" s="108">
        <f t="shared" si="25"/>
        <v>246086</v>
      </c>
      <c r="AC36" s="108">
        <v>421039</v>
      </c>
      <c r="AD36" s="108">
        <v>463294</v>
      </c>
      <c r="AE36" s="108">
        <v>246086</v>
      </c>
      <c r="AF36" s="107">
        <v>282919</v>
      </c>
      <c r="AG36" s="108">
        <f t="shared" si="97"/>
        <v>275978</v>
      </c>
      <c r="AH36" s="108">
        <f t="shared" si="98"/>
        <v>1045645</v>
      </c>
      <c r="AI36" s="108">
        <f t="shared" si="99"/>
        <v>211213</v>
      </c>
      <c r="AJ36" s="108">
        <v>275978</v>
      </c>
      <c r="AK36" s="108">
        <v>1045645</v>
      </c>
      <c r="AL36" s="108">
        <v>211213</v>
      </c>
      <c r="AM36" s="107">
        <v>313631</v>
      </c>
      <c r="AN36" s="108">
        <f t="shared" si="125"/>
        <v>202639</v>
      </c>
      <c r="AO36" s="108">
        <f t="shared" si="125"/>
        <v>186637</v>
      </c>
      <c r="AP36" s="108">
        <f t="shared" si="125"/>
        <v>215207</v>
      </c>
      <c r="AQ36" s="108">
        <v>202639</v>
      </c>
      <c r="AR36" s="108">
        <v>186637</v>
      </c>
      <c r="AS36" s="108">
        <v>215207</v>
      </c>
      <c r="AT36" s="107">
        <v>193600</v>
      </c>
      <c r="AU36" s="107">
        <f t="shared" si="141"/>
        <v>229865</v>
      </c>
      <c r="AV36" s="107">
        <f t="shared" si="142"/>
        <v>228599</v>
      </c>
      <c r="AW36" s="107">
        <f t="shared" si="100"/>
        <v>240251</v>
      </c>
      <c r="AX36" s="107">
        <v>229865</v>
      </c>
      <c r="AY36" s="107">
        <v>228599</v>
      </c>
      <c r="AZ36" s="107">
        <v>240251</v>
      </c>
      <c r="BA36" s="107">
        <v>238622</v>
      </c>
      <c r="BB36" s="107">
        <f t="shared" si="143"/>
        <v>234873</v>
      </c>
      <c r="BC36" s="107">
        <f t="shared" si="144"/>
        <v>213542</v>
      </c>
      <c r="BD36" s="107">
        <f t="shared" si="145"/>
        <v>151633</v>
      </c>
      <c r="BE36" s="107">
        <v>234873</v>
      </c>
      <c r="BF36" s="107">
        <v>213542</v>
      </c>
      <c r="BG36" s="107">
        <v>151633</v>
      </c>
      <c r="BH36" s="107">
        <v>149797</v>
      </c>
      <c r="BI36" s="107">
        <f t="shared" si="146"/>
        <v>0</v>
      </c>
      <c r="BJ36" s="107">
        <f t="shared" si="147"/>
        <v>13466</v>
      </c>
      <c r="BK36" s="107">
        <f t="shared" si="148"/>
        <v>18010</v>
      </c>
      <c r="BL36" s="772">
        <v>0</v>
      </c>
      <c r="BM36" s="772">
        <v>13466</v>
      </c>
      <c r="BN36" s="772">
        <v>18010</v>
      </c>
      <c r="BO36" s="772">
        <v>18434</v>
      </c>
      <c r="BP36" s="775">
        <f t="shared" si="149"/>
        <v>6284</v>
      </c>
      <c r="BQ36" s="775">
        <f t="shared" si="150"/>
        <v>1425</v>
      </c>
      <c r="BR36" s="775">
        <f t="shared" si="151"/>
        <v>0</v>
      </c>
      <c r="BS36" s="772">
        <v>6284</v>
      </c>
      <c r="BT36" s="772">
        <v>1425</v>
      </c>
      <c r="BU36" s="772">
        <v>0</v>
      </c>
      <c r="BV36" s="772">
        <v>12714</v>
      </c>
      <c r="BW36" s="775">
        <f t="shared" si="152"/>
        <v>33474</v>
      </c>
      <c r="BX36" s="775">
        <f t="shared" si="153"/>
        <v>11017</v>
      </c>
      <c r="BY36" s="775">
        <f t="shared" si="154"/>
        <v>18485</v>
      </c>
      <c r="BZ36" s="772">
        <v>33474</v>
      </c>
      <c r="CA36" s="772">
        <v>11017</v>
      </c>
      <c r="CB36" s="772">
        <v>18485</v>
      </c>
      <c r="CC36" s="772">
        <v>11252</v>
      </c>
      <c r="CD36" s="775">
        <f t="shared" si="155"/>
        <v>19317</v>
      </c>
      <c r="CE36" s="775">
        <f t="shared" si="156"/>
        <v>11343</v>
      </c>
      <c r="CF36" s="775">
        <f t="shared" si="157"/>
        <v>19489</v>
      </c>
      <c r="CG36" s="772">
        <v>19317</v>
      </c>
      <c r="CH36" s="772">
        <v>11343</v>
      </c>
      <c r="CI36" s="772">
        <v>19489</v>
      </c>
      <c r="CJ36" s="772">
        <v>12041</v>
      </c>
      <c r="CK36" s="775">
        <f t="shared" si="158"/>
        <v>21549</v>
      </c>
      <c r="CL36" s="772"/>
      <c r="CM36" s="772"/>
      <c r="CN36" s="772">
        <v>21549</v>
      </c>
      <c r="CO36" s="772"/>
    </row>
    <row r="37" spans="1:93" s="92" customFormat="1" x14ac:dyDescent="0.25">
      <c r="A37" s="121" t="str">
        <f>Language!AA33</f>
        <v>Provisão para Manutenção</v>
      </c>
      <c r="B37" s="108">
        <v>0</v>
      </c>
      <c r="C37" s="108">
        <v>0</v>
      </c>
      <c r="D37" s="108">
        <v>0</v>
      </c>
      <c r="E37" s="106">
        <v>0</v>
      </c>
      <c r="F37" s="108">
        <v>0</v>
      </c>
      <c r="G37" s="108">
        <v>0</v>
      </c>
      <c r="H37" s="108">
        <v>0</v>
      </c>
      <c r="I37" s="106">
        <v>0</v>
      </c>
      <c r="J37" s="108">
        <v>0</v>
      </c>
      <c r="K37" s="108">
        <v>6857</v>
      </c>
      <c r="L37" s="108">
        <v>6857</v>
      </c>
      <c r="M37" s="106">
        <v>12507</v>
      </c>
      <c r="N37" s="108">
        <v>14557</v>
      </c>
      <c r="O37" s="108">
        <v>13961</v>
      </c>
      <c r="P37" s="108">
        <v>374</v>
      </c>
      <c r="Q37" s="108">
        <v>9562</v>
      </c>
      <c r="R37" s="107">
        <v>8708</v>
      </c>
      <c r="S37" s="108">
        <f t="shared" si="20"/>
        <v>0</v>
      </c>
      <c r="T37" s="108">
        <f t="shared" si="21"/>
        <v>6247</v>
      </c>
      <c r="U37" s="108">
        <f t="shared" si="22"/>
        <v>7749</v>
      </c>
      <c r="V37" s="108"/>
      <c r="W37" s="108">
        <v>6247</v>
      </c>
      <c r="X37" s="108">
        <v>7749</v>
      </c>
      <c r="Y37" s="107">
        <v>12388</v>
      </c>
      <c r="Z37" s="108">
        <f t="shared" si="23"/>
        <v>17515</v>
      </c>
      <c r="AA37" s="108">
        <f t="shared" si="24"/>
        <v>22332</v>
      </c>
      <c r="AB37" s="108">
        <f t="shared" si="25"/>
        <v>23314</v>
      </c>
      <c r="AC37" s="108">
        <v>17515</v>
      </c>
      <c r="AD37" s="108">
        <v>22332</v>
      </c>
      <c r="AE37" s="108">
        <v>23314</v>
      </c>
      <c r="AF37" s="107">
        <v>26921</v>
      </c>
      <c r="AG37" s="108">
        <f t="shared" si="97"/>
        <v>30803</v>
      </c>
      <c r="AH37" s="108">
        <f t="shared" si="98"/>
        <v>33583</v>
      </c>
      <c r="AI37" s="108">
        <f t="shared" si="99"/>
        <v>25695</v>
      </c>
      <c r="AJ37" s="108">
        <v>30803</v>
      </c>
      <c r="AK37" s="108">
        <v>33583</v>
      </c>
      <c r="AL37" s="108">
        <v>25695</v>
      </c>
      <c r="AM37" s="107">
        <v>28924</v>
      </c>
      <c r="AN37" s="108">
        <f t="shared" si="125"/>
        <v>32018</v>
      </c>
      <c r="AO37" s="108">
        <f t="shared" si="125"/>
        <v>35214</v>
      </c>
      <c r="AP37" s="108">
        <f t="shared" si="125"/>
        <v>30436</v>
      </c>
      <c r="AQ37" s="108">
        <v>32018</v>
      </c>
      <c r="AR37" s="108">
        <v>35214</v>
      </c>
      <c r="AS37" s="108">
        <v>30436</v>
      </c>
      <c r="AT37" s="107">
        <v>33424</v>
      </c>
      <c r="AU37" s="107">
        <f t="shared" si="141"/>
        <v>37493</v>
      </c>
      <c r="AV37" s="107">
        <f t="shared" si="142"/>
        <v>41675</v>
      </c>
      <c r="AW37" s="107">
        <f t="shared" si="100"/>
        <v>41882</v>
      </c>
      <c r="AX37" s="107">
        <v>37493</v>
      </c>
      <c r="AY37" s="107">
        <v>41675</v>
      </c>
      <c r="AZ37" s="107">
        <v>41882</v>
      </c>
      <c r="BA37" s="107">
        <v>49252</v>
      </c>
      <c r="BB37" s="107">
        <f t="shared" si="143"/>
        <v>54757</v>
      </c>
      <c r="BC37" s="107">
        <f t="shared" si="144"/>
        <v>53979</v>
      </c>
      <c r="BD37" s="107">
        <f t="shared" si="145"/>
        <v>46711</v>
      </c>
      <c r="BE37" s="107">
        <v>54757</v>
      </c>
      <c r="BF37" s="107">
        <v>53979</v>
      </c>
      <c r="BG37" s="107">
        <v>46711</v>
      </c>
      <c r="BH37" s="107">
        <v>38870</v>
      </c>
      <c r="BI37" s="107">
        <f t="shared" si="146"/>
        <v>29934</v>
      </c>
      <c r="BJ37" s="107">
        <f t="shared" si="147"/>
        <v>16790</v>
      </c>
      <c r="BK37" s="107">
        <f t="shared" si="148"/>
        <v>4600</v>
      </c>
      <c r="BL37" s="772">
        <v>29934</v>
      </c>
      <c r="BM37" s="772">
        <v>16790</v>
      </c>
      <c r="BN37" s="772">
        <v>4600</v>
      </c>
      <c r="BO37" s="772">
        <v>4941</v>
      </c>
      <c r="BP37" s="775">
        <f t="shared" si="149"/>
        <v>5282</v>
      </c>
      <c r="BQ37" s="775">
        <f t="shared" si="150"/>
        <v>5623</v>
      </c>
      <c r="BR37" s="775">
        <f t="shared" si="151"/>
        <v>5964</v>
      </c>
      <c r="BS37" s="772">
        <v>5282</v>
      </c>
      <c r="BT37" s="772">
        <v>5623</v>
      </c>
      <c r="BU37" s="772">
        <v>5964</v>
      </c>
      <c r="BV37" s="772">
        <v>6682</v>
      </c>
      <c r="BW37" s="775">
        <f t="shared" si="152"/>
        <v>7400</v>
      </c>
      <c r="BX37" s="775">
        <f t="shared" si="153"/>
        <v>8118</v>
      </c>
      <c r="BY37" s="775">
        <f t="shared" si="154"/>
        <v>8836</v>
      </c>
      <c r="BZ37" s="772">
        <v>7400</v>
      </c>
      <c r="CA37" s="772">
        <v>8118</v>
      </c>
      <c r="CB37" s="772">
        <v>8836</v>
      </c>
      <c r="CC37" s="772">
        <v>9685</v>
      </c>
      <c r="CD37" s="775">
        <f t="shared" si="155"/>
        <v>683</v>
      </c>
      <c r="CE37" s="775">
        <f t="shared" si="156"/>
        <v>705</v>
      </c>
      <c r="CF37" s="775">
        <f t="shared" si="157"/>
        <v>748</v>
      </c>
      <c r="CG37" s="772">
        <v>683</v>
      </c>
      <c r="CH37" s="772">
        <v>705</v>
      </c>
      <c r="CI37" s="772">
        <v>748</v>
      </c>
      <c r="CJ37" s="772">
        <v>867</v>
      </c>
      <c r="CK37" s="775">
        <f t="shared" si="158"/>
        <v>985</v>
      </c>
      <c r="CL37" s="772"/>
      <c r="CM37" s="772"/>
      <c r="CN37" s="772">
        <v>985</v>
      </c>
      <c r="CO37" s="772"/>
    </row>
    <row r="38" spans="1:93" s="92" customFormat="1" x14ac:dyDescent="0.25">
      <c r="A38" s="121" t="str">
        <f>Language!AA34</f>
        <v>Obrigações da Concessão</v>
      </c>
      <c r="B38" s="108">
        <v>4504</v>
      </c>
      <c r="C38" s="108">
        <v>5437</v>
      </c>
      <c r="D38" s="108">
        <v>5094</v>
      </c>
      <c r="E38" s="106">
        <v>9187</v>
      </c>
      <c r="F38" s="108">
        <v>6891</v>
      </c>
      <c r="G38" s="108">
        <v>8342</v>
      </c>
      <c r="H38" s="108">
        <v>8342</v>
      </c>
      <c r="I38" s="106">
        <v>39615</v>
      </c>
      <c r="J38" s="108">
        <v>33027</v>
      </c>
      <c r="K38" s="108">
        <v>33827</v>
      </c>
      <c r="L38" s="108">
        <v>35222</v>
      </c>
      <c r="M38" s="106">
        <v>37251</v>
      </c>
      <c r="N38" s="108">
        <v>39265</v>
      </c>
      <c r="O38" s="108">
        <v>40872</v>
      </c>
      <c r="P38" s="108">
        <v>57429</v>
      </c>
      <c r="Q38" s="108">
        <v>53564</v>
      </c>
      <c r="R38" s="107">
        <v>54710</v>
      </c>
      <c r="S38" s="108">
        <f t="shared" si="20"/>
        <v>0</v>
      </c>
      <c r="T38" s="108">
        <f t="shared" si="21"/>
        <v>73624</v>
      </c>
      <c r="U38" s="108">
        <f t="shared" si="22"/>
        <v>70242</v>
      </c>
      <c r="V38" s="108"/>
      <c r="W38" s="108">
        <v>73624</v>
      </c>
      <c r="X38" s="108">
        <v>70242</v>
      </c>
      <c r="Y38" s="107">
        <v>75905</v>
      </c>
      <c r="Z38" s="108">
        <f t="shared" si="23"/>
        <v>54999</v>
      </c>
      <c r="AA38" s="108">
        <f t="shared" si="24"/>
        <v>98227</v>
      </c>
      <c r="AB38" s="108">
        <f t="shared" si="25"/>
        <v>88517</v>
      </c>
      <c r="AC38" s="108">
        <v>54999</v>
      </c>
      <c r="AD38" s="108">
        <v>98227</v>
      </c>
      <c r="AE38" s="108">
        <v>88517</v>
      </c>
      <c r="AF38" s="107">
        <v>83542</v>
      </c>
      <c r="AG38" s="108">
        <f t="shared" si="97"/>
        <v>92951</v>
      </c>
      <c r="AH38" s="108">
        <f t="shared" si="98"/>
        <v>6527</v>
      </c>
      <c r="AI38" s="108">
        <f t="shared" si="99"/>
        <v>6277</v>
      </c>
      <c r="AJ38" s="108">
        <v>92951</v>
      </c>
      <c r="AK38" s="108">
        <v>6527</v>
      </c>
      <c r="AL38" s="108">
        <v>6277</v>
      </c>
      <c r="AM38" s="107">
        <v>6446</v>
      </c>
      <c r="AN38" s="108">
        <f t="shared" si="125"/>
        <v>6012</v>
      </c>
      <c r="AO38" s="108">
        <f t="shared" si="125"/>
        <v>6719</v>
      </c>
      <c r="AP38" s="108">
        <f t="shared" si="125"/>
        <v>6708</v>
      </c>
      <c r="AQ38" s="108">
        <v>6012</v>
      </c>
      <c r="AR38" s="108">
        <v>6719</v>
      </c>
      <c r="AS38" s="108">
        <v>6708</v>
      </c>
      <c r="AT38" s="107">
        <v>6747</v>
      </c>
      <c r="AU38" s="107">
        <f t="shared" si="141"/>
        <v>7694</v>
      </c>
      <c r="AV38" s="107">
        <f t="shared" si="142"/>
        <v>7034</v>
      </c>
      <c r="AW38" s="107">
        <f t="shared" si="100"/>
        <v>7454</v>
      </c>
      <c r="AX38" s="107">
        <v>7694</v>
      </c>
      <c r="AY38" s="107">
        <v>7034</v>
      </c>
      <c r="AZ38" s="107">
        <v>7454</v>
      </c>
      <c r="BA38" s="107">
        <v>8360</v>
      </c>
      <c r="BB38" s="107">
        <f t="shared" si="143"/>
        <v>7975</v>
      </c>
      <c r="BC38" s="107">
        <f t="shared" si="144"/>
        <v>9945</v>
      </c>
      <c r="BD38" s="107">
        <f t="shared" si="145"/>
        <v>19426</v>
      </c>
      <c r="BE38" s="107">
        <v>7975</v>
      </c>
      <c r="BF38" s="107">
        <v>9945</v>
      </c>
      <c r="BG38" s="107">
        <v>19426</v>
      </c>
      <c r="BH38" s="107">
        <v>8543</v>
      </c>
      <c r="BI38" s="107">
        <f t="shared" si="146"/>
        <v>7480</v>
      </c>
      <c r="BJ38" s="107">
        <f t="shared" si="147"/>
        <v>7561</v>
      </c>
      <c r="BK38" s="107">
        <f t="shared" si="148"/>
        <v>12457</v>
      </c>
      <c r="BL38" s="772">
        <v>7480</v>
      </c>
      <c r="BM38" s="772">
        <v>7561</v>
      </c>
      <c r="BN38" s="772">
        <v>12457</v>
      </c>
      <c r="BO38" s="772">
        <v>10497</v>
      </c>
      <c r="BP38" s="775">
        <f t="shared" si="149"/>
        <v>9562</v>
      </c>
      <c r="BQ38" s="775">
        <f t="shared" si="150"/>
        <v>8134</v>
      </c>
      <c r="BR38" s="775">
        <f t="shared" si="151"/>
        <v>6693</v>
      </c>
      <c r="BS38" s="772">
        <v>9562</v>
      </c>
      <c r="BT38" s="772">
        <v>8134</v>
      </c>
      <c r="BU38" s="772">
        <v>6693</v>
      </c>
      <c r="BV38" s="772">
        <v>8014</v>
      </c>
      <c r="BW38" s="775">
        <f t="shared" si="152"/>
        <v>7272</v>
      </c>
      <c r="BX38" s="775">
        <f t="shared" si="153"/>
        <v>6740</v>
      </c>
      <c r="BY38" s="775">
        <f t="shared" si="154"/>
        <v>7444</v>
      </c>
      <c r="BZ38" s="772">
        <v>7272</v>
      </c>
      <c r="CA38" s="772">
        <v>6740</v>
      </c>
      <c r="CB38" s="772">
        <v>7444</v>
      </c>
      <c r="CC38" s="772">
        <v>7173</v>
      </c>
      <c r="CD38" s="775">
        <f t="shared" si="155"/>
        <v>6778</v>
      </c>
      <c r="CE38" s="775">
        <f t="shared" si="156"/>
        <v>6917</v>
      </c>
      <c r="CF38" s="775">
        <f t="shared" si="157"/>
        <v>7130</v>
      </c>
      <c r="CG38" s="772">
        <v>6778</v>
      </c>
      <c r="CH38" s="772">
        <v>6917</v>
      </c>
      <c r="CI38" s="772">
        <v>7130</v>
      </c>
      <c r="CJ38" s="772">
        <v>7844</v>
      </c>
      <c r="CK38" s="775">
        <f t="shared" si="158"/>
        <v>0</v>
      </c>
      <c r="CL38" s="772"/>
      <c r="CM38" s="772"/>
      <c r="CN38" s="772">
        <v>0</v>
      </c>
      <c r="CO38" s="772"/>
    </row>
    <row r="39" spans="1:93" s="92" customFormat="1" x14ac:dyDescent="0.25">
      <c r="A39" s="121" t="str">
        <f>Language!AA35</f>
        <v>Salários, Provisões e Contribuições Sociais</v>
      </c>
      <c r="B39" s="108">
        <v>10828</v>
      </c>
      <c r="C39" s="108">
        <v>13893</v>
      </c>
      <c r="D39" s="108">
        <v>17037</v>
      </c>
      <c r="E39" s="106">
        <v>13173</v>
      </c>
      <c r="F39" s="108">
        <v>14320</v>
      </c>
      <c r="G39" s="108">
        <v>17884</v>
      </c>
      <c r="H39" s="108">
        <v>19418</v>
      </c>
      <c r="I39" s="106">
        <v>18025</v>
      </c>
      <c r="J39" s="108">
        <v>22480</v>
      </c>
      <c r="K39" s="108">
        <v>19858</v>
      </c>
      <c r="L39" s="108">
        <v>21767</v>
      </c>
      <c r="M39" s="106">
        <v>19731</v>
      </c>
      <c r="N39" s="108">
        <v>18753</v>
      </c>
      <c r="O39" s="108">
        <v>20865</v>
      </c>
      <c r="P39" s="108">
        <v>26062</v>
      </c>
      <c r="Q39" s="108">
        <v>26332</v>
      </c>
      <c r="R39" s="107">
        <v>33447</v>
      </c>
      <c r="S39" s="108">
        <f t="shared" si="20"/>
        <v>0</v>
      </c>
      <c r="T39" s="108">
        <f t="shared" si="21"/>
        <v>43504</v>
      </c>
      <c r="U39" s="108">
        <f t="shared" si="22"/>
        <v>35593</v>
      </c>
      <c r="V39" s="108"/>
      <c r="W39" s="108">
        <v>43504</v>
      </c>
      <c r="X39" s="108">
        <v>35593</v>
      </c>
      <c r="Y39" s="107">
        <v>39072</v>
      </c>
      <c r="Z39" s="108">
        <f t="shared" si="23"/>
        <v>46570</v>
      </c>
      <c r="AA39" s="108">
        <f t="shared" si="24"/>
        <v>50144</v>
      </c>
      <c r="AB39" s="108">
        <f t="shared" si="25"/>
        <v>42685</v>
      </c>
      <c r="AC39" s="108">
        <v>46570</v>
      </c>
      <c r="AD39" s="108">
        <v>50144</v>
      </c>
      <c r="AE39" s="108">
        <v>42685</v>
      </c>
      <c r="AF39" s="107">
        <v>49506</v>
      </c>
      <c r="AG39" s="108">
        <f t="shared" si="97"/>
        <v>49049</v>
      </c>
      <c r="AH39" s="108">
        <f t="shared" si="98"/>
        <v>41216</v>
      </c>
      <c r="AI39" s="108">
        <f t="shared" si="99"/>
        <v>25156</v>
      </c>
      <c r="AJ39" s="108">
        <v>49049</v>
      </c>
      <c r="AK39" s="108">
        <v>41216</v>
      </c>
      <c r="AL39" s="108">
        <v>25156</v>
      </c>
      <c r="AM39" s="107">
        <v>26810</v>
      </c>
      <c r="AN39" s="108">
        <f t="shared" si="125"/>
        <v>30171</v>
      </c>
      <c r="AO39" s="108">
        <f t="shared" si="125"/>
        <v>29067</v>
      </c>
      <c r="AP39" s="108">
        <f t="shared" si="125"/>
        <v>26415</v>
      </c>
      <c r="AQ39" s="108">
        <v>30171</v>
      </c>
      <c r="AR39" s="108">
        <v>29067</v>
      </c>
      <c r="AS39" s="108">
        <v>26415</v>
      </c>
      <c r="AT39" s="107">
        <v>30779</v>
      </c>
      <c r="AU39" s="107">
        <f t="shared" si="141"/>
        <v>27000</v>
      </c>
      <c r="AV39" s="107">
        <f t="shared" si="142"/>
        <v>29404</v>
      </c>
      <c r="AW39" s="107">
        <f t="shared" si="100"/>
        <v>30023</v>
      </c>
      <c r="AX39" s="107">
        <v>27000</v>
      </c>
      <c r="AY39" s="107">
        <v>29404</v>
      </c>
      <c r="AZ39" s="107">
        <v>30023</v>
      </c>
      <c r="BA39" s="107">
        <v>32264</v>
      </c>
      <c r="BB39" s="107">
        <f t="shared" si="143"/>
        <v>37187</v>
      </c>
      <c r="BC39" s="107">
        <f t="shared" si="144"/>
        <v>39390</v>
      </c>
      <c r="BD39" s="107">
        <f t="shared" si="145"/>
        <v>34757</v>
      </c>
      <c r="BE39" s="107">
        <v>37187</v>
      </c>
      <c r="BF39" s="107">
        <v>39390</v>
      </c>
      <c r="BG39" s="107">
        <v>34757</v>
      </c>
      <c r="BH39" s="107">
        <v>35980</v>
      </c>
      <c r="BI39" s="107">
        <f t="shared" si="146"/>
        <v>37008</v>
      </c>
      <c r="BJ39" s="107">
        <f t="shared" si="147"/>
        <v>36778</v>
      </c>
      <c r="BK39" s="107">
        <f t="shared" si="148"/>
        <v>28976</v>
      </c>
      <c r="BL39" s="772">
        <v>37008</v>
      </c>
      <c r="BM39" s="772">
        <v>36778</v>
      </c>
      <c r="BN39" s="772">
        <v>28976</v>
      </c>
      <c r="BO39" s="772">
        <v>30814</v>
      </c>
      <c r="BP39" s="775">
        <f t="shared" si="149"/>
        <v>30184</v>
      </c>
      <c r="BQ39" s="775">
        <f t="shared" si="150"/>
        <v>28435</v>
      </c>
      <c r="BR39" s="775">
        <f t="shared" si="151"/>
        <v>28774</v>
      </c>
      <c r="BS39" s="772">
        <v>30184</v>
      </c>
      <c r="BT39" s="772">
        <v>28435</v>
      </c>
      <c r="BU39" s="772">
        <v>28774</v>
      </c>
      <c r="BV39" s="772">
        <v>29931</v>
      </c>
      <c r="BW39" s="775">
        <f t="shared" si="152"/>
        <v>30215</v>
      </c>
      <c r="BX39" s="775">
        <f t="shared" si="153"/>
        <v>29642</v>
      </c>
      <c r="BY39" s="775">
        <f t="shared" si="154"/>
        <v>36206</v>
      </c>
      <c r="BZ39" s="772">
        <v>30215</v>
      </c>
      <c r="CA39" s="772">
        <v>29642</v>
      </c>
      <c r="CB39" s="772">
        <v>36206</v>
      </c>
      <c r="CC39" s="772">
        <v>39371</v>
      </c>
      <c r="CD39" s="775">
        <f t="shared" si="155"/>
        <v>43395</v>
      </c>
      <c r="CE39" s="775">
        <f t="shared" si="156"/>
        <v>41092</v>
      </c>
      <c r="CF39" s="775">
        <f t="shared" si="157"/>
        <v>43372</v>
      </c>
      <c r="CG39" s="772">
        <v>43395</v>
      </c>
      <c r="CH39" s="92">
        <v>41092</v>
      </c>
      <c r="CI39" s="772">
        <v>43372</v>
      </c>
      <c r="CJ39" s="772">
        <v>46675</v>
      </c>
      <c r="CK39" s="775">
        <f t="shared" si="158"/>
        <v>50253</v>
      </c>
      <c r="CL39" s="772"/>
      <c r="CM39" s="772"/>
      <c r="CN39" s="772">
        <v>50253</v>
      </c>
      <c r="CO39" s="772"/>
    </row>
    <row r="40" spans="1:93" s="92" customFormat="1" x14ac:dyDescent="0.25">
      <c r="A40" s="121" t="str">
        <f>Language!AA36</f>
        <v>Impostos, Taxas e Contribuições</v>
      </c>
      <c r="B40" s="108">
        <v>18648</v>
      </c>
      <c r="C40" s="108">
        <v>20127</v>
      </c>
      <c r="D40" s="108">
        <v>21749</v>
      </c>
      <c r="E40" s="106">
        <v>31276</v>
      </c>
      <c r="F40" s="108">
        <v>24729</v>
      </c>
      <c r="G40" s="108">
        <v>28164</v>
      </c>
      <c r="H40" s="108">
        <v>37018</v>
      </c>
      <c r="I40" s="106">
        <v>41925</v>
      </c>
      <c r="J40" s="108">
        <v>51941</v>
      </c>
      <c r="K40" s="108">
        <v>43829</v>
      </c>
      <c r="L40" s="108">
        <v>53642</v>
      </c>
      <c r="M40" s="106">
        <v>48703</v>
      </c>
      <c r="N40" s="108">
        <v>44405</v>
      </c>
      <c r="O40" s="108">
        <v>30540</v>
      </c>
      <c r="P40" s="108">
        <v>29755</v>
      </c>
      <c r="Q40" s="108">
        <v>34899</v>
      </c>
      <c r="R40" s="107">
        <v>69015</v>
      </c>
      <c r="S40" s="108">
        <f t="shared" si="20"/>
        <v>0</v>
      </c>
      <c r="T40" s="108">
        <f t="shared" si="21"/>
        <v>88095</v>
      </c>
      <c r="U40" s="108">
        <f t="shared" si="22"/>
        <v>93681</v>
      </c>
      <c r="V40" s="108"/>
      <c r="W40" s="108">
        <v>88095</v>
      </c>
      <c r="X40" s="108">
        <v>93681</v>
      </c>
      <c r="Y40" s="107">
        <v>104275</v>
      </c>
      <c r="Z40" s="108">
        <f t="shared" si="23"/>
        <v>117325</v>
      </c>
      <c r="AA40" s="108">
        <f t="shared" si="24"/>
        <v>109732</v>
      </c>
      <c r="AB40" s="108">
        <f t="shared" si="25"/>
        <v>117403</v>
      </c>
      <c r="AC40" s="108">
        <v>117325</v>
      </c>
      <c r="AD40" s="108">
        <v>109732</v>
      </c>
      <c r="AE40" s="108">
        <v>117403</v>
      </c>
      <c r="AF40" s="107">
        <v>124039</v>
      </c>
      <c r="AG40" s="108">
        <f t="shared" si="97"/>
        <v>128509</v>
      </c>
      <c r="AH40" s="108">
        <f t="shared" si="98"/>
        <v>61242</v>
      </c>
      <c r="AI40" s="108">
        <f t="shared" si="99"/>
        <v>116376</v>
      </c>
      <c r="AJ40" s="108">
        <v>128509</v>
      </c>
      <c r="AK40" s="108">
        <v>61242</v>
      </c>
      <c r="AL40" s="108">
        <v>116376</v>
      </c>
      <c r="AM40" s="107">
        <v>93875</v>
      </c>
      <c r="AN40" s="108">
        <f t="shared" si="125"/>
        <v>90313</v>
      </c>
      <c r="AO40" s="108">
        <f t="shared" si="125"/>
        <v>87247</v>
      </c>
      <c r="AP40" s="108">
        <f t="shared" si="125"/>
        <v>76470</v>
      </c>
      <c r="AQ40" s="108">
        <v>90313</v>
      </c>
      <c r="AR40" s="108">
        <v>87247</v>
      </c>
      <c r="AS40" s="108">
        <v>76470</v>
      </c>
      <c r="AT40" s="107">
        <v>66342</v>
      </c>
      <c r="AU40" s="107">
        <f t="shared" si="141"/>
        <v>71283</v>
      </c>
      <c r="AV40" s="107">
        <f t="shared" si="142"/>
        <v>50873</v>
      </c>
      <c r="AW40" s="107">
        <f t="shared" si="100"/>
        <v>44774</v>
      </c>
      <c r="AX40" s="107">
        <v>71283</v>
      </c>
      <c r="AY40" s="107">
        <v>50873</v>
      </c>
      <c r="AZ40" s="107">
        <v>44774</v>
      </c>
      <c r="BA40" s="107">
        <v>57967</v>
      </c>
      <c r="BB40" s="107">
        <f t="shared" si="143"/>
        <v>58585</v>
      </c>
      <c r="BC40" s="107">
        <f t="shared" si="144"/>
        <v>57968</v>
      </c>
      <c r="BD40" s="107">
        <f t="shared" si="145"/>
        <v>46866</v>
      </c>
      <c r="BE40" s="107">
        <v>58585</v>
      </c>
      <c r="BF40" s="107">
        <v>57968</v>
      </c>
      <c r="BG40" s="107">
        <v>46866</v>
      </c>
      <c r="BH40" s="107">
        <v>48170</v>
      </c>
      <c r="BI40" s="107">
        <f t="shared" si="146"/>
        <v>59688</v>
      </c>
      <c r="BJ40" s="107">
        <f t="shared" si="147"/>
        <v>55603</v>
      </c>
      <c r="BK40" s="107">
        <f t="shared" si="148"/>
        <v>35509</v>
      </c>
      <c r="BL40" s="772">
        <v>59688</v>
      </c>
      <c r="BM40" s="772">
        <v>55603</v>
      </c>
      <c r="BN40" s="772">
        <v>35509</v>
      </c>
      <c r="BO40" s="772">
        <v>39634</v>
      </c>
      <c r="BP40" s="775">
        <f t="shared" si="149"/>
        <v>46316</v>
      </c>
      <c r="BQ40" s="775">
        <f t="shared" si="150"/>
        <v>58496</v>
      </c>
      <c r="BR40" s="775">
        <f t="shared" si="151"/>
        <v>35324</v>
      </c>
      <c r="BS40" s="772">
        <v>46316</v>
      </c>
      <c r="BT40" s="772">
        <v>58496</v>
      </c>
      <c r="BU40" s="772">
        <v>35324</v>
      </c>
      <c r="BV40" s="772">
        <v>35458</v>
      </c>
      <c r="BW40" s="775">
        <f t="shared" si="152"/>
        <v>40841</v>
      </c>
      <c r="BX40" s="775">
        <f t="shared" si="153"/>
        <v>51403</v>
      </c>
      <c r="BY40" s="775">
        <f t="shared" si="154"/>
        <v>41973</v>
      </c>
      <c r="BZ40" s="772">
        <v>40841</v>
      </c>
      <c r="CA40" s="772">
        <v>51403</v>
      </c>
      <c r="CB40" s="772">
        <v>41973</v>
      </c>
      <c r="CC40" s="772">
        <v>35056</v>
      </c>
      <c r="CD40" s="775">
        <f t="shared" si="155"/>
        <v>53647</v>
      </c>
      <c r="CE40" s="775">
        <f t="shared" si="156"/>
        <v>60328</v>
      </c>
      <c r="CF40" s="775">
        <f t="shared" si="157"/>
        <v>63457</v>
      </c>
      <c r="CG40" s="772">
        <v>53647</v>
      </c>
      <c r="CH40" s="772">
        <v>60328</v>
      </c>
      <c r="CI40" s="772">
        <v>63457</v>
      </c>
      <c r="CJ40" s="772">
        <v>70457</v>
      </c>
      <c r="CK40" s="775">
        <f t="shared" si="158"/>
        <v>64533</v>
      </c>
      <c r="CL40" s="772"/>
      <c r="CM40" s="772"/>
      <c r="CN40" s="772">
        <v>64533</v>
      </c>
      <c r="CO40" s="772"/>
    </row>
    <row r="41" spans="1:93" s="92" customFormat="1" x14ac:dyDescent="0.25">
      <c r="A41" s="121" t="str">
        <f>Language!AA37</f>
        <v>Adiantamento de Clientes</v>
      </c>
      <c r="B41" s="108">
        <v>11922</v>
      </c>
      <c r="C41" s="108">
        <v>4225</v>
      </c>
      <c r="D41" s="108">
        <v>3790</v>
      </c>
      <c r="E41" s="106">
        <v>1495</v>
      </c>
      <c r="F41" s="108">
        <v>775</v>
      </c>
      <c r="G41" s="108">
        <v>818</v>
      </c>
      <c r="H41" s="108">
        <v>750</v>
      </c>
      <c r="I41" s="106">
        <v>2145</v>
      </c>
      <c r="J41" s="108">
        <v>2040</v>
      </c>
      <c r="K41" s="108">
        <v>1433</v>
      </c>
      <c r="L41" s="108">
        <v>2008</v>
      </c>
      <c r="M41" s="106">
        <v>4790</v>
      </c>
      <c r="N41" s="108">
        <v>1039</v>
      </c>
      <c r="O41" s="108">
        <v>817</v>
      </c>
      <c r="P41" s="108">
        <v>1126</v>
      </c>
      <c r="Q41" s="108">
        <v>71922</v>
      </c>
      <c r="R41" s="107">
        <v>31872</v>
      </c>
      <c r="S41" s="108">
        <f t="shared" si="20"/>
        <v>0</v>
      </c>
      <c r="T41" s="108">
        <f t="shared" si="21"/>
        <v>0</v>
      </c>
      <c r="U41" s="108">
        <f t="shared" si="22"/>
        <v>0</v>
      </c>
      <c r="V41" s="108"/>
      <c r="W41" s="108">
        <v>0</v>
      </c>
      <c r="X41" s="108">
        <v>0</v>
      </c>
      <c r="Y41" s="107">
        <v>671</v>
      </c>
      <c r="Z41" s="108">
        <f t="shared" si="23"/>
        <v>660</v>
      </c>
      <c r="AA41" s="108">
        <f t="shared" si="24"/>
        <v>1618</v>
      </c>
      <c r="AB41" s="108">
        <f t="shared" si="25"/>
        <v>5885</v>
      </c>
      <c r="AC41" s="108">
        <v>660</v>
      </c>
      <c r="AD41" s="108">
        <v>1618</v>
      </c>
      <c r="AE41" s="108">
        <v>5885</v>
      </c>
      <c r="AF41" s="107">
        <v>7088</v>
      </c>
      <c r="AG41" s="108">
        <f t="shared" si="97"/>
        <v>35450</v>
      </c>
      <c r="AH41" s="108">
        <f t="shared" si="98"/>
        <v>1256</v>
      </c>
      <c r="AI41" s="108">
        <f t="shared" si="99"/>
        <v>1555</v>
      </c>
      <c r="AJ41" s="108">
        <v>35450</v>
      </c>
      <c r="AK41" s="108">
        <v>1256</v>
      </c>
      <c r="AL41" s="108">
        <v>1555</v>
      </c>
      <c r="AM41" s="107">
        <v>501</v>
      </c>
      <c r="AN41" s="108">
        <f t="shared" si="125"/>
        <v>425</v>
      </c>
      <c r="AO41" s="108">
        <f t="shared" si="125"/>
        <v>450</v>
      </c>
      <c r="AP41" s="108">
        <f t="shared" si="125"/>
        <v>350</v>
      </c>
      <c r="AQ41" s="108">
        <v>425</v>
      </c>
      <c r="AR41" s="108">
        <v>450</v>
      </c>
      <c r="AS41" s="108">
        <v>350</v>
      </c>
      <c r="AT41" s="107">
        <v>326</v>
      </c>
      <c r="AU41" s="107">
        <f t="shared" si="141"/>
        <v>324</v>
      </c>
      <c r="AV41" s="107">
        <f t="shared" si="142"/>
        <v>512</v>
      </c>
      <c r="AW41" s="107">
        <f t="shared" si="100"/>
        <v>324</v>
      </c>
      <c r="AX41" s="107">
        <v>324</v>
      </c>
      <c r="AY41" s="107">
        <v>512</v>
      </c>
      <c r="AZ41" s="107">
        <v>324</v>
      </c>
      <c r="BA41" s="107">
        <v>345</v>
      </c>
      <c r="BB41" s="107">
        <f t="shared" si="143"/>
        <v>312</v>
      </c>
      <c r="BC41" s="107">
        <f t="shared" si="144"/>
        <v>256</v>
      </c>
      <c r="BD41" s="107">
        <f t="shared" si="145"/>
        <v>0</v>
      </c>
      <c r="BE41" s="107">
        <v>312</v>
      </c>
      <c r="BF41" s="107">
        <v>256</v>
      </c>
      <c r="BG41" s="107">
        <v>0</v>
      </c>
      <c r="BH41" s="107">
        <v>1</v>
      </c>
      <c r="BI41" s="107">
        <f t="shared" si="146"/>
        <v>4</v>
      </c>
      <c r="BJ41" s="107">
        <f t="shared" si="147"/>
        <v>4</v>
      </c>
      <c r="BK41" s="107">
        <f t="shared" si="148"/>
        <v>3</v>
      </c>
      <c r="BL41" s="772">
        <v>4</v>
      </c>
      <c r="BM41" s="772">
        <v>4</v>
      </c>
      <c r="BN41" s="772">
        <v>3</v>
      </c>
      <c r="BO41" s="772">
        <v>12</v>
      </c>
      <c r="BP41" s="775">
        <f t="shared" si="149"/>
        <v>110001</v>
      </c>
      <c r="BQ41" s="775">
        <f t="shared" si="150"/>
        <v>-5</v>
      </c>
      <c r="BR41" s="775">
        <f t="shared" si="151"/>
        <v>110</v>
      </c>
      <c r="BS41" s="772">
        <v>110001</v>
      </c>
      <c r="BT41" s="772">
        <v>-5</v>
      </c>
      <c r="BU41" s="772">
        <v>110</v>
      </c>
      <c r="BV41" s="772">
        <v>77</v>
      </c>
      <c r="BW41" s="775">
        <f t="shared" si="152"/>
        <v>71</v>
      </c>
      <c r="BX41" s="775">
        <f t="shared" si="153"/>
        <v>82</v>
      </c>
      <c r="BY41" s="775">
        <f t="shared" si="154"/>
        <v>3029</v>
      </c>
      <c r="BZ41" s="772">
        <v>71</v>
      </c>
      <c r="CA41" s="772">
        <v>82</v>
      </c>
      <c r="CB41" s="772">
        <v>3029</v>
      </c>
      <c r="CC41" s="772">
        <v>4417</v>
      </c>
      <c r="CD41" s="775">
        <f t="shared" si="155"/>
        <v>3919</v>
      </c>
      <c r="CE41" s="775">
        <f t="shared" si="156"/>
        <v>3423</v>
      </c>
      <c r="CF41" s="775">
        <f t="shared" si="157"/>
        <v>2923</v>
      </c>
      <c r="CG41" s="772">
        <v>3919</v>
      </c>
      <c r="CH41" s="772">
        <v>3423</v>
      </c>
      <c r="CI41" s="772">
        <v>2923</v>
      </c>
      <c r="CJ41" s="772">
        <v>2424</v>
      </c>
      <c r="CK41" s="775">
        <f t="shared" si="158"/>
        <v>14646</v>
      </c>
      <c r="CL41" s="772"/>
      <c r="CM41" s="772"/>
      <c r="CN41" s="772">
        <v>14646</v>
      </c>
      <c r="CO41" s="772"/>
    </row>
    <row r="42" spans="1:93" s="92" customFormat="1" x14ac:dyDescent="0.25">
      <c r="A42" s="121" t="str">
        <f>Language!AA38</f>
        <v>Dividendos Propostos</v>
      </c>
      <c r="B42" s="108">
        <v>9685</v>
      </c>
      <c r="C42" s="108">
        <v>8297</v>
      </c>
      <c r="D42" s="108">
        <v>8266</v>
      </c>
      <c r="E42" s="106">
        <v>12857</v>
      </c>
      <c r="F42" s="108">
        <v>5190</v>
      </c>
      <c r="G42" s="108">
        <v>3057</v>
      </c>
      <c r="H42" s="108">
        <v>3057</v>
      </c>
      <c r="I42" s="106">
        <v>0</v>
      </c>
      <c r="J42" s="108">
        <v>206</v>
      </c>
      <c r="K42" s="108">
        <v>0</v>
      </c>
      <c r="L42" s="108">
        <v>0</v>
      </c>
      <c r="M42" s="106">
        <v>0</v>
      </c>
      <c r="N42" s="108">
        <v>766</v>
      </c>
      <c r="O42" s="108">
        <v>0</v>
      </c>
      <c r="P42" s="108">
        <v>671</v>
      </c>
      <c r="Q42" s="108">
        <v>0</v>
      </c>
      <c r="R42" s="107">
        <v>1543</v>
      </c>
      <c r="S42" s="108">
        <f t="shared" si="20"/>
        <v>0</v>
      </c>
      <c r="T42" s="108">
        <f t="shared" si="21"/>
        <v>1522</v>
      </c>
      <c r="U42" s="108">
        <f t="shared" si="22"/>
        <v>1231</v>
      </c>
      <c r="V42" s="108"/>
      <c r="W42" s="108">
        <v>1522</v>
      </c>
      <c r="X42" s="108">
        <v>1231</v>
      </c>
      <c r="Y42" s="107">
        <v>1543</v>
      </c>
      <c r="Z42" s="108">
        <f t="shared" si="23"/>
        <v>41543</v>
      </c>
      <c r="AA42" s="108">
        <f t="shared" si="24"/>
        <v>41543</v>
      </c>
      <c r="AB42" s="108">
        <f t="shared" si="25"/>
        <v>41543</v>
      </c>
      <c r="AC42" s="108">
        <v>41543</v>
      </c>
      <c r="AD42" s="108">
        <v>41543</v>
      </c>
      <c r="AE42" s="108">
        <v>41543</v>
      </c>
      <c r="AF42" s="107">
        <v>43151</v>
      </c>
      <c r="AG42" s="108">
        <f t="shared" si="97"/>
        <v>44627</v>
      </c>
      <c r="AH42" s="108">
        <f t="shared" si="98"/>
        <v>46036</v>
      </c>
      <c r="AI42" s="108">
        <f t="shared" si="99"/>
        <v>114805</v>
      </c>
      <c r="AJ42" s="108">
        <v>44627</v>
      </c>
      <c r="AK42" s="108">
        <v>46036</v>
      </c>
      <c r="AL42" s="108">
        <v>114805</v>
      </c>
      <c r="AM42" s="107">
        <v>69081</v>
      </c>
      <c r="AN42" s="108">
        <f t="shared" si="125"/>
        <v>35312</v>
      </c>
      <c r="AO42" s="108">
        <f t="shared" si="125"/>
        <v>1543</v>
      </c>
      <c r="AP42" s="108">
        <f t="shared" si="125"/>
        <v>1543</v>
      </c>
      <c r="AQ42" s="108">
        <v>35312</v>
      </c>
      <c r="AR42" s="108">
        <v>1543</v>
      </c>
      <c r="AS42" s="108">
        <v>1543</v>
      </c>
      <c r="AT42" s="107">
        <v>1543</v>
      </c>
      <c r="AU42" s="107">
        <f t="shared" si="141"/>
        <v>2931</v>
      </c>
      <c r="AV42" s="107">
        <f t="shared" si="142"/>
        <v>9004</v>
      </c>
      <c r="AW42" s="107">
        <f t="shared" si="100"/>
        <v>1545</v>
      </c>
      <c r="AX42" s="107">
        <v>2931</v>
      </c>
      <c r="AY42" s="107">
        <v>9004</v>
      </c>
      <c r="AZ42" s="107">
        <v>1545</v>
      </c>
      <c r="BA42" s="107">
        <v>1689</v>
      </c>
      <c r="BB42" s="107">
        <f t="shared" si="143"/>
        <v>1545</v>
      </c>
      <c r="BC42" s="107">
        <f t="shared" si="144"/>
        <v>1544</v>
      </c>
      <c r="BD42" s="107">
        <f t="shared" si="145"/>
        <v>1545</v>
      </c>
      <c r="BE42" s="107">
        <v>1545</v>
      </c>
      <c r="BF42" s="107">
        <v>1544</v>
      </c>
      <c r="BG42" s="107">
        <v>1545</v>
      </c>
      <c r="BH42" s="107">
        <v>8696</v>
      </c>
      <c r="BI42" s="107">
        <f t="shared" si="146"/>
        <v>8695</v>
      </c>
      <c r="BJ42" s="107">
        <f t="shared" si="147"/>
        <v>1545</v>
      </c>
      <c r="BK42" s="107">
        <f t="shared" si="148"/>
        <v>4787</v>
      </c>
      <c r="BL42" s="772">
        <v>8695</v>
      </c>
      <c r="BM42" s="772">
        <v>1545</v>
      </c>
      <c r="BN42" s="772">
        <v>4787</v>
      </c>
      <c r="BO42" s="772">
        <v>4787</v>
      </c>
      <c r="BP42" s="775">
        <f t="shared" si="149"/>
        <v>1544</v>
      </c>
      <c r="BQ42" s="775">
        <f t="shared" si="150"/>
        <v>1544</v>
      </c>
      <c r="BR42" s="775">
        <f t="shared" si="151"/>
        <v>3536</v>
      </c>
      <c r="BS42" s="772">
        <v>1544</v>
      </c>
      <c r="BT42" s="772">
        <v>1544</v>
      </c>
      <c r="BU42" s="772">
        <v>3536</v>
      </c>
      <c r="BV42" s="772">
        <v>3534</v>
      </c>
      <c r="BW42" s="775">
        <f t="shared" si="152"/>
        <v>9507</v>
      </c>
      <c r="BX42" s="775">
        <f t="shared" si="153"/>
        <v>9508</v>
      </c>
      <c r="BY42" s="775">
        <f t="shared" si="154"/>
        <v>5574</v>
      </c>
      <c r="BZ42" s="772">
        <v>9507</v>
      </c>
      <c r="CA42" s="772">
        <v>9508</v>
      </c>
      <c r="CB42" s="772">
        <v>5574</v>
      </c>
      <c r="CC42" s="772">
        <v>14093</v>
      </c>
      <c r="CD42" s="775">
        <f t="shared" si="155"/>
        <v>1566</v>
      </c>
      <c r="CE42" s="775">
        <f t="shared" si="156"/>
        <v>1566</v>
      </c>
      <c r="CF42" s="775">
        <f t="shared" si="157"/>
        <v>1597</v>
      </c>
      <c r="CG42" s="772">
        <v>1566</v>
      </c>
      <c r="CH42" s="772">
        <v>1566</v>
      </c>
      <c r="CI42" s="772">
        <v>1597</v>
      </c>
      <c r="CJ42" s="772">
        <v>15088</v>
      </c>
      <c r="CK42" s="775">
        <f t="shared" si="158"/>
        <v>66120</v>
      </c>
      <c r="CL42" s="772"/>
      <c r="CM42" s="772"/>
      <c r="CN42" s="772">
        <v>66120</v>
      </c>
      <c r="CO42" s="772"/>
    </row>
    <row r="43" spans="1:93" s="92" customFormat="1" x14ac:dyDescent="0.25">
      <c r="A43" s="121" t="str">
        <f>Language!AA39</f>
        <v>Contas a Pagar – Partes Relacionadas</v>
      </c>
      <c r="B43" s="108">
        <v>3931</v>
      </c>
      <c r="C43" s="108">
        <v>1496</v>
      </c>
      <c r="D43" s="108">
        <v>2356</v>
      </c>
      <c r="E43" s="106">
        <v>5589</v>
      </c>
      <c r="F43" s="108">
        <v>4691</v>
      </c>
      <c r="G43" s="108">
        <v>5721</v>
      </c>
      <c r="H43" s="108">
        <v>2748</v>
      </c>
      <c r="I43" s="106">
        <v>27935</v>
      </c>
      <c r="J43" s="108">
        <v>21059</v>
      </c>
      <c r="K43" s="108">
        <v>36603</v>
      </c>
      <c r="L43" s="108">
        <v>39016</v>
      </c>
      <c r="M43" s="106">
        <v>41663</v>
      </c>
      <c r="N43" s="108">
        <v>10839</v>
      </c>
      <c r="O43" s="108">
        <v>24986</v>
      </c>
      <c r="P43" s="108">
        <v>23254</v>
      </c>
      <c r="Q43" s="108">
        <v>19938</v>
      </c>
      <c r="R43" s="107">
        <v>96525</v>
      </c>
      <c r="S43" s="108">
        <f t="shared" si="20"/>
        <v>0</v>
      </c>
      <c r="T43" s="108">
        <f t="shared" si="21"/>
        <v>47949</v>
      </c>
      <c r="U43" s="108">
        <f t="shared" si="22"/>
        <v>27816</v>
      </c>
      <c r="V43" s="108"/>
      <c r="W43" s="108">
        <v>47949</v>
      </c>
      <c r="X43" s="108">
        <v>27816</v>
      </c>
      <c r="Y43" s="107">
        <v>18383</v>
      </c>
      <c r="Z43" s="108">
        <f t="shared" si="23"/>
        <v>31448</v>
      </c>
      <c r="AA43" s="108">
        <f t="shared" si="24"/>
        <v>31316</v>
      </c>
      <c r="AB43" s="108">
        <f t="shared" si="25"/>
        <v>24489</v>
      </c>
      <c r="AC43" s="108">
        <v>31448</v>
      </c>
      <c r="AD43" s="108">
        <v>31316</v>
      </c>
      <c r="AE43" s="108">
        <v>24489</v>
      </c>
      <c r="AF43" s="107">
        <v>29384</v>
      </c>
      <c r="AG43" s="108">
        <f t="shared" si="97"/>
        <v>64548</v>
      </c>
      <c r="AH43" s="108">
        <f t="shared" si="98"/>
        <v>54101</v>
      </c>
      <c r="AI43" s="108">
        <f t="shared" si="99"/>
        <v>51338</v>
      </c>
      <c r="AJ43" s="108">
        <v>64548</v>
      </c>
      <c r="AK43" s="108">
        <v>54101</v>
      </c>
      <c r="AL43" s="108">
        <v>51338</v>
      </c>
      <c r="AM43" s="107">
        <v>36254</v>
      </c>
      <c r="AN43" s="108">
        <f t="shared" si="125"/>
        <v>36924</v>
      </c>
      <c r="AO43" s="108">
        <f t="shared" si="125"/>
        <v>28534</v>
      </c>
      <c r="AP43" s="108">
        <f t="shared" si="125"/>
        <v>35729</v>
      </c>
      <c r="AQ43" s="108">
        <v>36924</v>
      </c>
      <c r="AR43" s="108">
        <v>28534</v>
      </c>
      <c r="AS43" s="108">
        <v>35729</v>
      </c>
      <c r="AT43" s="107">
        <v>29627</v>
      </c>
      <c r="AU43" s="107">
        <f t="shared" si="141"/>
        <v>33572</v>
      </c>
      <c r="AV43" s="107">
        <f t="shared" si="142"/>
        <v>32488</v>
      </c>
      <c r="AW43" s="107">
        <f t="shared" si="100"/>
        <v>49647</v>
      </c>
      <c r="AX43" s="107">
        <v>33572</v>
      </c>
      <c r="AY43" s="107">
        <v>32488</v>
      </c>
      <c r="AZ43" s="107">
        <v>49647</v>
      </c>
      <c r="BA43" s="107">
        <v>25368</v>
      </c>
      <c r="BB43" s="107">
        <f t="shared" si="143"/>
        <v>22870</v>
      </c>
      <c r="BC43" s="107">
        <f t="shared" si="144"/>
        <v>22122</v>
      </c>
      <c r="BD43" s="107">
        <f t="shared" si="145"/>
        <v>22822</v>
      </c>
      <c r="BE43" s="107">
        <v>22870</v>
      </c>
      <c r="BF43" s="107">
        <v>22122</v>
      </c>
      <c r="BG43" s="107">
        <v>22822</v>
      </c>
      <c r="BH43" s="107">
        <v>19062</v>
      </c>
      <c r="BI43" s="107">
        <f t="shared" si="146"/>
        <v>17324</v>
      </c>
      <c r="BJ43" s="107">
        <f t="shared" si="147"/>
        <v>15862</v>
      </c>
      <c r="BK43" s="107">
        <f t="shared" si="148"/>
        <v>12002</v>
      </c>
      <c r="BL43" s="772">
        <v>17324</v>
      </c>
      <c r="BM43" s="772">
        <v>15862</v>
      </c>
      <c r="BN43" s="772">
        <v>12002</v>
      </c>
      <c r="BO43" s="772">
        <v>11172</v>
      </c>
      <c r="BP43" s="775">
        <f t="shared" si="149"/>
        <v>7641</v>
      </c>
      <c r="BQ43" s="775">
        <f t="shared" si="150"/>
        <v>9147</v>
      </c>
      <c r="BR43" s="775">
        <f t="shared" si="151"/>
        <v>12109</v>
      </c>
      <c r="BS43" s="772">
        <v>7641</v>
      </c>
      <c r="BT43" s="772">
        <v>9147</v>
      </c>
      <c r="BU43" s="772">
        <v>12109</v>
      </c>
      <c r="BV43" s="772">
        <v>11397</v>
      </c>
      <c r="BW43" s="775">
        <f t="shared" si="152"/>
        <v>9233</v>
      </c>
      <c r="BX43" s="775">
        <f t="shared" si="153"/>
        <v>9647</v>
      </c>
      <c r="BY43" s="775">
        <f t="shared" si="154"/>
        <v>12267</v>
      </c>
      <c r="BZ43" s="772">
        <v>9233</v>
      </c>
      <c r="CA43" s="772">
        <v>9647</v>
      </c>
      <c r="CB43" s="772">
        <v>12267</v>
      </c>
      <c r="CC43" s="772">
        <v>11016</v>
      </c>
      <c r="CD43" s="775">
        <f t="shared" si="155"/>
        <v>10786</v>
      </c>
      <c r="CE43" s="775">
        <f t="shared" si="156"/>
        <v>9030</v>
      </c>
      <c r="CF43" s="775">
        <f t="shared" si="157"/>
        <v>5922</v>
      </c>
      <c r="CG43" s="772">
        <v>10786</v>
      </c>
      <c r="CH43" s="772">
        <v>9030</v>
      </c>
      <c r="CI43" s="772">
        <v>5922</v>
      </c>
      <c r="CJ43" s="772">
        <v>6479</v>
      </c>
      <c r="CK43" s="775">
        <f t="shared" si="158"/>
        <v>-39868</v>
      </c>
      <c r="CL43" s="772"/>
      <c r="CM43" s="772"/>
      <c r="CN43" s="772">
        <v>-39868</v>
      </c>
      <c r="CO43" s="772"/>
    </row>
    <row r="44" spans="1:93" s="92" customFormat="1" x14ac:dyDescent="0.25">
      <c r="A44" s="121" t="str">
        <f>Language!AA40</f>
        <v>Contratos de Aquisição de Ativos</v>
      </c>
      <c r="B44" s="108">
        <v>32146</v>
      </c>
      <c r="C44" s="108">
        <v>17222</v>
      </c>
      <c r="D44" s="108">
        <v>59698</v>
      </c>
      <c r="E44" s="106">
        <v>21498</v>
      </c>
      <c r="F44" s="108">
        <v>4500</v>
      </c>
      <c r="G44" s="108">
        <v>1000</v>
      </c>
      <c r="H44" s="108">
        <v>1000</v>
      </c>
      <c r="I44" s="106">
        <v>1000</v>
      </c>
      <c r="J44" s="108">
        <v>1000</v>
      </c>
      <c r="K44" s="108">
        <v>1000</v>
      </c>
      <c r="L44" s="108">
        <v>1000</v>
      </c>
      <c r="M44" s="106">
        <v>1000</v>
      </c>
      <c r="N44" s="108">
        <v>0</v>
      </c>
      <c r="O44" s="108">
        <v>0</v>
      </c>
      <c r="P44" s="108">
        <v>0</v>
      </c>
      <c r="Q44" s="108">
        <v>0</v>
      </c>
      <c r="R44" s="107">
        <v>0</v>
      </c>
      <c r="S44" s="108">
        <f t="shared" si="20"/>
        <v>0</v>
      </c>
      <c r="T44" s="108">
        <f t="shared" si="21"/>
        <v>31544</v>
      </c>
      <c r="U44" s="108">
        <f t="shared" si="22"/>
        <v>1543</v>
      </c>
      <c r="V44" s="108"/>
      <c r="W44" s="108">
        <v>31544</v>
      </c>
      <c r="X44" s="108">
        <v>1543</v>
      </c>
      <c r="Y44" s="107">
        <v>0</v>
      </c>
      <c r="Z44" s="108"/>
      <c r="AA44" s="108"/>
      <c r="AB44" s="108"/>
      <c r="AC44" s="108"/>
      <c r="AD44" s="108"/>
      <c r="AE44" s="108"/>
      <c r="AF44" s="107"/>
      <c r="AG44" s="108"/>
      <c r="AH44" s="108"/>
      <c r="AI44" s="108"/>
      <c r="AJ44" s="108"/>
      <c r="AK44" s="108"/>
      <c r="AL44" s="108"/>
      <c r="AM44" s="107"/>
      <c r="AN44" s="108"/>
      <c r="AO44" s="108"/>
      <c r="AP44" s="108"/>
      <c r="AQ44" s="108"/>
      <c r="AR44" s="108"/>
      <c r="AS44" s="108"/>
      <c r="AT44" s="107"/>
      <c r="AU44" s="107">
        <f t="shared" si="141"/>
        <v>0</v>
      </c>
      <c r="AV44" s="107">
        <f t="shared" si="142"/>
        <v>0</v>
      </c>
      <c r="AW44" s="107">
        <f t="shared" si="100"/>
        <v>0</v>
      </c>
      <c r="AX44" s="107">
        <v>0</v>
      </c>
      <c r="AY44" s="107">
        <v>0</v>
      </c>
      <c r="AZ44" s="107">
        <v>0</v>
      </c>
      <c r="BA44" s="107">
        <v>0</v>
      </c>
      <c r="BB44" s="107">
        <f t="shared" si="143"/>
        <v>0</v>
      </c>
      <c r="BC44" s="107">
        <f t="shared" si="144"/>
        <v>0</v>
      </c>
      <c r="BD44" s="107">
        <f t="shared" si="145"/>
        <v>0</v>
      </c>
      <c r="BE44" s="107">
        <v>0</v>
      </c>
      <c r="BF44" s="107">
        <v>0</v>
      </c>
      <c r="BG44" s="107">
        <v>0</v>
      </c>
      <c r="BH44" s="107">
        <v>0</v>
      </c>
      <c r="BI44" s="107">
        <f t="shared" si="146"/>
        <v>0</v>
      </c>
      <c r="BJ44" s="107">
        <f t="shared" si="147"/>
        <v>0</v>
      </c>
      <c r="BK44" s="107">
        <f t="shared" si="148"/>
        <v>0</v>
      </c>
      <c r="BL44" s="772">
        <v>0</v>
      </c>
      <c r="BM44" s="772">
        <v>0</v>
      </c>
      <c r="BN44" s="772">
        <v>0</v>
      </c>
      <c r="BO44" s="772">
        <v>0</v>
      </c>
      <c r="BP44" s="775">
        <f t="shared" si="149"/>
        <v>0</v>
      </c>
      <c r="BQ44" s="775">
        <f t="shared" si="150"/>
        <v>0</v>
      </c>
      <c r="BR44" s="775">
        <f t="shared" si="151"/>
        <v>0</v>
      </c>
      <c r="BS44" s="772">
        <v>0</v>
      </c>
      <c r="BT44" s="772">
        <v>0</v>
      </c>
      <c r="BU44" s="772">
        <v>0</v>
      </c>
      <c r="BV44" s="772">
        <v>0</v>
      </c>
      <c r="BW44" s="775">
        <f t="shared" si="152"/>
        <v>0</v>
      </c>
      <c r="BX44" s="775">
        <f t="shared" si="153"/>
        <v>0</v>
      </c>
      <c r="BY44" s="775">
        <f t="shared" si="154"/>
        <v>0</v>
      </c>
      <c r="BZ44" s="772">
        <v>0</v>
      </c>
      <c r="CA44" s="772">
        <v>0</v>
      </c>
      <c r="CB44" s="772">
        <v>0</v>
      </c>
      <c r="CC44" s="772">
        <v>0</v>
      </c>
      <c r="CD44" s="775">
        <f t="shared" si="155"/>
        <v>0</v>
      </c>
      <c r="CE44" s="775">
        <f t="shared" si="156"/>
        <v>0</v>
      </c>
      <c r="CF44" s="775">
        <f t="shared" si="157"/>
        <v>0</v>
      </c>
      <c r="CG44" s="772">
        <v>0</v>
      </c>
      <c r="CH44" s="772">
        <v>0</v>
      </c>
      <c r="CI44" s="772">
        <v>0</v>
      </c>
      <c r="CJ44" s="772">
        <v>0</v>
      </c>
      <c r="CK44" s="775">
        <f t="shared" si="158"/>
        <v>0</v>
      </c>
      <c r="CL44" s="772"/>
      <c r="CM44" s="772"/>
      <c r="CN44" s="772">
        <v>0</v>
      </c>
      <c r="CO44" s="772"/>
    </row>
    <row r="45" spans="1:93" s="92" customFormat="1" x14ac:dyDescent="0.25">
      <c r="A45" s="121" t="s">
        <v>603</v>
      </c>
      <c r="B45" s="108">
        <v>0</v>
      </c>
      <c r="C45" s="108">
        <v>0</v>
      </c>
      <c r="D45" s="108">
        <v>0</v>
      </c>
      <c r="E45" s="106">
        <v>0</v>
      </c>
      <c r="F45" s="108">
        <v>0</v>
      </c>
      <c r="G45" s="108">
        <v>0</v>
      </c>
      <c r="H45" s="108">
        <v>0</v>
      </c>
      <c r="I45" s="106">
        <v>0</v>
      </c>
      <c r="J45" s="108">
        <v>0</v>
      </c>
      <c r="K45" s="108">
        <v>0</v>
      </c>
      <c r="L45" s="108">
        <v>0</v>
      </c>
      <c r="M45" s="106">
        <v>0</v>
      </c>
      <c r="N45" s="108">
        <v>0</v>
      </c>
      <c r="O45" s="108">
        <v>0</v>
      </c>
      <c r="P45" s="108">
        <v>243625</v>
      </c>
      <c r="Q45" s="108">
        <v>142777</v>
      </c>
      <c r="R45" s="107">
        <v>0</v>
      </c>
      <c r="S45" s="108">
        <f t="shared" si="20"/>
        <v>0</v>
      </c>
      <c r="T45" s="108">
        <f t="shared" si="21"/>
        <v>0</v>
      </c>
      <c r="U45" s="108">
        <f t="shared" si="22"/>
        <v>0</v>
      </c>
      <c r="V45" s="108"/>
      <c r="W45" s="108">
        <v>0</v>
      </c>
      <c r="X45" s="108">
        <v>0</v>
      </c>
      <c r="Y45" s="107">
        <v>0</v>
      </c>
      <c r="Z45" s="108"/>
      <c r="AA45" s="108"/>
      <c r="AB45" s="108"/>
      <c r="AC45" s="108"/>
      <c r="AD45" s="108"/>
      <c r="AE45" s="108"/>
      <c r="AF45" s="107"/>
      <c r="AG45" s="108"/>
      <c r="AH45" s="108"/>
      <c r="AI45" s="108"/>
      <c r="AJ45" s="108"/>
      <c r="AK45" s="108"/>
      <c r="AL45" s="108"/>
      <c r="AM45" s="107"/>
      <c r="AN45" s="108"/>
      <c r="AO45" s="108"/>
      <c r="AP45" s="108"/>
      <c r="AQ45" s="108"/>
      <c r="AR45" s="108"/>
      <c r="AS45" s="108"/>
      <c r="AT45" s="107"/>
      <c r="AU45" s="107">
        <f t="shared" si="141"/>
        <v>0</v>
      </c>
      <c r="AV45" s="107">
        <f t="shared" si="142"/>
        <v>0</v>
      </c>
      <c r="AW45" s="107">
        <f t="shared" si="100"/>
        <v>0</v>
      </c>
      <c r="AX45" s="107">
        <v>0</v>
      </c>
      <c r="AY45" s="107">
        <v>0</v>
      </c>
      <c r="AZ45" s="107">
        <v>0</v>
      </c>
      <c r="BA45" s="107">
        <v>0</v>
      </c>
      <c r="BB45" s="107">
        <f t="shared" si="143"/>
        <v>0</v>
      </c>
      <c r="BC45" s="107">
        <f t="shared" si="144"/>
        <v>0</v>
      </c>
      <c r="BD45" s="107">
        <f t="shared" si="145"/>
        <v>0</v>
      </c>
      <c r="BE45" s="107">
        <v>0</v>
      </c>
      <c r="BF45" s="107">
        <v>0</v>
      </c>
      <c r="BG45" s="107">
        <v>0</v>
      </c>
      <c r="BH45" s="107">
        <v>0</v>
      </c>
      <c r="BI45" s="107">
        <f t="shared" si="146"/>
        <v>0</v>
      </c>
      <c r="BJ45" s="107">
        <f t="shared" si="147"/>
        <v>0</v>
      </c>
      <c r="BK45" s="107">
        <f t="shared" si="148"/>
        <v>0</v>
      </c>
      <c r="BL45" s="772">
        <v>0</v>
      </c>
      <c r="BM45" s="772">
        <v>0</v>
      </c>
      <c r="BN45" s="772">
        <v>0</v>
      </c>
      <c r="BO45" s="772">
        <v>0</v>
      </c>
      <c r="BP45" s="775">
        <f t="shared" si="149"/>
        <v>0</v>
      </c>
      <c r="BQ45" s="775">
        <f t="shared" si="150"/>
        <v>0</v>
      </c>
      <c r="BR45" s="775">
        <f t="shared" si="151"/>
        <v>0</v>
      </c>
      <c r="BS45" s="772">
        <v>0</v>
      </c>
      <c r="BT45" s="772">
        <v>0</v>
      </c>
      <c r="BU45" s="772">
        <v>0</v>
      </c>
      <c r="BV45" s="772">
        <v>0</v>
      </c>
      <c r="BW45" s="775">
        <f t="shared" si="152"/>
        <v>0</v>
      </c>
      <c r="BX45" s="775">
        <f t="shared" si="153"/>
        <v>0</v>
      </c>
      <c r="BY45" s="775">
        <f t="shared" si="154"/>
        <v>0</v>
      </c>
      <c r="BZ45" s="772">
        <v>0</v>
      </c>
      <c r="CA45" s="772">
        <v>0</v>
      </c>
      <c r="CB45" s="772">
        <v>0</v>
      </c>
      <c r="CC45" s="772">
        <v>0</v>
      </c>
      <c r="CD45" s="775">
        <f t="shared" si="155"/>
        <v>0</v>
      </c>
      <c r="CE45" s="775">
        <f t="shared" si="156"/>
        <v>0</v>
      </c>
      <c r="CF45" s="775">
        <f t="shared" si="157"/>
        <v>0</v>
      </c>
      <c r="CG45" s="772">
        <v>0</v>
      </c>
      <c r="CH45" s="772">
        <v>0</v>
      </c>
      <c r="CI45" s="772">
        <v>0</v>
      </c>
      <c r="CJ45" s="772">
        <v>0</v>
      </c>
      <c r="CK45" s="775">
        <f t="shared" si="158"/>
        <v>0</v>
      </c>
      <c r="CL45" s="772"/>
      <c r="CM45" s="772"/>
      <c r="CN45" s="772">
        <v>0</v>
      </c>
      <c r="CO45" s="772"/>
    </row>
    <row r="46" spans="1:93" s="92" customFormat="1" x14ac:dyDescent="0.25">
      <c r="A46" s="121" t="str">
        <f>Language!AA41</f>
        <v>Arrendamento mercantil</v>
      </c>
      <c r="B46" s="108">
        <v>0</v>
      </c>
      <c r="C46" s="108">
        <v>0</v>
      </c>
      <c r="D46" s="108">
        <v>0</v>
      </c>
      <c r="E46" s="106">
        <v>6349</v>
      </c>
      <c r="F46" s="108">
        <v>1369</v>
      </c>
      <c r="G46" s="108">
        <v>6976</v>
      </c>
      <c r="H46" s="108">
        <v>5865</v>
      </c>
      <c r="I46" s="106">
        <v>3275</v>
      </c>
      <c r="J46" s="108">
        <v>4938</v>
      </c>
      <c r="K46" s="108">
        <v>2823</v>
      </c>
      <c r="L46" s="108">
        <v>960</v>
      </c>
      <c r="M46" s="106">
        <v>5678</v>
      </c>
      <c r="N46" s="108">
        <v>25</v>
      </c>
      <c r="O46" s="108">
        <v>375</v>
      </c>
      <c r="P46" s="108">
        <v>333</v>
      </c>
      <c r="Q46" s="108">
        <v>759</v>
      </c>
      <c r="R46" s="107">
        <v>886</v>
      </c>
      <c r="S46" s="108">
        <f t="shared" si="20"/>
        <v>0</v>
      </c>
      <c r="T46" s="108">
        <f t="shared" si="21"/>
        <v>1376</v>
      </c>
      <c r="U46" s="108">
        <f t="shared" si="22"/>
        <v>1302</v>
      </c>
      <c r="V46" s="108"/>
      <c r="W46" s="108">
        <v>1376</v>
      </c>
      <c r="X46" s="108">
        <v>1302</v>
      </c>
      <c r="Y46" s="107">
        <v>0</v>
      </c>
      <c r="Z46" s="108"/>
      <c r="AA46" s="108"/>
      <c r="AB46" s="108"/>
      <c r="AC46" s="108"/>
      <c r="AD46" s="108"/>
      <c r="AE46" s="108"/>
      <c r="AF46" s="107"/>
      <c r="AG46" s="108"/>
      <c r="AH46" s="108"/>
      <c r="AI46" s="108"/>
      <c r="AJ46" s="108"/>
      <c r="AK46" s="108"/>
      <c r="AL46" s="108"/>
      <c r="AM46" s="107"/>
      <c r="AN46" s="108"/>
      <c r="AO46" s="108"/>
      <c r="AP46" s="108"/>
      <c r="AQ46" s="108"/>
      <c r="AR46" s="108"/>
      <c r="AS46" s="108"/>
      <c r="AT46" s="107">
        <v>21671</v>
      </c>
      <c r="AU46" s="107">
        <f t="shared" si="141"/>
        <v>0</v>
      </c>
      <c r="AV46" s="107">
        <f t="shared" si="142"/>
        <v>0</v>
      </c>
      <c r="AW46" s="107">
        <f t="shared" si="100"/>
        <v>0</v>
      </c>
      <c r="AX46" s="107">
        <v>0</v>
      </c>
      <c r="AY46" s="107">
        <v>0</v>
      </c>
      <c r="AZ46" s="107">
        <v>0</v>
      </c>
      <c r="BA46" s="107">
        <v>0</v>
      </c>
      <c r="BB46" s="107">
        <f t="shared" si="143"/>
        <v>0</v>
      </c>
      <c r="BC46" s="107">
        <f t="shared" si="144"/>
        <v>0</v>
      </c>
      <c r="BD46" s="107">
        <f t="shared" si="145"/>
        <v>0</v>
      </c>
      <c r="BE46" s="107">
        <v>0</v>
      </c>
      <c r="BF46" s="107">
        <v>0</v>
      </c>
      <c r="BG46" s="107">
        <v>0</v>
      </c>
      <c r="BH46" s="107">
        <v>0</v>
      </c>
      <c r="BI46" s="107">
        <f t="shared" si="146"/>
        <v>0</v>
      </c>
      <c r="BJ46" s="107">
        <f t="shared" si="147"/>
        <v>0</v>
      </c>
      <c r="BK46" s="107">
        <f t="shared" si="148"/>
        <v>0</v>
      </c>
      <c r="BL46" s="772">
        <v>0</v>
      </c>
      <c r="BM46" s="772">
        <v>0</v>
      </c>
      <c r="BN46" s="772"/>
      <c r="BO46" s="772"/>
      <c r="BP46" s="775">
        <f t="shared" si="149"/>
        <v>0</v>
      </c>
      <c r="BQ46" s="775">
        <f t="shared" si="150"/>
        <v>0</v>
      </c>
      <c r="BR46" s="775">
        <f t="shared" si="151"/>
        <v>0</v>
      </c>
      <c r="BS46" s="772"/>
      <c r="BT46" s="772"/>
      <c r="BU46" s="772"/>
      <c r="BV46" s="772">
        <v>0</v>
      </c>
      <c r="BW46" s="775">
        <f t="shared" si="152"/>
        <v>0</v>
      </c>
      <c r="BX46" s="775">
        <f t="shared" si="153"/>
        <v>0</v>
      </c>
      <c r="BY46" s="775">
        <f t="shared" si="154"/>
        <v>0</v>
      </c>
      <c r="BZ46" s="772">
        <v>0</v>
      </c>
      <c r="CA46" s="772">
        <v>0</v>
      </c>
      <c r="CB46" s="772">
        <v>0</v>
      </c>
      <c r="CC46" s="772">
        <v>0</v>
      </c>
      <c r="CD46" s="775">
        <f t="shared" si="155"/>
        <v>0</v>
      </c>
      <c r="CE46" s="775">
        <f t="shared" si="156"/>
        <v>0</v>
      </c>
      <c r="CF46" s="775">
        <f t="shared" si="157"/>
        <v>0</v>
      </c>
      <c r="CG46" s="772">
        <v>0</v>
      </c>
      <c r="CH46" s="772">
        <v>0</v>
      </c>
      <c r="CI46" s="772">
        <v>0</v>
      </c>
      <c r="CJ46" s="772">
        <v>0</v>
      </c>
      <c r="CK46" s="775">
        <f t="shared" si="158"/>
        <v>0</v>
      </c>
      <c r="CL46" s="772"/>
      <c r="CM46" s="772"/>
      <c r="CN46" s="772">
        <v>0</v>
      </c>
      <c r="CO46" s="772"/>
    </row>
    <row r="47" spans="1:93" s="92" customFormat="1" x14ac:dyDescent="0.25">
      <c r="A47" s="727" t="s">
        <v>686</v>
      </c>
      <c r="B47" s="108"/>
      <c r="C47" s="108"/>
      <c r="D47" s="108"/>
      <c r="E47" s="106"/>
      <c r="F47" s="108"/>
      <c r="G47" s="108"/>
      <c r="H47" s="108"/>
      <c r="I47" s="106"/>
      <c r="J47" s="108"/>
      <c r="K47" s="108"/>
      <c r="L47" s="108"/>
      <c r="M47" s="106"/>
      <c r="N47" s="108"/>
      <c r="O47" s="108"/>
      <c r="P47" s="108"/>
      <c r="Q47" s="108"/>
      <c r="R47" s="107"/>
      <c r="S47" s="108"/>
      <c r="T47" s="108"/>
      <c r="U47" s="108"/>
      <c r="V47" s="108"/>
      <c r="W47" s="108"/>
      <c r="X47" s="108"/>
      <c r="Y47" s="107"/>
      <c r="Z47" s="108"/>
      <c r="AA47" s="108"/>
      <c r="AB47" s="108"/>
      <c r="AC47" s="108"/>
      <c r="AD47" s="108"/>
      <c r="AE47" s="108"/>
      <c r="AF47" s="107"/>
      <c r="AG47" s="108"/>
      <c r="AH47" s="108"/>
      <c r="AI47" s="108"/>
      <c r="AJ47" s="108"/>
      <c r="AK47" s="108"/>
      <c r="AL47" s="108"/>
      <c r="AM47" s="107"/>
      <c r="AN47" s="108"/>
      <c r="AO47" s="108"/>
      <c r="AP47" s="108"/>
      <c r="AQ47" s="108"/>
      <c r="AR47" s="108"/>
      <c r="AS47" s="108"/>
      <c r="AT47" s="107"/>
      <c r="AU47" s="107">
        <f t="shared" si="141"/>
        <v>10170</v>
      </c>
      <c r="AV47" s="107">
        <f t="shared" si="142"/>
        <v>10272</v>
      </c>
      <c r="AW47" s="107">
        <f t="shared" si="100"/>
        <v>8431</v>
      </c>
      <c r="AX47" s="107">
        <v>10170</v>
      </c>
      <c r="AY47" s="107">
        <v>10272</v>
      </c>
      <c r="AZ47" s="107">
        <v>8431</v>
      </c>
      <c r="BA47" s="107">
        <v>6712</v>
      </c>
      <c r="BB47" s="107">
        <f t="shared" si="143"/>
        <v>6767</v>
      </c>
      <c r="BC47" s="107">
        <f t="shared" si="144"/>
        <v>4324</v>
      </c>
      <c r="BD47" s="107">
        <f t="shared" si="145"/>
        <v>7287</v>
      </c>
      <c r="BE47" s="107">
        <v>6767</v>
      </c>
      <c r="BF47" s="107">
        <v>4324</v>
      </c>
      <c r="BG47" s="107">
        <v>7287</v>
      </c>
      <c r="BH47" s="107">
        <v>5092</v>
      </c>
      <c r="BI47" s="107">
        <f t="shared" si="146"/>
        <v>5798</v>
      </c>
      <c r="BJ47" s="107">
        <f t="shared" si="147"/>
        <v>3994</v>
      </c>
      <c r="BK47" s="107">
        <f t="shared" si="148"/>
        <v>1126</v>
      </c>
      <c r="BL47" s="772">
        <v>5798</v>
      </c>
      <c r="BM47" s="772">
        <v>3994</v>
      </c>
      <c r="BN47" s="772">
        <v>1126</v>
      </c>
      <c r="BO47" s="772">
        <v>1703</v>
      </c>
      <c r="BP47" s="775">
        <f t="shared" si="149"/>
        <v>4871</v>
      </c>
      <c r="BQ47" s="775">
        <f t="shared" si="150"/>
        <v>4312</v>
      </c>
      <c r="BR47" s="775">
        <f t="shared" si="151"/>
        <v>3164</v>
      </c>
      <c r="BS47" s="772">
        <v>4871</v>
      </c>
      <c r="BT47" s="772">
        <v>4312</v>
      </c>
      <c r="BU47" s="772">
        <v>3164</v>
      </c>
      <c r="BV47" s="772">
        <v>2315</v>
      </c>
      <c r="BW47" s="775">
        <f t="shared" si="152"/>
        <v>2770</v>
      </c>
      <c r="BX47" s="775">
        <f t="shared" si="153"/>
        <v>2696</v>
      </c>
      <c r="BY47" s="775">
        <f t="shared" si="154"/>
        <v>2546</v>
      </c>
      <c r="BZ47" s="772">
        <v>2770</v>
      </c>
      <c r="CA47" s="772">
        <v>2696</v>
      </c>
      <c r="CB47" s="772">
        <v>2546</v>
      </c>
      <c r="CC47" s="772">
        <v>2812</v>
      </c>
      <c r="CD47" s="775">
        <f t="shared" si="155"/>
        <v>4595</v>
      </c>
      <c r="CE47" s="775">
        <f t="shared" si="156"/>
        <v>3127</v>
      </c>
      <c r="CF47" s="775">
        <f t="shared" si="157"/>
        <v>2037</v>
      </c>
      <c r="CG47" s="772">
        <v>4595</v>
      </c>
      <c r="CH47" s="772">
        <v>3127</v>
      </c>
      <c r="CI47" s="772">
        <v>2037</v>
      </c>
      <c r="CJ47" s="772">
        <v>2686</v>
      </c>
      <c r="CK47" s="775">
        <f t="shared" si="158"/>
        <v>2103</v>
      </c>
      <c r="CL47" s="772"/>
      <c r="CM47" s="772"/>
      <c r="CN47" s="772">
        <v>2103</v>
      </c>
      <c r="CO47" s="772"/>
    </row>
    <row r="48" spans="1:93" s="92" customFormat="1" x14ac:dyDescent="0.25">
      <c r="A48" s="121" t="str">
        <f>Language!AA42</f>
        <v>Outras Obrigações</v>
      </c>
      <c r="B48" s="108">
        <v>14746</v>
      </c>
      <c r="C48" s="108">
        <v>18798</v>
      </c>
      <c r="D48" s="108">
        <v>15271</v>
      </c>
      <c r="E48" s="106">
        <v>16082</v>
      </c>
      <c r="F48" s="108">
        <v>25430</v>
      </c>
      <c r="G48" s="108">
        <v>19457</v>
      </c>
      <c r="H48" s="108">
        <v>19664</v>
      </c>
      <c r="I48" s="106">
        <v>20319</v>
      </c>
      <c r="J48" s="108">
        <v>27521</v>
      </c>
      <c r="K48" s="108">
        <v>19858</v>
      </c>
      <c r="L48" s="108">
        <v>19558</v>
      </c>
      <c r="M48" s="106">
        <v>23468</v>
      </c>
      <c r="N48" s="108">
        <v>33690</v>
      </c>
      <c r="O48" s="108">
        <v>20659</v>
      </c>
      <c r="P48" s="108">
        <v>28364</v>
      </c>
      <c r="Q48" s="108">
        <v>25239</v>
      </c>
      <c r="R48" s="107">
        <v>28798</v>
      </c>
      <c r="S48" s="108">
        <f t="shared" si="20"/>
        <v>0</v>
      </c>
      <c r="T48" s="108">
        <f t="shared" si="21"/>
        <v>16697</v>
      </c>
      <c r="U48" s="108">
        <f t="shared" si="22"/>
        <v>16985</v>
      </c>
      <c r="V48" s="108"/>
      <c r="W48" s="108">
        <v>16697</v>
      </c>
      <c r="X48" s="108">
        <v>16985</v>
      </c>
      <c r="Y48" s="107">
        <v>23083</v>
      </c>
      <c r="Z48" s="108">
        <f t="shared" si="23"/>
        <v>23272</v>
      </c>
      <c r="AA48" s="108">
        <f t="shared" si="24"/>
        <v>35152</v>
      </c>
      <c r="AB48" s="108">
        <f t="shared" si="25"/>
        <v>44231</v>
      </c>
      <c r="AC48" s="108">
        <v>23272</v>
      </c>
      <c r="AD48" s="108">
        <v>35152</v>
      </c>
      <c r="AE48" s="108">
        <v>44231</v>
      </c>
      <c r="AF48" s="107">
        <v>52542</v>
      </c>
      <c r="AG48" s="108">
        <f t="shared" si="97"/>
        <v>56344</v>
      </c>
      <c r="AH48" s="108">
        <f t="shared" si="98"/>
        <v>28397</v>
      </c>
      <c r="AI48" s="108">
        <f t="shared" si="99"/>
        <v>59467</v>
      </c>
      <c r="AJ48" s="108">
        <v>56344</v>
      </c>
      <c r="AK48" s="108">
        <v>28397</v>
      </c>
      <c r="AL48" s="108">
        <v>59467</v>
      </c>
      <c r="AM48" s="107">
        <v>63571</v>
      </c>
      <c r="AN48" s="108">
        <f t="shared" si="125"/>
        <v>56503</v>
      </c>
      <c r="AO48" s="108">
        <f t="shared" si="125"/>
        <v>54954</v>
      </c>
      <c r="AP48" s="108">
        <f t="shared" si="125"/>
        <v>48914</v>
      </c>
      <c r="AQ48" s="108">
        <v>56503</v>
      </c>
      <c r="AR48" s="108">
        <v>54954</v>
      </c>
      <c r="AS48" s="108">
        <v>48914</v>
      </c>
      <c r="AT48" s="107">
        <v>49978</v>
      </c>
      <c r="AU48" s="107">
        <f t="shared" si="141"/>
        <v>48791</v>
      </c>
      <c r="AV48" s="107">
        <f t="shared" si="142"/>
        <v>47387</v>
      </c>
      <c r="AW48" s="107">
        <f t="shared" si="100"/>
        <v>50774</v>
      </c>
      <c r="AX48" s="107">
        <v>48791</v>
      </c>
      <c r="AY48" s="107">
        <v>47387</v>
      </c>
      <c r="AZ48" s="107">
        <v>50774</v>
      </c>
      <c r="BA48" s="107">
        <v>56897</v>
      </c>
      <c r="BB48" s="107">
        <f t="shared" si="143"/>
        <v>59199</v>
      </c>
      <c r="BC48" s="107">
        <f t="shared" si="144"/>
        <v>60215</v>
      </c>
      <c r="BD48" s="107">
        <f t="shared" si="145"/>
        <v>21334</v>
      </c>
      <c r="BE48" s="107">
        <v>59199</v>
      </c>
      <c r="BF48" s="107">
        <v>60215</v>
      </c>
      <c r="BG48" s="107">
        <v>21334</v>
      </c>
      <c r="BH48" s="107">
        <v>41611</v>
      </c>
      <c r="BI48" s="107">
        <f t="shared" si="146"/>
        <v>37800</v>
      </c>
      <c r="BJ48" s="107">
        <f t="shared" si="147"/>
        <v>26724</v>
      </c>
      <c r="BK48" s="107">
        <f t="shared" si="148"/>
        <v>32457</v>
      </c>
      <c r="BL48" s="772">
        <v>37800</v>
      </c>
      <c r="BM48" s="772">
        <v>26724</v>
      </c>
      <c r="BN48" s="772">
        <v>32457</v>
      </c>
      <c r="BO48" s="772">
        <v>40098</v>
      </c>
      <c r="BP48" s="775">
        <f t="shared" si="149"/>
        <v>32616</v>
      </c>
      <c r="BQ48" s="775">
        <f t="shared" si="150"/>
        <v>36989</v>
      </c>
      <c r="BR48" s="775">
        <f t="shared" si="151"/>
        <v>43793</v>
      </c>
      <c r="BS48" s="772">
        <v>32616</v>
      </c>
      <c r="BT48" s="772">
        <v>36989</v>
      </c>
      <c r="BU48" s="772">
        <v>43793</v>
      </c>
      <c r="BV48" s="772">
        <v>61582</v>
      </c>
      <c r="BW48" s="775">
        <f t="shared" si="152"/>
        <v>58636</v>
      </c>
      <c r="BX48" s="775">
        <f t="shared" si="153"/>
        <v>46904</v>
      </c>
      <c r="BY48" s="775">
        <f t="shared" si="154"/>
        <v>45636</v>
      </c>
      <c r="BZ48" s="772">
        <v>58636</v>
      </c>
      <c r="CA48" s="772">
        <v>46904</v>
      </c>
      <c r="CB48" s="772">
        <v>45636</v>
      </c>
      <c r="CC48" s="772">
        <v>52574</v>
      </c>
      <c r="CD48" s="775">
        <f t="shared" si="155"/>
        <v>30742</v>
      </c>
      <c r="CE48" s="775">
        <f t="shared" si="156"/>
        <v>27816</v>
      </c>
      <c r="CF48" s="775">
        <f t="shared" si="157"/>
        <v>42551</v>
      </c>
      <c r="CG48" s="772">
        <v>30742</v>
      </c>
      <c r="CH48" s="772">
        <v>27816</v>
      </c>
      <c r="CI48" s="772">
        <v>42551</v>
      </c>
      <c r="CJ48" s="772">
        <v>54228</v>
      </c>
      <c r="CK48" s="775">
        <f t="shared" si="158"/>
        <v>53543</v>
      </c>
      <c r="CL48" s="772"/>
      <c r="CM48" s="772"/>
      <c r="CN48" s="772">
        <v>53543</v>
      </c>
      <c r="CO48" s="772"/>
    </row>
    <row r="49" spans="1:93" s="100" customFormat="1" ht="13" x14ac:dyDescent="0.3">
      <c r="A49" s="113" t="str">
        <f>Language!AA43</f>
        <v>Passivo Não Circulante</v>
      </c>
      <c r="B49" s="114">
        <f t="shared" ref="B49:L49" si="159">SUM(B51:B65)</f>
        <v>1191559</v>
      </c>
      <c r="C49" s="114">
        <f t="shared" si="159"/>
        <v>1445873</v>
      </c>
      <c r="D49" s="114">
        <f t="shared" si="159"/>
        <v>1488851</v>
      </c>
      <c r="E49" s="115">
        <f t="shared" si="159"/>
        <v>1509525</v>
      </c>
      <c r="F49" s="114">
        <f t="shared" si="159"/>
        <v>1541308</v>
      </c>
      <c r="G49" s="114">
        <f t="shared" si="159"/>
        <v>1374892</v>
      </c>
      <c r="H49" s="114">
        <f t="shared" si="159"/>
        <v>1825624</v>
      </c>
      <c r="I49" s="115">
        <f t="shared" si="159"/>
        <v>2776982</v>
      </c>
      <c r="J49" s="114">
        <f t="shared" si="159"/>
        <v>2815538</v>
      </c>
      <c r="K49" s="114">
        <f t="shared" si="159"/>
        <v>2838575</v>
      </c>
      <c r="L49" s="114">
        <f t="shared" si="159"/>
        <v>2928268</v>
      </c>
      <c r="M49" s="115">
        <f>SUM(M51:M66)</f>
        <v>3394490</v>
      </c>
      <c r="N49" s="114">
        <f t="shared" ref="N49:R49" si="160">SUM(N50:N66)</f>
        <v>3474737</v>
      </c>
      <c r="O49" s="114">
        <f t="shared" si="160"/>
        <v>3729460</v>
      </c>
      <c r="P49" s="114">
        <f t="shared" si="160"/>
        <v>4036442</v>
      </c>
      <c r="Q49" s="114">
        <f t="shared" si="160"/>
        <v>3867128</v>
      </c>
      <c r="R49" s="114">
        <f t="shared" si="160"/>
        <v>4056576</v>
      </c>
      <c r="S49" s="114">
        <f t="shared" si="20"/>
        <v>0</v>
      </c>
      <c r="T49" s="114">
        <f t="shared" si="21"/>
        <v>3283140</v>
      </c>
      <c r="U49" s="114">
        <f t="shared" si="22"/>
        <v>2724124</v>
      </c>
      <c r="V49" s="114">
        <f t="shared" ref="V49" si="161">SUM(V50:V66)</f>
        <v>0</v>
      </c>
      <c r="W49" s="114">
        <f t="shared" ref="W49" si="162">SUM(W50:W66)</f>
        <v>3283140</v>
      </c>
      <c r="X49" s="114">
        <f t="shared" ref="X49" si="163">SUM(X50:X66)</f>
        <v>2724124</v>
      </c>
      <c r="Y49" s="114">
        <f t="shared" ref="Y49" si="164">SUM(Y50:Y66)</f>
        <v>2853849</v>
      </c>
      <c r="Z49" s="114">
        <f t="shared" si="23"/>
        <v>2840529</v>
      </c>
      <c r="AA49" s="114">
        <f t="shared" si="24"/>
        <v>2847301</v>
      </c>
      <c r="AB49" s="114">
        <f t="shared" si="25"/>
        <v>3170498</v>
      </c>
      <c r="AC49" s="114">
        <f t="shared" ref="AC49" si="165">SUM(AC50:AC66)</f>
        <v>2840529</v>
      </c>
      <c r="AD49" s="114">
        <f t="shared" ref="AD49:AF49" si="166">SUM(AD50:AD66)</f>
        <v>2847301</v>
      </c>
      <c r="AE49" s="114">
        <f t="shared" si="166"/>
        <v>3170498</v>
      </c>
      <c r="AF49" s="114">
        <f t="shared" si="166"/>
        <v>3369994</v>
      </c>
      <c r="AG49" s="114">
        <f t="shared" si="97"/>
        <v>3294686</v>
      </c>
      <c r="AH49" s="114">
        <f t="shared" si="98"/>
        <v>1201795</v>
      </c>
      <c r="AI49" s="114">
        <f t="shared" si="99"/>
        <v>1138679</v>
      </c>
      <c r="AJ49" s="114">
        <f t="shared" ref="AJ49:AQ49" si="167">SUM(AJ50:AJ66)</f>
        <v>3294686</v>
      </c>
      <c r="AK49" s="114">
        <f t="shared" si="167"/>
        <v>1201795</v>
      </c>
      <c r="AL49" s="114">
        <f t="shared" si="167"/>
        <v>1138679</v>
      </c>
      <c r="AM49" s="114">
        <f t="shared" si="167"/>
        <v>1134681</v>
      </c>
      <c r="AN49" s="114">
        <f t="shared" si="125"/>
        <v>1113745</v>
      </c>
      <c r="AO49" s="114">
        <f t="shared" si="125"/>
        <v>1123532</v>
      </c>
      <c r="AP49" s="114">
        <f t="shared" si="125"/>
        <v>1054531</v>
      </c>
      <c r="AQ49" s="114">
        <f t="shared" si="167"/>
        <v>1113745</v>
      </c>
      <c r="AR49" s="114">
        <f t="shared" ref="AR49:AS49" si="168">SUM(AR50:AR66)</f>
        <v>1123532</v>
      </c>
      <c r="AS49" s="114">
        <f t="shared" si="168"/>
        <v>1054531</v>
      </c>
      <c r="AT49" s="114">
        <f t="shared" ref="AT49:AU49" si="169">SUM(AT50:AT66)</f>
        <v>1065576</v>
      </c>
      <c r="AU49" s="114">
        <f t="shared" si="169"/>
        <v>1011048</v>
      </c>
      <c r="AV49" s="114">
        <f>SUM(AV50:AV66)</f>
        <v>1005978</v>
      </c>
      <c r="AW49" s="114">
        <f t="shared" si="100"/>
        <v>2027754</v>
      </c>
      <c r="AX49" s="114">
        <f t="shared" ref="AX49:BF49" si="170">SUM(AX50:AX66)</f>
        <v>1011048</v>
      </c>
      <c r="AY49" s="114">
        <f t="shared" si="170"/>
        <v>1005978</v>
      </c>
      <c r="AZ49" s="114">
        <f t="shared" si="170"/>
        <v>2027754</v>
      </c>
      <c r="BA49" s="114">
        <f t="shared" si="170"/>
        <v>1807030</v>
      </c>
      <c r="BB49" s="114">
        <f t="shared" si="170"/>
        <v>1849668</v>
      </c>
      <c r="BC49" s="114">
        <f t="shared" si="170"/>
        <v>1855510</v>
      </c>
      <c r="BD49" s="114">
        <f t="shared" si="170"/>
        <v>1562439</v>
      </c>
      <c r="BE49" s="114">
        <f t="shared" si="170"/>
        <v>1849668</v>
      </c>
      <c r="BF49" s="114">
        <f t="shared" si="170"/>
        <v>1855510</v>
      </c>
      <c r="BG49" s="114">
        <f t="shared" ref="BG49:BH49" si="171">SUM(BG50:BG66)</f>
        <v>1562439</v>
      </c>
      <c r="BH49" s="114">
        <f t="shared" si="171"/>
        <v>1564713</v>
      </c>
      <c r="BI49" s="114">
        <f t="shared" ref="BI49:BL49" si="172">SUM(BI50:BI66)</f>
        <v>1714584</v>
      </c>
      <c r="BJ49" s="114">
        <f t="shared" si="172"/>
        <v>1712356</v>
      </c>
      <c r="BK49" s="114">
        <f t="shared" si="172"/>
        <v>1688204</v>
      </c>
      <c r="BL49" s="115">
        <f t="shared" si="172"/>
        <v>1714584</v>
      </c>
      <c r="BM49" s="115">
        <f t="shared" ref="BM49:BN49" si="173">SUM(BM50:BM66)</f>
        <v>1712356</v>
      </c>
      <c r="BN49" s="115">
        <f t="shared" si="173"/>
        <v>1688204</v>
      </c>
      <c r="BO49" s="115">
        <f t="shared" ref="BO49:BP49" si="174">SUM(BO50:BO66)</f>
        <v>1544229</v>
      </c>
      <c r="BP49" s="115">
        <f t="shared" si="174"/>
        <v>1675125</v>
      </c>
      <c r="BQ49" s="115">
        <f t="shared" ref="BQ49:BS49" si="175">SUM(BQ50:BQ66)</f>
        <v>1590097</v>
      </c>
      <c r="BR49" s="115">
        <f t="shared" si="175"/>
        <v>1504899</v>
      </c>
      <c r="BS49" s="115">
        <f t="shared" si="175"/>
        <v>1675125</v>
      </c>
      <c r="BT49" s="115">
        <f t="shared" ref="BT49:BU49" si="176">SUM(BT50:BT66)</f>
        <v>1590097</v>
      </c>
      <c r="BU49" s="115">
        <f t="shared" si="176"/>
        <v>1504899</v>
      </c>
      <c r="BV49" s="115">
        <f t="shared" ref="BV49" si="177">SUM(BV50:BV66)</f>
        <v>1517659</v>
      </c>
      <c r="BW49" s="115">
        <f t="shared" ref="BW49:CB49" si="178">SUM(BW50:BW66)</f>
        <v>1534442</v>
      </c>
      <c r="BX49" s="115">
        <f t="shared" si="178"/>
        <v>1469547</v>
      </c>
      <c r="BY49" s="115">
        <f t="shared" si="178"/>
        <v>1431761</v>
      </c>
      <c r="BZ49" s="115">
        <f t="shared" si="178"/>
        <v>1534442</v>
      </c>
      <c r="CA49" s="115">
        <f t="shared" si="178"/>
        <v>1469547</v>
      </c>
      <c r="CB49" s="115">
        <f t="shared" si="178"/>
        <v>1431761</v>
      </c>
      <c r="CC49" s="115">
        <f t="shared" ref="CC49:CD49" si="179">SUM(CC50:CC66)</f>
        <v>1443738</v>
      </c>
      <c r="CD49" s="115">
        <f t="shared" si="179"/>
        <v>1430170</v>
      </c>
      <c r="CE49" s="115">
        <f t="shared" ref="CE49:CG49" si="180">SUM(CE50:CE66)</f>
        <v>1420322</v>
      </c>
      <c r="CF49" s="115">
        <f t="shared" si="180"/>
        <v>759755</v>
      </c>
      <c r="CG49" s="115">
        <f t="shared" si="180"/>
        <v>1430170</v>
      </c>
      <c r="CH49" s="115">
        <f t="shared" ref="CH49:CI49" si="181">SUM(CH50:CH66)</f>
        <v>1420322</v>
      </c>
      <c r="CI49" s="115">
        <f t="shared" si="181"/>
        <v>759755</v>
      </c>
      <c r="CJ49" s="115">
        <v>508242</v>
      </c>
      <c r="CK49" s="115">
        <f t="shared" ref="CK49:CO49" si="182">SUM(CK50:CK66)</f>
        <v>523650</v>
      </c>
      <c r="CL49" s="115">
        <f t="shared" si="182"/>
        <v>0</v>
      </c>
      <c r="CM49" s="115">
        <f t="shared" si="182"/>
        <v>0</v>
      </c>
      <c r="CN49" s="115">
        <f t="shared" si="182"/>
        <v>523650</v>
      </c>
      <c r="CO49" s="115">
        <f t="shared" si="182"/>
        <v>0</v>
      </c>
    </row>
    <row r="50" spans="1:93" s="92" customFormat="1" x14ac:dyDescent="0.25">
      <c r="A50" s="121" t="s">
        <v>318</v>
      </c>
      <c r="B50" s="108"/>
      <c r="C50" s="108"/>
      <c r="D50" s="108"/>
      <c r="E50" s="106"/>
      <c r="F50" s="108"/>
      <c r="G50" s="108"/>
      <c r="H50" s="108"/>
      <c r="I50" s="106"/>
      <c r="J50" s="108"/>
      <c r="K50" s="108"/>
      <c r="L50" s="108"/>
      <c r="M50" s="106"/>
      <c r="N50" s="108">
        <v>1374</v>
      </c>
      <c r="O50" s="108">
        <v>1378</v>
      </c>
      <c r="P50" s="108">
        <v>1374</v>
      </c>
      <c r="Q50" s="108">
        <v>1374</v>
      </c>
      <c r="R50" s="107">
        <v>1374</v>
      </c>
      <c r="S50" s="108">
        <f t="shared" si="20"/>
        <v>0</v>
      </c>
      <c r="T50" s="108">
        <f t="shared" si="21"/>
        <v>0</v>
      </c>
      <c r="U50" s="108">
        <f t="shared" si="22"/>
        <v>8</v>
      </c>
      <c r="V50" s="108"/>
      <c r="W50" s="108">
        <v>0</v>
      </c>
      <c r="X50" s="108">
        <v>8</v>
      </c>
      <c r="Y50" s="107">
        <v>1982</v>
      </c>
      <c r="Z50" s="108"/>
      <c r="AA50" s="108"/>
      <c r="AB50" s="108"/>
      <c r="AC50" s="108"/>
      <c r="AD50" s="108"/>
      <c r="AE50" s="108"/>
      <c r="AF50" s="107"/>
      <c r="AG50" s="108"/>
      <c r="AH50" s="108"/>
      <c r="AI50" s="108"/>
      <c r="AJ50" s="108"/>
      <c r="AK50" s="108"/>
      <c r="AL50" s="108"/>
      <c r="AM50" s="107">
        <v>547</v>
      </c>
      <c r="AN50" s="108">
        <f t="shared" si="125"/>
        <v>284</v>
      </c>
      <c r="AO50" s="108">
        <f t="shared" si="125"/>
        <v>284</v>
      </c>
      <c r="AP50" s="108"/>
      <c r="AQ50" s="108">
        <v>284</v>
      </c>
      <c r="AR50" s="108">
        <v>284</v>
      </c>
      <c r="AS50" s="108"/>
      <c r="AT50" s="107">
        <v>2531</v>
      </c>
      <c r="AU50" s="107">
        <f>AX50</f>
        <v>733</v>
      </c>
      <c r="AV50" s="107">
        <f>AY50</f>
        <v>620</v>
      </c>
      <c r="AW50" s="107">
        <f t="shared" si="100"/>
        <v>1149</v>
      </c>
      <c r="AX50" s="107">
        <v>733</v>
      </c>
      <c r="AY50" s="107">
        <v>620</v>
      </c>
      <c r="AZ50" s="107">
        <v>1149</v>
      </c>
      <c r="BA50" s="107">
        <v>591</v>
      </c>
      <c r="BB50" s="107">
        <f>BE50</f>
        <v>587</v>
      </c>
      <c r="BC50" s="107">
        <f>BF50</f>
        <v>459</v>
      </c>
      <c r="BD50" s="107">
        <f>BG50</f>
        <v>427</v>
      </c>
      <c r="BE50" s="107">
        <v>587</v>
      </c>
      <c r="BF50" s="107">
        <v>459</v>
      </c>
      <c r="BG50" s="107">
        <v>427</v>
      </c>
      <c r="BH50" s="107">
        <v>586</v>
      </c>
      <c r="BI50" s="107">
        <f>BL50</f>
        <v>607</v>
      </c>
      <c r="BJ50" s="107">
        <f>BM50</f>
        <v>634</v>
      </c>
      <c r="BK50" s="107">
        <f>BN50</f>
        <v>1320</v>
      </c>
      <c r="BL50" s="772">
        <v>607</v>
      </c>
      <c r="BM50" s="772">
        <v>634</v>
      </c>
      <c r="BN50" s="772">
        <v>1320</v>
      </c>
      <c r="BO50" s="772">
        <v>447</v>
      </c>
      <c r="BP50" s="772">
        <f>BS50</f>
        <v>953</v>
      </c>
      <c r="BQ50" s="772">
        <f>BT50</f>
        <v>1487</v>
      </c>
      <c r="BR50" s="772">
        <f>BU50</f>
        <v>1729</v>
      </c>
      <c r="BS50" s="772">
        <v>953</v>
      </c>
      <c r="BT50" s="772">
        <v>1487</v>
      </c>
      <c r="BU50" s="772">
        <v>1729</v>
      </c>
      <c r="BV50" s="772">
        <v>13088</v>
      </c>
      <c r="BW50" s="772">
        <f>BZ50</f>
        <v>14615</v>
      </c>
      <c r="BX50" s="772">
        <f>CA50</f>
        <v>21102</v>
      </c>
      <c r="BY50" s="772">
        <f>CB50</f>
        <v>17150</v>
      </c>
      <c r="BZ50" s="772">
        <v>14615</v>
      </c>
      <c r="CA50" s="772">
        <v>21102</v>
      </c>
      <c r="CB50" s="772">
        <v>17150</v>
      </c>
      <c r="CC50" s="772">
        <v>21420</v>
      </c>
      <c r="CD50" s="772">
        <f>CG50</f>
        <v>29349</v>
      </c>
      <c r="CE50" s="772">
        <f>CH50</f>
        <v>30075</v>
      </c>
      <c r="CF50" s="772">
        <f>CI50</f>
        <v>27240</v>
      </c>
      <c r="CG50" s="772">
        <v>29349</v>
      </c>
      <c r="CH50" s="772">
        <v>30075</v>
      </c>
      <c r="CI50" s="772">
        <v>27240</v>
      </c>
      <c r="CJ50" s="772">
        <v>27550</v>
      </c>
      <c r="CK50" s="772">
        <f>CN50</f>
        <v>33200</v>
      </c>
      <c r="CL50" s="772"/>
      <c r="CM50" s="772"/>
      <c r="CN50" s="772">
        <v>33200</v>
      </c>
      <c r="CO50" s="772"/>
    </row>
    <row r="51" spans="1:93" s="92" customFormat="1" x14ac:dyDescent="0.25">
      <c r="A51" s="121" t="str">
        <f>Language!AA44</f>
        <v>Empréstimos e Financiamentos</v>
      </c>
      <c r="B51" s="108">
        <v>533025</v>
      </c>
      <c r="C51" s="108">
        <v>497923</v>
      </c>
      <c r="D51" s="108">
        <v>479308</v>
      </c>
      <c r="E51" s="106">
        <v>519593</v>
      </c>
      <c r="F51" s="108">
        <v>448473</v>
      </c>
      <c r="G51" s="108">
        <v>440353</v>
      </c>
      <c r="H51" s="108">
        <v>622724</v>
      </c>
      <c r="I51" s="106">
        <v>639937</v>
      </c>
      <c r="J51" s="108">
        <v>684224</v>
      </c>
      <c r="K51" s="108">
        <v>673105</v>
      </c>
      <c r="L51" s="108">
        <v>682699</v>
      </c>
      <c r="M51" s="106">
        <v>947160</v>
      </c>
      <c r="N51" s="108">
        <v>1077945</v>
      </c>
      <c r="O51" s="108">
        <v>1101656</v>
      </c>
      <c r="P51" s="108">
        <v>1356293</v>
      </c>
      <c r="Q51" s="108">
        <v>1346773</v>
      </c>
      <c r="R51" s="107">
        <v>1200836</v>
      </c>
      <c r="S51" s="108">
        <f t="shared" si="20"/>
        <v>0</v>
      </c>
      <c r="T51" s="108">
        <f t="shared" si="21"/>
        <v>1306810</v>
      </c>
      <c r="U51" s="108">
        <f t="shared" si="22"/>
        <v>677424</v>
      </c>
      <c r="V51" s="108"/>
      <c r="W51" s="108">
        <v>1306810</v>
      </c>
      <c r="X51" s="108">
        <v>677424</v>
      </c>
      <c r="Y51" s="107">
        <v>759329</v>
      </c>
      <c r="Z51" s="108">
        <f t="shared" si="23"/>
        <v>761693</v>
      </c>
      <c r="AA51" s="108">
        <f t="shared" si="24"/>
        <v>826723</v>
      </c>
      <c r="AB51" s="108">
        <f t="shared" si="25"/>
        <v>722503</v>
      </c>
      <c r="AC51" s="108">
        <v>761693</v>
      </c>
      <c r="AD51" s="108">
        <v>826723</v>
      </c>
      <c r="AE51" s="108">
        <v>722503</v>
      </c>
      <c r="AF51" s="107">
        <v>874215</v>
      </c>
      <c r="AG51" s="108">
        <f t="shared" si="97"/>
        <v>808056</v>
      </c>
      <c r="AH51" s="108">
        <f t="shared" si="98"/>
        <v>285787</v>
      </c>
      <c r="AI51" s="108">
        <f t="shared" si="99"/>
        <v>507082</v>
      </c>
      <c r="AJ51" s="108">
        <v>808056</v>
      </c>
      <c r="AK51" s="108">
        <v>285787</v>
      </c>
      <c r="AL51" s="108">
        <v>507082</v>
      </c>
      <c r="AM51" s="107">
        <v>543252</v>
      </c>
      <c r="AN51" s="108">
        <f t="shared" si="125"/>
        <v>459739</v>
      </c>
      <c r="AO51" s="108">
        <f t="shared" si="125"/>
        <v>426311</v>
      </c>
      <c r="AP51" s="108">
        <f t="shared" si="125"/>
        <v>400892</v>
      </c>
      <c r="AQ51" s="108">
        <v>459739</v>
      </c>
      <c r="AR51" s="108">
        <v>426311</v>
      </c>
      <c r="AS51" s="108">
        <v>400892</v>
      </c>
      <c r="AT51" s="107">
        <v>392089</v>
      </c>
      <c r="AU51" s="107">
        <f t="shared" ref="AU51:AU66" si="183">AX51</f>
        <v>377883</v>
      </c>
      <c r="AV51" s="107">
        <f t="shared" ref="AV51:AV66" si="184">AY51</f>
        <v>356447</v>
      </c>
      <c r="AW51" s="107">
        <f t="shared" si="100"/>
        <v>1345130</v>
      </c>
      <c r="AX51" s="107">
        <v>377883</v>
      </c>
      <c r="AY51" s="107">
        <v>356447</v>
      </c>
      <c r="AZ51" s="107">
        <v>1345130</v>
      </c>
      <c r="BA51" s="107">
        <v>1155984</v>
      </c>
      <c r="BB51" s="107">
        <f t="shared" ref="BB51:BB66" si="185">BE51</f>
        <v>1197356</v>
      </c>
      <c r="BC51" s="107">
        <f t="shared" ref="BC51:BC66" si="186">BF51</f>
        <v>1196202</v>
      </c>
      <c r="BD51" s="107">
        <f t="shared" ref="BD51:BD66" si="187">BG51</f>
        <v>1191988</v>
      </c>
      <c r="BE51" s="107">
        <v>1197356</v>
      </c>
      <c r="BF51" s="107">
        <v>1196202</v>
      </c>
      <c r="BG51" s="107">
        <v>1191988</v>
      </c>
      <c r="BH51" s="107">
        <v>1204707</v>
      </c>
      <c r="BI51" s="107">
        <f t="shared" ref="BI51:BI66" si="188">BL51</f>
        <v>1237508</v>
      </c>
      <c r="BJ51" s="107">
        <f t="shared" ref="BJ51:BJ66" si="189">BM51</f>
        <v>1251975</v>
      </c>
      <c r="BK51" s="107">
        <f t="shared" ref="BK51:BK66" si="190">BN51</f>
        <v>1254506</v>
      </c>
      <c r="BL51" s="772">
        <v>1237508</v>
      </c>
      <c r="BM51" s="772">
        <v>1251975</v>
      </c>
      <c r="BN51" s="772">
        <v>1254506</v>
      </c>
      <c r="BO51" s="772">
        <v>1270852</v>
      </c>
      <c r="BP51" s="772">
        <f t="shared" ref="BP51:BP66" si="191">BS51</f>
        <v>1225936</v>
      </c>
      <c r="BQ51" s="772">
        <f t="shared" ref="BQ51:BQ66" si="192">BT51</f>
        <v>1137185</v>
      </c>
      <c r="BR51" s="772">
        <f t="shared" ref="BR51:BR66" si="193">BU51</f>
        <v>1049325</v>
      </c>
      <c r="BS51" s="772">
        <v>1225936</v>
      </c>
      <c r="BT51" s="772">
        <v>1137185</v>
      </c>
      <c r="BU51" s="772">
        <v>1049325</v>
      </c>
      <c r="BV51" s="772">
        <v>1051459</v>
      </c>
      <c r="BW51" s="772">
        <f t="shared" ref="BW51:BW66" si="194">BZ51</f>
        <v>1083769</v>
      </c>
      <c r="BX51" s="772">
        <f t="shared" ref="BX51:BX66" si="195">CA51</f>
        <v>995123</v>
      </c>
      <c r="BY51" s="772">
        <f t="shared" ref="BY51:BY66" si="196">CB51</f>
        <v>945739</v>
      </c>
      <c r="BZ51" s="772">
        <v>1083769</v>
      </c>
      <c r="CA51" s="772">
        <v>995123</v>
      </c>
      <c r="CB51" s="772">
        <v>945739</v>
      </c>
      <c r="CC51" s="772">
        <v>948766</v>
      </c>
      <c r="CD51" s="772">
        <f t="shared" ref="CD51:CD66" si="197">CG51</f>
        <v>927517</v>
      </c>
      <c r="CE51" s="772">
        <f t="shared" ref="CE51:CE66" si="198">CH51</f>
        <v>913663</v>
      </c>
      <c r="CF51" s="772">
        <f t="shared" ref="CF51:CF66" si="199">CI51</f>
        <v>255815</v>
      </c>
      <c r="CG51" s="772">
        <v>927517</v>
      </c>
      <c r="CH51" s="772">
        <v>913663</v>
      </c>
      <c r="CI51" s="772">
        <v>255815</v>
      </c>
      <c r="CJ51" s="772">
        <v>10059</v>
      </c>
      <c r="CK51" s="772">
        <f t="shared" ref="CK51:CK66" si="200">CN51</f>
        <v>17117</v>
      </c>
      <c r="CL51" s="772"/>
      <c r="CM51" s="772"/>
      <c r="CN51" s="772">
        <v>17117</v>
      </c>
      <c r="CO51" s="772"/>
    </row>
    <row r="52" spans="1:93" s="92" customFormat="1" x14ac:dyDescent="0.25">
      <c r="A52" s="121" t="s">
        <v>149</v>
      </c>
      <c r="B52" s="108">
        <v>0</v>
      </c>
      <c r="C52" s="108">
        <v>0</v>
      </c>
      <c r="D52" s="108">
        <v>0</v>
      </c>
      <c r="E52" s="108">
        <v>0</v>
      </c>
      <c r="F52" s="108">
        <v>0</v>
      </c>
      <c r="G52" s="108">
        <v>0</v>
      </c>
      <c r="H52" s="108">
        <v>0</v>
      </c>
      <c r="I52" s="108">
        <v>0</v>
      </c>
      <c r="J52" s="108">
        <v>0</v>
      </c>
      <c r="K52" s="108">
        <v>0</v>
      </c>
      <c r="L52" s="108">
        <v>0</v>
      </c>
      <c r="M52" s="108">
        <v>0</v>
      </c>
      <c r="N52" s="108">
        <v>0</v>
      </c>
      <c r="O52" s="108">
        <v>0</v>
      </c>
      <c r="P52" s="108">
        <v>0</v>
      </c>
      <c r="Q52" s="108">
        <v>0</v>
      </c>
      <c r="R52" s="108">
        <v>0</v>
      </c>
      <c r="S52" s="108">
        <f t="shared" si="20"/>
        <v>0</v>
      </c>
      <c r="T52" s="108">
        <f t="shared" si="21"/>
        <v>0</v>
      </c>
      <c r="U52" s="108">
        <f t="shared" si="22"/>
        <v>0</v>
      </c>
      <c r="V52" s="108"/>
      <c r="W52" s="108">
        <v>0</v>
      </c>
      <c r="X52" s="108">
        <v>0</v>
      </c>
      <c r="Y52" s="108">
        <v>0</v>
      </c>
      <c r="Z52" s="108"/>
      <c r="AA52" s="108"/>
      <c r="AB52" s="108"/>
      <c r="AC52" s="108"/>
      <c r="AD52" s="108"/>
      <c r="AE52" s="108"/>
      <c r="AF52" s="108"/>
      <c r="AG52" s="108"/>
      <c r="AH52" s="108"/>
      <c r="AI52" s="108"/>
      <c r="AJ52" s="108"/>
      <c r="AK52" s="108"/>
      <c r="AL52" s="108"/>
      <c r="AM52" s="108">
        <v>67448</v>
      </c>
      <c r="AN52" s="108">
        <f t="shared" si="125"/>
        <v>58650</v>
      </c>
      <c r="AO52" s="108">
        <f t="shared" si="125"/>
        <v>56159</v>
      </c>
      <c r="AP52" s="108">
        <f t="shared" si="125"/>
        <v>47304</v>
      </c>
      <c r="AQ52" s="108">
        <v>58650</v>
      </c>
      <c r="AR52" s="108">
        <v>56159</v>
      </c>
      <c r="AS52" s="108">
        <v>47304</v>
      </c>
      <c r="AT52" s="107">
        <v>30626</v>
      </c>
      <c r="AU52" s="107">
        <f t="shared" si="183"/>
        <v>23059</v>
      </c>
      <c r="AV52" s="107">
        <f t="shared" si="184"/>
        <v>18467</v>
      </c>
      <c r="AW52" s="107">
        <f t="shared" si="100"/>
        <v>7387</v>
      </c>
      <c r="AX52" s="107">
        <v>23059</v>
      </c>
      <c r="AY52" s="107">
        <v>18467</v>
      </c>
      <c r="AZ52" s="107">
        <v>7387</v>
      </c>
      <c r="BA52" s="107">
        <v>0</v>
      </c>
      <c r="BB52" s="107">
        <f t="shared" si="185"/>
        <v>0</v>
      </c>
      <c r="BC52" s="107">
        <f t="shared" si="186"/>
        <v>0</v>
      </c>
      <c r="BD52" s="107">
        <f t="shared" si="187"/>
        <v>0</v>
      </c>
      <c r="BE52" s="107">
        <v>0</v>
      </c>
      <c r="BF52" s="107">
        <v>0</v>
      </c>
      <c r="BG52" s="107">
        <v>0</v>
      </c>
      <c r="BH52" s="107">
        <v>0</v>
      </c>
      <c r="BI52" s="107">
        <f t="shared" si="188"/>
        <v>0</v>
      </c>
      <c r="BJ52" s="107">
        <f t="shared" si="189"/>
        <v>0</v>
      </c>
      <c r="BK52" s="107">
        <f t="shared" si="190"/>
        <v>0</v>
      </c>
      <c r="BL52" s="772">
        <v>0</v>
      </c>
      <c r="BM52" s="772">
        <v>0</v>
      </c>
      <c r="BN52" s="772">
        <v>0</v>
      </c>
      <c r="BO52" s="772">
        <v>0</v>
      </c>
      <c r="BP52" s="772">
        <f t="shared" si="191"/>
        <v>0</v>
      </c>
      <c r="BQ52" s="772">
        <f t="shared" si="192"/>
        <v>0</v>
      </c>
      <c r="BR52" s="772">
        <f t="shared" si="193"/>
        <v>0</v>
      </c>
      <c r="BS52" s="772">
        <v>0</v>
      </c>
      <c r="BT52" s="772">
        <v>0</v>
      </c>
      <c r="BU52" s="772">
        <v>0</v>
      </c>
      <c r="BV52" s="772">
        <v>0</v>
      </c>
      <c r="BW52" s="772">
        <f t="shared" si="194"/>
        <v>0</v>
      </c>
      <c r="BX52" s="772">
        <f t="shared" si="195"/>
        <v>0</v>
      </c>
      <c r="BY52" s="772">
        <f t="shared" si="196"/>
        <v>0</v>
      </c>
      <c r="BZ52" s="772">
        <v>0</v>
      </c>
      <c r="CA52" s="772">
        <v>0</v>
      </c>
      <c r="CB52" s="772">
        <v>0</v>
      </c>
      <c r="CC52" s="772">
        <v>0</v>
      </c>
      <c r="CD52" s="772">
        <f t="shared" si="197"/>
        <v>0</v>
      </c>
      <c r="CE52" s="772">
        <f t="shared" si="198"/>
        <v>0</v>
      </c>
      <c r="CF52" s="772">
        <f t="shared" si="199"/>
        <v>0</v>
      </c>
      <c r="CG52" s="772">
        <v>0</v>
      </c>
      <c r="CH52" s="772">
        <v>0</v>
      </c>
      <c r="CI52" s="772">
        <v>0</v>
      </c>
      <c r="CJ52" s="772">
        <v>0</v>
      </c>
      <c r="CK52" s="772">
        <f t="shared" si="200"/>
        <v>0</v>
      </c>
      <c r="CL52" s="772"/>
      <c r="CM52" s="772"/>
      <c r="CN52" s="772">
        <v>0</v>
      </c>
      <c r="CO52" s="772"/>
    </row>
    <row r="53" spans="1:93" s="92" customFormat="1" x14ac:dyDescent="0.25">
      <c r="A53" s="121" t="str">
        <f>Language!AA45</f>
        <v>Debêntures</v>
      </c>
      <c r="B53" s="108">
        <v>180964</v>
      </c>
      <c r="C53" s="108">
        <v>463147</v>
      </c>
      <c r="D53" s="108">
        <v>528445</v>
      </c>
      <c r="E53" s="106">
        <v>500972</v>
      </c>
      <c r="F53" s="108">
        <v>607506</v>
      </c>
      <c r="G53" s="108">
        <v>470086</v>
      </c>
      <c r="H53" s="108">
        <v>747146</v>
      </c>
      <c r="I53" s="106">
        <v>1180357</v>
      </c>
      <c r="J53" s="108">
        <v>1173145</v>
      </c>
      <c r="K53" s="108">
        <v>1181002</v>
      </c>
      <c r="L53" s="108">
        <v>1291525</v>
      </c>
      <c r="M53" s="106">
        <v>1193220</v>
      </c>
      <c r="N53" s="108">
        <v>1140049</v>
      </c>
      <c r="O53" s="108">
        <v>1320112</v>
      </c>
      <c r="P53" s="108">
        <v>1316293</v>
      </c>
      <c r="Q53" s="108">
        <v>1480378</v>
      </c>
      <c r="R53" s="107">
        <v>1639256</v>
      </c>
      <c r="S53" s="108">
        <f t="shared" si="20"/>
        <v>0</v>
      </c>
      <c r="T53" s="108">
        <f t="shared" si="21"/>
        <v>759749</v>
      </c>
      <c r="U53" s="108">
        <f t="shared" si="22"/>
        <v>863580</v>
      </c>
      <c r="V53" s="108"/>
      <c r="W53" s="108">
        <v>759749</v>
      </c>
      <c r="X53" s="108">
        <v>863580</v>
      </c>
      <c r="Y53" s="107">
        <v>879989</v>
      </c>
      <c r="Z53" s="108">
        <f t="shared" si="23"/>
        <v>807522</v>
      </c>
      <c r="AA53" s="108">
        <f t="shared" si="24"/>
        <v>770542</v>
      </c>
      <c r="AB53" s="108">
        <f t="shared" si="25"/>
        <v>1215935</v>
      </c>
      <c r="AC53" s="108">
        <v>807522</v>
      </c>
      <c r="AD53" s="108">
        <v>770542</v>
      </c>
      <c r="AE53" s="108">
        <v>1215935</v>
      </c>
      <c r="AF53" s="107">
        <v>1236813</v>
      </c>
      <c r="AG53" s="108">
        <f t="shared" si="97"/>
        <v>1229145</v>
      </c>
      <c r="AH53" s="108">
        <f t="shared" si="98"/>
        <v>347062</v>
      </c>
      <c r="AI53" s="108">
        <f t="shared" si="99"/>
        <v>174400</v>
      </c>
      <c r="AJ53" s="108">
        <v>1229145</v>
      </c>
      <c r="AK53" s="108">
        <v>347062</v>
      </c>
      <c r="AL53" s="108">
        <v>174400</v>
      </c>
      <c r="AM53" s="107">
        <v>61199</v>
      </c>
      <c r="AN53" s="108">
        <f t="shared" si="125"/>
        <v>107819</v>
      </c>
      <c r="AO53" s="108">
        <f t="shared" si="125"/>
        <v>108493</v>
      </c>
      <c r="AP53" s="108">
        <f t="shared" si="125"/>
        <v>72139</v>
      </c>
      <c r="AQ53" s="108">
        <v>107819</v>
      </c>
      <c r="AR53" s="108">
        <v>108493</v>
      </c>
      <c r="AS53" s="108">
        <v>72139</v>
      </c>
      <c r="AT53" s="107">
        <v>74828</v>
      </c>
      <c r="AU53" s="107">
        <f t="shared" si="183"/>
        <v>30763</v>
      </c>
      <c r="AV53" s="107">
        <f t="shared" si="184"/>
        <v>14586</v>
      </c>
      <c r="AW53" s="107">
        <f t="shared" si="100"/>
        <v>6026</v>
      </c>
      <c r="AX53" s="107">
        <v>30763</v>
      </c>
      <c r="AY53" s="107">
        <v>14586</v>
      </c>
      <c r="AZ53" s="107">
        <v>6026</v>
      </c>
      <c r="BA53" s="107">
        <v>113</v>
      </c>
      <c r="BB53" s="107">
        <f t="shared" si="185"/>
        <v>0</v>
      </c>
      <c r="BC53" s="107">
        <f t="shared" si="186"/>
        <v>0</v>
      </c>
      <c r="BD53" s="107">
        <f t="shared" si="187"/>
        <v>0</v>
      </c>
      <c r="BE53" s="107">
        <v>0</v>
      </c>
      <c r="BF53" s="107">
        <v>0</v>
      </c>
      <c r="BG53" s="107">
        <v>0</v>
      </c>
      <c r="BH53" s="107">
        <v>0</v>
      </c>
      <c r="BI53" s="107">
        <f t="shared" si="188"/>
        <v>140462</v>
      </c>
      <c r="BJ53" s="107">
        <f t="shared" si="189"/>
        <v>102000</v>
      </c>
      <c r="BK53" s="107">
        <f t="shared" si="190"/>
        <v>95500</v>
      </c>
      <c r="BL53" s="772">
        <v>140462</v>
      </c>
      <c r="BM53" s="772">
        <v>102000</v>
      </c>
      <c r="BN53" s="772">
        <v>95500</v>
      </c>
      <c r="BO53" s="772">
        <v>88428</v>
      </c>
      <c r="BP53" s="772">
        <f t="shared" si="191"/>
        <v>260375</v>
      </c>
      <c r="BQ53" s="772">
        <f t="shared" si="192"/>
        <v>272039</v>
      </c>
      <c r="BR53" s="772">
        <f t="shared" si="193"/>
        <v>279935</v>
      </c>
      <c r="BS53" s="772">
        <v>260375</v>
      </c>
      <c r="BT53" s="772">
        <v>272039</v>
      </c>
      <c r="BU53" s="772">
        <v>279935</v>
      </c>
      <c r="BV53" s="772">
        <v>280266</v>
      </c>
      <c r="BW53" s="772">
        <f t="shared" si="194"/>
        <v>272772</v>
      </c>
      <c r="BX53" s="772">
        <f t="shared" si="195"/>
        <v>290194</v>
      </c>
      <c r="BY53" s="772">
        <f t="shared" si="196"/>
        <v>293234</v>
      </c>
      <c r="BZ53" s="772">
        <v>272772</v>
      </c>
      <c r="CA53" s="772">
        <v>290194</v>
      </c>
      <c r="CB53" s="772">
        <v>293234</v>
      </c>
      <c r="CC53" s="772">
        <v>292823</v>
      </c>
      <c r="CD53" s="772">
        <f t="shared" si="197"/>
        <v>296172</v>
      </c>
      <c r="CE53" s="772">
        <f t="shared" si="198"/>
        <v>292417</v>
      </c>
      <c r="CF53" s="772">
        <f t="shared" si="199"/>
        <v>297461</v>
      </c>
      <c r="CG53" s="772">
        <v>296172</v>
      </c>
      <c r="CH53" s="772">
        <v>292417</v>
      </c>
      <c r="CI53" s="772">
        <v>297461</v>
      </c>
      <c r="CJ53" s="772">
        <v>297505</v>
      </c>
      <c r="CK53" s="772">
        <f t="shared" si="200"/>
        <v>301860</v>
      </c>
      <c r="CL53" s="772"/>
      <c r="CM53" s="772"/>
      <c r="CN53" s="772">
        <v>301860</v>
      </c>
      <c r="CO53" s="772"/>
    </row>
    <row r="54" spans="1:93" s="92" customFormat="1" x14ac:dyDescent="0.25">
      <c r="A54" s="121" t="str">
        <f>Language!AA46</f>
        <v>Provisão para Manutenção</v>
      </c>
      <c r="B54" s="108"/>
      <c r="C54" s="108"/>
      <c r="D54" s="108"/>
      <c r="E54" s="106"/>
      <c r="F54" s="108"/>
      <c r="G54" s="108"/>
      <c r="H54" s="108"/>
      <c r="I54" s="106"/>
      <c r="J54" s="108"/>
      <c r="K54" s="108">
        <v>28437</v>
      </c>
      <c r="L54" s="108">
        <v>28437</v>
      </c>
      <c r="M54" s="106">
        <v>21230</v>
      </c>
      <c r="N54" s="108">
        <v>18571</v>
      </c>
      <c r="O54" s="108">
        <v>49031</v>
      </c>
      <c r="P54" s="108">
        <v>46496</v>
      </c>
      <c r="Q54" s="108">
        <v>79345</v>
      </c>
      <c r="R54" s="107">
        <v>99465</v>
      </c>
      <c r="S54" s="108">
        <f t="shared" si="20"/>
        <v>0</v>
      </c>
      <c r="T54" s="108">
        <f t="shared" si="21"/>
        <v>108208</v>
      </c>
      <c r="U54" s="108">
        <f t="shared" si="22"/>
        <v>120548</v>
      </c>
      <c r="V54" s="108"/>
      <c r="W54" s="108">
        <v>108208</v>
      </c>
      <c r="X54" s="108">
        <v>120548</v>
      </c>
      <c r="Y54" s="107">
        <v>132200</v>
      </c>
      <c r="Z54" s="108">
        <f t="shared" si="23"/>
        <v>143999</v>
      </c>
      <c r="AA54" s="108">
        <f t="shared" si="24"/>
        <v>155990</v>
      </c>
      <c r="AB54" s="108">
        <f t="shared" si="25"/>
        <v>154939</v>
      </c>
      <c r="AC54" s="108">
        <v>143999</v>
      </c>
      <c r="AD54" s="108">
        <v>155990</v>
      </c>
      <c r="AE54" s="108">
        <v>154939</v>
      </c>
      <c r="AF54" s="107">
        <v>166077</v>
      </c>
      <c r="AG54" s="108">
        <f t="shared" si="97"/>
        <v>176923</v>
      </c>
      <c r="AH54" s="108">
        <f t="shared" si="98"/>
        <v>188205</v>
      </c>
      <c r="AI54" s="108">
        <f t="shared" si="99"/>
        <v>210907</v>
      </c>
      <c r="AJ54" s="108">
        <v>176923</v>
      </c>
      <c r="AK54" s="108">
        <v>188205</v>
      </c>
      <c r="AL54" s="108">
        <v>210907</v>
      </c>
      <c r="AM54" s="107">
        <v>223388</v>
      </c>
      <c r="AN54" s="108">
        <f t="shared" si="125"/>
        <v>236056</v>
      </c>
      <c r="AO54" s="108">
        <f t="shared" si="125"/>
        <v>248906</v>
      </c>
      <c r="AP54" s="108">
        <f t="shared" si="125"/>
        <v>261602</v>
      </c>
      <c r="AQ54" s="108">
        <v>236056</v>
      </c>
      <c r="AR54" s="108">
        <v>248906</v>
      </c>
      <c r="AS54" s="108">
        <v>261602</v>
      </c>
      <c r="AT54" s="107">
        <v>272412</v>
      </c>
      <c r="AU54" s="107">
        <f t="shared" si="183"/>
        <v>283693</v>
      </c>
      <c r="AV54" s="107">
        <f t="shared" si="184"/>
        <v>295089</v>
      </c>
      <c r="AW54" s="107">
        <f t="shared" si="100"/>
        <v>309759</v>
      </c>
      <c r="AX54" s="107">
        <v>283693</v>
      </c>
      <c r="AY54" s="107">
        <v>295089</v>
      </c>
      <c r="AZ54" s="107">
        <v>309759</v>
      </c>
      <c r="BA54" s="107">
        <v>304589</v>
      </c>
      <c r="BB54" s="107">
        <f t="shared" si="185"/>
        <v>299509</v>
      </c>
      <c r="BC54" s="107">
        <f t="shared" si="186"/>
        <v>294549</v>
      </c>
      <c r="BD54" s="107">
        <f t="shared" si="187"/>
        <v>6326</v>
      </c>
      <c r="BE54" s="107">
        <v>299509</v>
      </c>
      <c r="BF54" s="107">
        <v>294549</v>
      </c>
      <c r="BG54" s="107">
        <v>6326</v>
      </c>
      <c r="BH54" s="107">
        <v>5787</v>
      </c>
      <c r="BI54" s="107">
        <f t="shared" si="188"/>
        <v>5249</v>
      </c>
      <c r="BJ54" s="107">
        <f t="shared" si="189"/>
        <v>4710</v>
      </c>
      <c r="BK54" s="107">
        <f t="shared" si="190"/>
        <v>4172</v>
      </c>
      <c r="BL54" s="772">
        <v>5249</v>
      </c>
      <c r="BM54" s="772">
        <v>4710</v>
      </c>
      <c r="BN54" s="772">
        <v>4172</v>
      </c>
      <c r="BO54" s="772">
        <v>4212</v>
      </c>
      <c r="BP54" s="772">
        <f t="shared" si="191"/>
        <v>4253</v>
      </c>
      <c r="BQ54" s="772">
        <f t="shared" si="192"/>
        <v>4293</v>
      </c>
      <c r="BR54" s="772">
        <f t="shared" si="193"/>
        <v>4334</v>
      </c>
      <c r="BS54" s="772">
        <v>4253</v>
      </c>
      <c r="BT54" s="772">
        <v>4293</v>
      </c>
      <c r="BU54" s="772">
        <v>4334</v>
      </c>
      <c r="BV54" s="772">
        <v>3929</v>
      </c>
      <c r="BW54" s="772">
        <f t="shared" si="194"/>
        <v>3524</v>
      </c>
      <c r="BX54" s="772">
        <f t="shared" si="195"/>
        <v>3119</v>
      </c>
      <c r="BY54" s="772">
        <f t="shared" si="196"/>
        <v>2714</v>
      </c>
      <c r="BZ54" s="772">
        <v>3524</v>
      </c>
      <c r="CA54" s="772">
        <v>3119</v>
      </c>
      <c r="CB54" s="772">
        <v>2714</v>
      </c>
      <c r="CC54" s="772">
        <v>2036</v>
      </c>
      <c r="CD54" s="772">
        <f t="shared" si="197"/>
        <v>5106</v>
      </c>
      <c r="CE54" s="772">
        <f t="shared" si="198"/>
        <v>5194</v>
      </c>
      <c r="CF54" s="772">
        <f t="shared" si="199"/>
        <v>5435</v>
      </c>
      <c r="CG54" s="772">
        <v>5106</v>
      </c>
      <c r="CH54" s="772">
        <v>5194</v>
      </c>
      <c r="CI54" s="772">
        <v>5435</v>
      </c>
      <c r="CJ54" s="772">
        <v>5294</v>
      </c>
      <c r="CK54" s="772">
        <f t="shared" si="200"/>
        <v>5153</v>
      </c>
      <c r="CL54" s="772"/>
      <c r="CM54" s="772"/>
      <c r="CN54" s="772">
        <v>5153</v>
      </c>
      <c r="CO54" s="772"/>
    </row>
    <row r="55" spans="1:93" s="92" customFormat="1" x14ac:dyDescent="0.25">
      <c r="A55" s="121" t="str">
        <f>Language!AA47</f>
        <v>Obrigações da Concessão</v>
      </c>
      <c r="B55" s="108">
        <v>31424</v>
      </c>
      <c r="C55" s="108">
        <v>34308</v>
      </c>
      <c r="D55" s="108">
        <v>24262</v>
      </c>
      <c r="E55" s="106">
        <v>26713</v>
      </c>
      <c r="F55" s="108">
        <v>28437</v>
      </c>
      <c r="G55" s="108">
        <v>28437</v>
      </c>
      <c r="H55" s="108">
        <v>28437</v>
      </c>
      <c r="I55" s="106">
        <v>528993</v>
      </c>
      <c r="J55" s="108">
        <v>515851</v>
      </c>
      <c r="K55" s="108">
        <v>528237</v>
      </c>
      <c r="L55" s="108">
        <v>504513</v>
      </c>
      <c r="M55" s="106">
        <v>520825</v>
      </c>
      <c r="N55" s="108">
        <v>537972</v>
      </c>
      <c r="O55" s="108">
        <v>556411</v>
      </c>
      <c r="P55" s="108">
        <v>549554</v>
      </c>
      <c r="Q55" s="108">
        <v>543700</v>
      </c>
      <c r="R55" s="107">
        <v>570689</v>
      </c>
      <c r="S55" s="108">
        <f t="shared" si="20"/>
        <v>0</v>
      </c>
      <c r="T55" s="108">
        <f t="shared" si="21"/>
        <v>567622</v>
      </c>
      <c r="U55" s="108">
        <f t="shared" si="22"/>
        <v>590639</v>
      </c>
      <c r="V55" s="108"/>
      <c r="W55" s="108">
        <v>567622</v>
      </c>
      <c r="X55" s="108">
        <v>590639</v>
      </c>
      <c r="Y55" s="107">
        <v>613420</v>
      </c>
      <c r="Z55" s="108">
        <f t="shared" si="23"/>
        <v>672666</v>
      </c>
      <c r="AA55" s="108">
        <f t="shared" si="24"/>
        <v>643368</v>
      </c>
      <c r="AB55" s="108">
        <f t="shared" si="25"/>
        <v>613669</v>
      </c>
      <c r="AC55" s="108">
        <v>672666</v>
      </c>
      <c r="AD55" s="108">
        <v>643368</v>
      </c>
      <c r="AE55" s="108">
        <v>613669</v>
      </c>
      <c r="AF55" s="107">
        <v>628000</v>
      </c>
      <c r="AG55" s="108">
        <f t="shared" si="97"/>
        <v>631167</v>
      </c>
      <c r="AH55" s="108"/>
      <c r="AI55" s="108"/>
      <c r="AJ55" s="108">
        <v>631167</v>
      </c>
      <c r="AK55" s="108"/>
      <c r="AL55" s="108"/>
      <c r="AM55" s="107">
        <v>0</v>
      </c>
      <c r="AN55" s="108"/>
      <c r="AO55" s="108"/>
      <c r="AP55" s="108"/>
      <c r="AQ55" s="108"/>
      <c r="AR55" s="108"/>
      <c r="AS55" s="108"/>
      <c r="AT55" s="107"/>
      <c r="AU55" s="107">
        <f t="shared" si="183"/>
        <v>0</v>
      </c>
      <c r="AV55" s="107">
        <f t="shared" si="184"/>
        <v>0</v>
      </c>
      <c r="AW55" s="107">
        <f t="shared" si="100"/>
        <v>0</v>
      </c>
      <c r="AX55" s="107"/>
      <c r="AY55" s="107">
        <v>0</v>
      </c>
      <c r="AZ55" s="107">
        <v>0</v>
      </c>
      <c r="BA55" s="107">
        <v>0</v>
      </c>
      <c r="BB55" s="107">
        <f t="shared" si="185"/>
        <v>0</v>
      </c>
      <c r="BC55" s="107">
        <f t="shared" si="186"/>
        <v>0</v>
      </c>
      <c r="BD55" s="107">
        <f t="shared" si="187"/>
        <v>0</v>
      </c>
      <c r="BE55" s="107">
        <v>0</v>
      </c>
      <c r="BF55" s="107">
        <v>0</v>
      </c>
      <c r="BG55" s="107">
        <v>0</v>
      </c>
      <c r="BH55" s="107">
        <v>0</v>
      </c>
      <c r="BI55" s="107">
        <f t="shared" si="188"/>
        <v>0</v>
      </c>
      <c r="BJ55" s="107">
        <f t="shared" si="189"/>
        <v>0</v>
      </c>
      <c r="BK55" s="107">
        <f t="shared" si="190"/>
        <v>0</v>
      </c>
      <c r="BL55" s="772">
        <v>0</v>
      </c>
      <c r="BM55" s="772">
        <v>0</v>
      </c>
      <c r="BN55" s="772">
        <v>0</v>
      </c>
      <c r="BO55" s="775">
        <v>0</v>
      </c>
      <c r="BP55" s="772">
        <f t="shared" si="191"/>
        <v>0</v>
      </c>
      <c r="BQ55" s="772">
        <f t="shared" si="192"/>
        <v>0</v>
      </c>
      <c r="BR55" s="772">
        <f t="shared" si="193"/>
        <v>0</v>
      </c>
      <c r="BS55" s="775">
        <v>0</v>
      </c>
      <c r="BT55" s="775">
        <v>0</v>
      </c>
      <c r="BU55" s="775">
        <v>0</v>
      </c>
      <c r="BV55" s="775">
        <v>0</v>
      </c>
      <c r="BW55" s="772">
        <f t="shared" si="194"/>
        <v>0</v>
      </c>
      <c r="BX55" s="772">
        <f t="shared" si="195"/>
        <v>0</v>
      </c>
      <c r="BY55" s="772">
        <f t="shared" si="196"/>
        <v>0</v>
      </c>
      <c r="BZ55" s="775">
        <v>0</v>
      </c>
      <c r="CA55" s="775">
        <v>0</v>
      </c>
      <c r="CB55" s="775">
        <v>0</v>
      </c>
      <c r="CC55" s="775">
        <v>0</v>
      </c>
      <c r="CD55" s="772">
        <f t="shared" si="197"/>
        <v>0</v>
      </c>
      <c r="CE55" s="772">
        <f t="shared" si="198"/>
        <v>0</v>
      </c>
      <c r="CF55" s="772">
        <f t="shared" si="199"/>
        <v>0</v>
      </c>
      <c r="CG55" s="775">
        <v>0</v>
      </c>
      <c r="CH55" s="775">
        <v>0</v>
      </c>
      <c r="CI55" s="775">
        <v>0</v>
      </c>
      <c r="CJ55" s="775">
        <v>0</v>
      </c>
      <c r="CK55" s="772">
        <f t="shared" si="200"/>
        <v>0</v>
      </c>
      <c r="CL55" s="775"/>
      <c r="CM55" s="775"/>
      <c r="CN55" s="775">
        <v>0</v>
      </c>
      <c r="CO55" s="775"/>
    </row>
    <row r="56" spans="1:93" s="92" customFormat="1" x14ac:dyDescent="0.25">
      <c r="A56" s="121" t="str">
        <f>Language!AA48</f>
        <v>Impostos, Taxas e Contribuições</v>
      </c>
      <c r="B56" s="108">
        <v>5842</v>
      </c>
      <c r="C56" s="108">
        <v>5416</v>
      </c>
      <c r="D56" s="108">
        <v>4975</v>
      </c>
      <c r="E56" s="106">
        <v>4501</v>
      </c>
      <c r="F56" s="108">
        <v>4012</v>
      </c>
      <c r="G56" s="108">
        <v>3572</v>
      </c>
      <c r="H56" s="108">
        <v>4565</v>
      </c>
      <c r="I56" s="106">
        <v>3801</v>
      </c>
      <c r="J56" s="108">
        <v>3649</v>
      </c>
      <c r="K56" s="108">
        <v>3031</v>
      </c>
      <c r="L56" s="108">
        <v>2455</v>
      </c>
      <c r="M56" s="106">
        <v>12575</v>
      </c>
      <c r="N56" s="108">
        <v>1533</v>
      </c>
      <c r="O56" s="108">
        <v>1400</v>
      </c>
      <c r="P56" s="108">
        <v>1268</v>
      </c>
      <c r="Q56" s="108">
        <v>1121</v>
      </c>
      <c r="R56" s="107">
        <v>8708</v>
      </c>
      <c r="S56" s="108">
        <f t="shared" si="20"/>
        <v>0</v>
      </c>
      <c r="T56" s="108">
        <f t="shared" si="21"/>
        <v>15460</v>
      </c>
      <c r="U56" s="108">
        <f t="shared" si="22"/>
        <v>14371</v>
      </c>
      <c r="V56" s="108"/>
      <c r="W56" s="108">
        <v>15460</v>
      </c>
      <c r="X56" s="108">
        <v>14371</v>
      </c>
      <c r="Y56" s="107">
        <v>18590</v>
      </c>
      <c r="Z56" s="108">
        <f t="shared" si="23"/>
        <v>17257</v>
      </c>
      <c r="AA56" s="108">
        <f t="shared" si="24"/>
        <v>29056</v>
      </c>
      <c r="AB56" s="108">
        <f t="shared" si="25"/>
        <v>31927</v>
      </c>
      <c r="AC56" s="108">
        <v>17257</v>
      </c>
      <c r="AD56" s="108">
        <v>29056</v>
      </c>
      <c r="AE56" s="108">
        <v>31927</v>
      </c>
      <c r="AF56" s="107">
        <v>36900</v>
      </c>
      <c r="AG56" s="108">
        <f t="shared" si="97"/>
        <v>34103</v>
      </c>
      <c r="AH56" s="108">
        <f t="shared" si="98"/>
        <v>5059</v>
      </c>
      <c r="AI56" s="108">
        <f t="shared" si="99"/>
        <v>6670</v>
      </c>
      <c r="AJ56" s="108">
        <v>34103</v>
      </c>
      <c r="AK56" s="108">
        <v>5059</v>
      </c>
      <c r="AL56" s="108">
        <v>6670</v>
      </c>
      <c r="AM56" s="107">
        <v>8267</v>
      </c>
      <c r="AN56" s="108">
        <f t="shared" si="125"/>
        <v>10014</v>
      </c>
      <c r="AO56" s="108">
        <f t="shared" si="125"/>
        <v>11060</v>
      </c>
      <c r="AP56" s="108">
        <f t="shared" si="125"/>
        <v>10433</v>
      </c>
      <c r="AQ56" s="108">
        <v>10014</v>
      </c>
      <c r="AR56" s="108">
        <v>11060</v>
      </c>
      <c r="AS56" s="108">
        <v>10433</v>
      </c>
      <c r="AT56" s="107">
        <v>10360</v>
      </c>
      <c r="AU56" s="107">
        <f t="shared" si="183"/>
        <v>22081</v>
      </c>
      <c r="AV56" s="107">
        <f t="shared" si="184"/>
        <v>22118</v>
      </c>
      <c r="AW56" s="107">
        <f t="shared" si="100"/>
        <v>44650</v>
      </c>
      <c r="AX56" s="107">
        <v>22081</v>
      </c>
      <c r="AY56" s="107">
        <v>22118</v>
      </c>
      <c r="AZ56" s="107">
        <v>44650</v>
      </c>
      <c r="BA56" s="107">
        <v>33044</v>
      </c>
      <c r="BB56" s="107">
        <f t="shared" si="185"/>
        <v>38030</v>
      </c>
      <c r="BC56" s="107">
        <f t="shared" si="186"/>
        <v>38358</v>
      </c>
      <c r="BD56" s="107">
        <f t="shared" si="187"/>
        <v>29883</v>
      </c>
      <c r="BE56" s="107">
        <v>38030</v>
      </c>
      <c r="BF56" s="107">
        <v>38358</v>
      </c>
      <c r="BG56" s="107">
        <v>29883</v>
      </c>
      <c r="BH56" s="107">
        <v>26487</v>
      </c>
      <c r="BI56" s="107">
        <f t="shared" si="188"/>
        <v>16272</v>
      </c>
      <c r="BJ56" s="107">
        <f t="shared" si="189"/>
        <v>26078</v>
      </c>
      <c r="BK56" s="107">
        <f t="shared" si="190"/>
        <v>34156</v>
      </c>
      <c r="BL56" s="772">
        <v>16272</v>
      </c>
      <c r="BM56" s="772">
        <v>26078</v>
      </c>
      <c r="BN56" s="772">
        <v>34156</v>
      </c>
      <c r="BO56" s="772">
        <v>36380</v>
      </c>
      <c r="BP56" s="772">
        <f t="shared" si="191"/>
        <v>34978</v>
      </c>
      <c r="BQ56" s="772">
        <f t="shared" si="192"/>
        <v>32910</v>
      </c>
      <c r="BR56" s="772">
        <f t="shared" si="193"/>
        <v>21162</v>
      </c>
      <c r="BS56" s="772">
        <v>34978</v>
      </c>
      <c r="BT56" s="772">
        <v>32910</v>
      </c>
      <c r="BU56" s="772">
        <v>21162</v>
      </c>
      <c r="BV56" s="772">
        <v>30712</v>
      </c>
      <c r="BW56" s="772">
        <f t="shared" si="194"/>
        <v>28662</v>
      </c>
      <c r="BX56" s="772">
        <f t="shared" si="195"/>
        <v>26951</v>
      </c>
      <c r="BY56" s="772">
        <f t="shared" si="196"/>
        <v>25090</v>
      </c>
      <c r="BZ56" s="772">
        <v>28662</v>
      </c>
      <c r="CA56" s="772">
        <v>26951</v>
      </c>
      <c r="CB56" s="772">
        <v>25090</v>
      </c>
      <c r="CC56" s="772">
        <v>32180</v>
      </c>
      <c r="CD56" s="772">
        <f t="shared" si="197"/>
        <v>28459</v>
      </c>
      <c r="CE56" s="772">
        <f t="shared" si="198"/>
        <v>36287</v>
      </c>
      <c r="CF56" s="772">
        <f t="shared" si="199"/>
        <v>40077</v>
      </c>
      <c r="CG56" s="772">
        <v>28459</v>
      </c>
      <c r="CH56" s="772">
        <v>36287</v>
      </c>
      <c r="CI56" s="772">
        <v>40077</v>
      </c>
      <c r="CJ56" s="772">
        <v>37629</v>
      </c>
      <c r="CK56" s="772">
        <f t="shared" si="200"/>
        <v>44112</v>
      </c>
      <c r="CL56" s="772"/>
      <c r="CM56" s="772"/>
      <c r="CN56" s="772">
        <v>44112</v>
      </c>
      <c r="CO56" s="772"/>
    </row>
    <row r="57" spans="1:93" s="92" customFormat="1" x14ac:dyDescent="0.25">
      <c r="A57" s="121" t="str">
        <f>Language!AA49</f>
        <v>Imposto de Renda e Contribuição Social Diferidos</v>
      </c>
      <c r="B57" s="108">
        <v>433486</v>
      </c>
      <c r="C57" s="108">
        <v>427974</v>
      </c>
      <c r="D57" s="108">
        <v>420804</v>
      </c>
      <c r="E57" s="106">
        <v>412686</v>
      </c>
      <c r="F57" s="108">
        <v>408746</v>
      </c>
      <c r="G57" s="108">
        <v>396359</v>
      </c>
      <c r="H57" s="108">
        <v>390318</v>
      </c>
      <c r="I57" s="106">
        <v>390676</v>
      </c>
      <c r="J57" s="108">
        <v>381086</v>
      </c>
      <c r="K57" s="108">
        <v>396296</v>
      </c>
      <c r="L57" s="108">
        <v>390104</v>
      </c>
      <c r="M57" s="106">
        <v>363700</v>
      </c>
      <c r="N57" s="108">
        <v>369141</v>
      </c>
      <c r="O57" s="108">
        <v>373113</v>
      </c>
      <c r="P57" s="108">
        <v>401668</v>
      </c>
      <c r="Q57" s="108">
        <v>384034</v>
      </c>
      <c r="R57" s="107">
        <v>431040</v>
      </c>
      <c r="S57" s="108">
        <f t="shared" si="20"/>
        <v>0</v>
      </c>
      <c r="T57" s="108">
        <f t="shared" si="21"/>
        <v>457601</v>
      </c>
      <c r="U57" s="108">
        <f t="shared" si="22"/>
        <v>405776</v>
      </c>
      <c r="V57" s="108"/>
      <c r="W57" s="108">
        <v>457601</v>
      </c>
      <c r="X57" s="108">
        <v>405776</v>
      </c>
      <c r="Y57" s="107">
        <v>398256</v>
      </c>
      <c r="Z57" s="108">
        <f t="shared" si="23"/>
        <v>377895</v>
      </c>
      <c r="AA57" s="108">
        <f t="shared" si="24"/>
        <v>364216</v>
      </c>
      <c r="AB57" s="108">
        <f t="shared" si="25"/>
        <v>349546</v>
      </c>
      <c r="AC57" s="108">
        <v>377895</v>
      </c>
      <c r="AD57" s="108">
        <v>364216</v>
      </c>
      <c r="AE57" s="108">
        <v>349546</v>
      </c>
      <c r="AF57" s="107">
        <v>338143</v>
      </c>
      <c r="AG57" s="108">
        <f t="shared" si="97"/>
        <v>330632</v>
      </c>
      <c r="AH57" s="108">
        <f t="shared" si="98"/>
        <v>316721</v>
      </c>
      <c r="AI57" s="108">
        <f t="shared" si="99"/>
        <v>173166</v>
      </c>
      <c r="AJ57" s="108">
        <v>330632</v>
      </c>
      <c r="AK57" s="108">
        <v>316721</v>
      </c>
      <c r="AL57" s="108">
        <v>173166</v>
      </c>
      <c r="AM57" s="107">
        <v>168783</v>
      </c>
      <c r="AN57" s="108">
        <f t="shared" si="125"/>
        <v>164532</v>
      </c>
      <c r="AO57" s="108">
        <f t="shared" si="125"/>
        <v>173243</v>
      </c>
      <c r="AP57" s="108">
        <f t="shared" si="125"/>
        <v>147777</v>
      </c>
      <c r="AQ57" s="108">
        <v>164532</v>
      </c>
      <c r="AR57" s="108">
        <v>173243</v>
      </c>
      <c r="AS57" s="108">
        <v>147777</v>
      </c>
      <c r="AT57" s="107">
        <v>149773</v>
      </c>
      <c r="AU57" s="107">
        <f t="shared" si="183"/>
        <v>149911</v>
      </c>
      <c r="AV57" s="107">
        <f t="shared" si="184"/>
        <v>169428</v>
      </c>
      <c r="AW57" s="107">
        <f t="shared" si="100"/>
        <v>194850</v>
      </c>
      <c r="AX57" s="107">
        <v>149911</v>
      </c>
      <c r="AY57" s="107">
        <v>169428</v>
      </c>
      <c r="AZ57" s="107">
        <v>194850</v>
      </c>
      <c r="BA57" s="107">
        <v>192295</v>
      </c>
      <c r="BB57" s="107">
        <f t="shared" si="185"/>
        <v>193233</v>
      </c>
      <c r="BC57" s="107">
        <f t="shared" si="186"/>
        <v>191576</v>
      </c>
      <c r="BD57" s="107">
        <f t="shared" si="187"/>
        <v>189492</v>
      </c>
      <c r="BE57" s="107">
        <v>193233</v>
      </c>
      <c r="BF57" s="107">
        <v>191576</v>
      </c>
      <c r="BG57" s="107">
        <v>189492</v>
      </c>
      <c r="BH57" s="107">
        <v>182287</v>
      </c>
      <c r="BI57" s="107">
        <f t="shared" si="188"/>
        <v>168732</v>
      </c>
      <c r="BJ57" s="107">
        <f t="shared" si="189"/>
        <v>179475</v>
      </c>
      <c r="BK57" s="107">
        <f t="shared" si="190"/>
        <v>153438</v>
      </c>
      <c r="BL57" s="772">
        <v>168732</v>
      </c>
      <c r="BM57" s="772">
        <v>179475</v>
      </c>
      <c r="BN57" s="772">
        <v>153438</v>
      </c>
      <c r="BO57" s="772">
        <v>0</v>
      </c>
      <c r="BP57" s="772">
        <f t="shared" si="191"/>
        <v>0</v>
      </c>
      <c r="BQ57" s="772">
        <f t="shared" si="192"/>
        <v>0</v>
      </c>
      <c r="BR57" s="772">
        <f t="shared" si="193"/>
        <v>3057</v>
      </c>
      <c r="BS57" s="772">
        <v>0</v>
      </c>
      <c r="BT57" s="772">
        <v>0</v>
      </c>
      <c r="BU57" s="772">
        <v>3057</v>
      </c>
      <c r="BV57" s="772">
        <v>1079</v>
      </c>
      <c r="BW57" s="772">
        <f t="shared" si="194"/>
        <v>0</v>
      </c>
      <c r="BX57" s="772">
        <f t="shared" si="195"/>
        <v>0</v>
      </c>
      <c r="BY57" s="772">
        <f t="shared" si="196"/>
        <v>22819</v>
      </c>
      <c r="BZ57" s="772">
        <v>0</v>
      </c>
      <c r="CA57" s="772">
        <v>0</v>
      </c>
      <c r="CB57" s="772">
        <v>22819</v>
      </c>
      <c r="CC57" s="772">
        <v>20172</v>
      </c>
      <c r="CD57" s="772">
        <f t="shared" si="197"/>
        <v>17526</v>
      </c>
      <c r="CE57" s="772">
        <f t="shared" si="198"/>
        <v>14879</v>
      </c>
      <c r="CF57" s="772">
        <f t="shared" si="199"/>
        <v>15915</v>
      </c>
      <c r="CG57" s="772">
        <v>17526</v>
      </c>
      <c r="CH57" s="772">
        <v>14879</v>
      </c>
      <c r="CI57" s="772">
        <v>15915</v>
      </c>
      <c r="CJ57" s="772">
        <v>13269</v>
      </c>
      <c r="CK57" s="772">
        <f t="shared" si="200"/>
        <v>8109</v>
      </c>
      <c r="CL57" s="772"/>
      <c r="CM57" s="772"/>
      <c r="CN57" s="772">
        <v>8109</v>
      </c>
      <c r="CO57" s="772"/>
    </row>
    <row r="58" spans="1:93" s="92" customFormat="1" x14ac:dyDescent="0.25">
      <c r="A58" s="121" t="str">
        <f>Language!AA50</f>
        <v>Receitas Diferidas, Líquidas</v>
      </c>
      <c r="B58" s="108">
        <v>4367</v>
      </c>
      <c r="C58" s="108">
        <v>4081</v>
      </c>
      <c r="D58" s="108">
        <v>5530</v>
      </c>
      <c r="E58" s="106">
        <v>8908</v>
      </c>
      <c r="F58" s="108">
        <v>9066</v>
      </c>
      <c r="G58" s="108">
        <v>8526</v>
      </c>
      <c r="H58" s="108">
        <v>8394</v>
      </c>
      <c r="I58" s="106">
        <v>8462</v>
      </c>
      <c r="J58" s="108">
        <v>8723</v>
      </c>
      <c r="K58" s="108">
        <v>7223</v>
      </c>
      <c r="L58" s="108">
        <v>6821</v>
      </c>
      <c r="M58" s="106">
        <v>7284</v>
      </c>
      <c r="N58" s="108">
        <v>6715</v>
      </c>
      <c r="O58" s="108">
        <v>6306</v>
      </c>
      <c r="P58" s="108">
        <v>5887</v>
      </c>
      <c r="Q58" s="108">
        <v>6331</v>
      </c>
      <c r="R58" s="107">
        <v>5723</v>
      </c>
      <c r="S58" s="108">
        <f t="shared" si="20"/>
        <v>0</v>
      </c>
      <c r="T58" s="108">
        <f t="shared" si="21"/>
        <v>4973</v>
      </c>
      <c r="U58" s="108">
        <f t="shared" si="22"/>
        <v>5238</v>
      </c>
      <c r="V58" s="108"/>
      <c r="W58" s="108">
        <v>4973</v>
      </c>
      <c r="X58" s="108">
        <v>5238</v>
      </c>
      <c r="Y58" s="107">
        <v>3126</v>
      </c>
      <c r="Z58" s="108">
        <f t="shared" si="23"/>
        <v>2739</v>
      </c>
      <c r="AA58" s="108">
        <f t="shared" si="24"/>
        <v>2457</v>
      </c>
      <c r="AB58" s="108">
        <f t="shared" si="25"/>
        <v>1953</v>
      </c>
      <c r="AC58" s="108">
        <v>2739</v>
      </c>
      <c r="AD58" s="108">
        <v>2457</v>
      </c>
      <c r="AE58" s="108">
        <v>1953</v>
      </c>
      <c r="AF58" s="107">
        <v>1976</v>
      </c>
      <c r="AG58" s="108">
        <f t="shared" si="97"/>
        <v>1736</v>
      </c>
      <c r="AH58" s="108">
        <f t="shared" si="98"/>
        <v>1496</v>
      </c>
      <c r="AI58" s="108">
        <f t="shared" si="99"/>
        <v>1069</v>
      </c>
      <c r="AJ58" s="108">
        <v>1736</v>
      </c>
      <c r="AK58" s="108">
        <v>1496</v>
      </c>
      <c r="AL58" s="108">
        <v>1069</v>
      </c>
      <c r="AM58" s="107">
        <v>849</v>
      </c>
      <c r="AN58" s="108">
        <f t="shared" si="125"/>
        <v>628</v>
      </c>
      <c r="AO58" s="108">
        <f t="shared" si="125"/>
        <v>512</v>
      </c>
      <c r="AP58" s="108">
        <f t="shared" si="125"/>
        <v>431</v>
      </c>
      <c r="AQ58" s="108">
        <v>628</v>
      </c>
      <c r="AR58" s="108">
        <v>512</v>
      </c>
      <c r="AS58" s="108">
        <v>431</v>
      </c>
      <c r="AT58" s="107">
        <v>357</v>
      </c>
      <c r="AU58" s="107">
        <f t="shared" si="183"/>
        <v>269</v>
      </c>
      <c r="AV58" s="107">
        <f t="shared" si="184"/>
        <v>170</v>
      </c>
      <c r="AW58" s="107">
        <f t="shared" si="100"/>
        <v>69</v>
      </c>
      <c r="AX58" s="107">
        <v>269</v>
      </c>
      <c r="AY58" s="107">
        <v>170</v>
      </c>
      <c r="AZ58" s="107">
        <v>69</v>
      </c>
      <c r="BA58" s="107">
        <v>0</v>
      </c>
      <c r="BB58" s="107">
        <f t="shared" si="185"/>
        <v>0</v>
      </c>
      <c r="BC58" s="107">
        <f t="shared" si="186"/>
        <v>0</v>
      </c>
      <c r="BD58" s="107">
        <f t="shared" si="187"/>
        <v>0</v>
      </c>
      <c r="BE58" s="107">
        <v>0</v>
      </c>
      <c r="BF58" s="107">
        <v>0</v>
      </c>
      <c r="BG58" s="107">
        <v>0</v>
      </c>
      <c r="BH58" s="107">
        <v>0</v>
      </c>
      <c r="BI58" s="107">
        <f t="shared" si="188"/>
        <v>0</v>
      </c>
      <c r="BJ58" s="107">
        <f t="shared" si="189"/>
        <v>0</v>
      </c>
      <c r="BK58" s="107">
        <f t="shared" si="190"/>
        <v>0</v>
      </c>
      <c r="BL58" s="772">
        <v>0</v>
      </c>
      <c r="BM58" s="772">
        <v>0</v>
      </c>
      <c r="BN58" s="772">
        <v>0</v>
      </c>
      <c r="BO58" s="772">
        <v>0</v>
      </c>
      <c r="BP58" s="772">
        <f t="shared" si="191"/>
        <v>0</v>
      </c>
      <c r="BQ58" s="772">
        <f t="shared" si="192"/>
        <v>0</v>
      </c>
      <c r="BR58" s="772">
        <f t="shared" si="193"/>
        <v>0</v>
      </c>
      <c r="BS58" s="772">
        <v>0</v>
      </c>
      <c r="BT58" s="772">
        <v>0</v>
      </c>
      <c r="BU58" s="772">
        <v>0</v>
      </c>
      <c r="BV58" s="772">
        <v>0</v>
      </c>
      <c r="BW58" s="772">
        <f t="shared" si="194"/>
        <v>0</v>
      </c>
      <c r="BX58" s="772">
        <f t="shared" si="195"/>
        <v>0</v>
      </c>
      <c r="BY58" s="772">
        <f t="shared" si="196"/>
        <v>0</v>
      </c>
      <c r="BZ58" s="772">
        <v>0</v>
      </c>
      <c r="CA58" s="772">
        <v>0</v>
      </c>
      <c r="CB58" s="772">
        <v>0</v>
      </c>
      <c r="CC58" s="772">
        <v>0</v>
      </c>
      <c r="CD58" s="772">
        <f t="shared" si="197"/>
        <v>0</v>
      </c>
      <c r="CE58" s="772">
        <f t="shared" si="198"/>
        <v>0</v>
      </c>
      <c r="CF58" s="772">
        <f t="shared" si="199"/>
        <v>0</v>
      </c>
      <c r="CG58" s="772">
        <v>0</v>
      </c>
      <c r="CH58" s="772">
        <v>0</v>
      </c>
      <c r="CI58" s="772">
        <v>0</v>
      </c>
      <c r="CJ58" s="772">
        <v>0</v>
      </c>
      <c r="CK58" s="772">
        <f t="shared" si="200"/>
        <v>0</v>
      </c>
      <c r="CL58" s="772"/>
      <c r="CM58" s="772"/>
      <c r="CN58" s="772">
        <v>0</v>
      </c>
      <c r="CO58" s="772"/>
    </row>
    <row r="59" spans="1:93" s="92" customFormat="1" x14ac:dyDescent="0.25">
      <c r="A59" s="121" t="str">
        <f>Language!AA51</f>
        <v>Instrumentos Financeiros Derivativos</v>
      </c>
      <c r="B59" s="108"/>
      <c r="C59" s="108"/>
      <c r="D59" s="108"/>
      <c r="E59" s="106"/>
      <c r="F59" s="108"/>
      <c r="G59" s="108"/>
      <c r="H59" s="108"/>
      <c r="I59" s="106"/>
      <c r="J59" s="108"/>
      <c r="K59" s="108"/>
      <c r="L59" s="108"/>
      <c r="M59" s="106"/>
      <c r="N59" s="108"/>
      <c r="O59" s="108"/>
      <c r="P59" s="108"/>
      <c r="Q59" s="108"/>
      <c r="R59" s="107"/>
      <c r="S59" s="108">
        <f t="shared" si="20"/>
        <v>0</v>
      </c>
      <c r="T59" s="108">
        <f t="shared" si="21"/>
        <v>16764</v>
      </c>
      <c r="U59" s="108">
        <f t="shared" si="22"/>
        <v>24469</v>
      </c>
      <c r="V59" s="108"/>
      <c r="W59" s="108">
        <v>16764</v>
      </c>
      <c r="X59" s="108">
        <v>24469</v>
      </c>
      <c r="Y59" s="107">
        <v>24770</v>
      </c>
      <c r="Z59" s="108">
        <f t="shared" si="23"/>
        <v>26476</v>
      </c>
      <c r="AA59" s="108">
        <f t="shared" si="24"/>
        <v>25930</v>
      </c>
      <c r="AB59" s="108">
        <f t="shared" si="25"/>
        <v>23652</v>
      </c>
      <c r="AC59" s="108">
        <v>26476</v>
      </c>
      <c r="AD59" s="108">
        <v>25930</v>
      </c>
      <c r="AE59" s="108">
        <v>23652</v>
      </c>
      <c r="AF59" s="107">
        <v>22625</v>
      </c>
      <c r="AG59" s="108">
        <f t="shared" si="97"/>
        <v>19438</v>
      </c>
      <c r="AH59" s="108">
        <f t="shared" si="98"/>
        <v>18733</v>
      </c>
      <c r="AI59" s="108">
        <f t="shared" si="99"/>
        <v>15688</v>
      </c>
      <c r="AJ59" s="108">
        <v>19438</v>
      </c>
      <c r="AK59" s="108">
        <v>18733</v>
      </c>
      <c r="AL59" s="108">
        <v>15688</v>
      </c>
      <c r="AM59" s="107">
        <v>16801</v>
      </c>
      <c r="AN59" s="108">
        <f t="shared" si="125"/>
        <v>12062</v>
      </c>
      <c r="AO59" s="108">
        <f t="shared" si="125"/>
        <v>14283</v>
      </c>
      <c r="AP59" s="108">
        <f t="shared" si="125"/>
        <v>7237</v>
      </c>
      <c r="AQ59" s="108">
        <v>12062</v>
      </c>
      <c r="AR59" s="108">
        <v>14283</v>
      </c>
      <c r="AS59" s="108">
        <v>7237</v>
      </c>
      <c r="AT59" s="107">
        <v>7967</v>
      </c>
      <c r="AU59" s="107">
        <f t="shared" si="183"/>
        <v>0</v>
      </c>
      <c r="AV59" s="107">
        <f t="shared" si="184"/>
        <v>0</v>
      </c>
      <c r="AW59" s="107">
        <f t="shared" si="100"/>
        <v>0</v>
      </c>
      <c r="AX59" s="107">
        <v>0</v>
      </c>
      <c r="AY59" s="107">
        <v>0</v>
      </c>
      <c r="AZ59" s="107">
        <v>0</v>
      </c>
      <c r="BA59" s="107">
        <v>0</v>
      </c>
      <c r="BB59" s="107">
        <f t="shared" si="185"/>
        <v>0</v>
      </c>
      <c r="BC59" s="107">
        <f t="shared" si="186"/>
        <v>0</v>
      </c>
      <c r="BD59" s="107">
        <f t="shared" si="187"/>
        <v>0</v>
      </c>
      <c r="BE59" s="107">
        <v>0</v>
      </c>
      <c r="BF59" s="107">
        <v>0</v>
      </c>
      <c r="BG59" s="107">
        <v>0</v>
      </c>
      <c r="BH59" s="107">
        <v>0</v>
      </c>
      <c r="BI59" s="107">
        <f t="shared" si="188"/>
        <v>0</v>
      </c>
      <c r="BJ59" s="107">
        <f t="shared" si="189"/>
        <v>0</v>
      </c>
      <c r="BK59" s="107">
        <f t="shared" si="190"/>
        <v>0</v>
      </c>
      <c r="BL59" s="772">
        <v>0</v>
      </c>
      <c r="BM59" s="772">
        <v>0</v>
      </c>
      <c r="BN59" s="772">
        <v>0</v>
      </c>
      <c r="BO59" s="772">
        <v>0</v>
      </c>
      <c r="BP59" s="772">
        <f t="shared" si="191"/>
        <v>0</v>
      </c>
      <c r="BQ59" s="772">
        <f t="shared" si="192"/>
        <v>0</v>
      </c>
      <c r="BR59" s="772">
        <f t="shared" si="193"/>
        <v>0</v>
      </c>
      <c r="BS59" s="772">
        <v>0</v>
      </c>
      <c r="BT59" s="772">
        <v>0</v>
      </c>
      <c r="BU59" s="772">
        <v>0</v>
      </c>
      <c r="BV59" s="772">
        <v>0</v>
      </c>
      <c r="BW59" s="772">
        <f t="shared" si="194"/>
        <v>0</v>
      </c>
      <c r="BX59" s="772">
        <f t="shared" si="195"/>
        <v>0</v>
      </c>
      <c r="BY59" s="772">
        <f t="shared" si="196"/>
        <v>0</v>
      </c>
      <c r="BZ59" s="772">
        <v>0</v>
      </c>
      <c r="CA59" s="772">
        <v>0</v>
      </c>
      <c r="CB59" s="772">
        <v>0</v>
      </c>
      <c r="CC59" s="772">
        <v>0</v>
      </c>
      <c r="CD59" s="772">
        <f t="shared" si="197"/>
        <v>0</v>
      </c>
      <c r="CE59" s="772">
        <f t="shared" si="198"/>
        <v>0</v>
      </c>
      <c r="CF59" s="772">
        <f t="shared" si="199"/>
        <v>0</v>
      </c>
      <c r="CG59" s="772">
        <v>0</v>
      </c>
      <c r="CH59" s="772">
        <v>0</v>
      </c>
      <c r="CI59" s="772">
        <v>0</v>
      </c>
      <c r="CJ59" s="772">
        <v>444</v>
      </c>
      <c r="CK59" s="772">
        <f t="shared" si="200"/>
        <v>444</v>
      </c>
      <c r="CL59" s="772"/>
      <c r="CM59" s="772"/>
      <c r="CN59" s="772">
        <v>444</v>
      </c>
      <c r="CO59" s="772"/>
    </row>
    <row r="60" spans="1:93" s="92" customFormat="1" x14ac:dyDescent="0.25">
      <c r="A60" s="121" t="str">
        <f>Language!AA52</f>
        <v>Contas a pagar - partes relacionadas</v>
      </c>
      <c r="B60" s="108">
        <v>0</v>
      </c>
      <c r="C60" s="108">
        <v>0</v>
      </c>
      <c r="D60" s="108">
        <v>0</v>
      </c>
      <c r="E60" s="106">
        <v>0</v>
      </c>
      <c r="F60" s="108">
        <v>0</v>
      </c>
      <c r="G60" s="108">
        <v>49</v>
      </c>
      <c r="H60" s="108">
        <v>0</v>
      </c>
      <c r="I60" s="106">
        <v>0</v>
      </c>
      <c r="J60" s="108">
        <v>0</v>
      </c>
      <c r="K60" s="108">
        <v>0</v>
      </c>
      <c r="L60" s="108">
        <v>0</v>
      </c>
      <c r="M60" s="106">
        <v>0</v>
      </c>
      <c r="N60" s="108">
        <v>0</v>
      </c>
      <c r="O60" s="108">
        <v>0</v>
      </c>
      <c r="P60" s="108">
        <v>0</v>
      </c>
      <c r="Q60" s="108">
        <v>0</v>
      </c>
      <c r="R60" s="107">
        <v>0</v>
      </c>
      <c r="S60" s="108">
        <f t="shared" si="20"/>
        <v>0</v>
      </c>
      <c r="T60" s="108">
        <f t="shared" si="21"/>
        <v>0</v>
      </c>
      <c r="U60" s="108">
        <f t="shared" si="22"/>
        <v>0</v>
      </c>
      <c r="V60" s="108"/>
      <c r="W60" s="108">
        <v>0</v>
      </c>
      <c r="X60" s="108">
        <v>0</v>
      </c>
      <c r="Y60" s="107">
        <v>0</v>
      </c>
      <c r="Z60" s="108"/>
      <c r="AA60" s="108"/>
      <c r="AB60" s="108"/>
      <c r="AC60" s="108"/>
      <c r="AD60" s="108"/>
      <c r="AE60" s="108"/>
      <c r="AF60" s="107"/>
      <c r="AG60" s="108"/>
      <c r="AH60" s="108"/>
      <c r="AI60" s="108"/>
      <c r="AJ60" s="108"/>
      <c r="AK60" s="108"/>
      <c r="AL60" s="108"/>
      <c r="AM60" s="107"/>
      <c r="AN60" s="108"/>
      <c r="AO60" s="108"/>
      <c r="AP60" s="108"/>
      <c r="AQ60" s="108"/>
      <c r="AR60" s="108"/>
      <c r="AS60" s="108"/>
      <c r="AT60" s="107"/>
      <c r="AU60" s="107">
        <f t="shared" si="183"/>
        <v>0</v>
      </c>
      <c r="AV60" s="107">
        <f t="shared" si="184"/>
        <v>0</v>
      </c>
      <c r="AW60" s="107">
        <f t="shared" si="100"/>
        <v>0</v>
      </c>
      <c r="AX60" s="107">
        <v>0</v>
      </c>
      <c r="AY60" s="107">
        <v>0</v>
      </c>
      <c r="AZ60" s="107">
        <v>0</v>
      </c>
      <c r="BA60" s="107">
        <v>315</v>
      </c>
      <c r="BB60" s="107">
        <f t="shared" si="185"/>
        <v>318</v>
      </c>
      <c r="BC60" s="107">
        <f t="shared" si="186"/>
        <v>318</v>
      </c>
      <c r="BD60" s="107">
        <f t="shared" si="187"/>
        <v>0</v>
      </c>
      <c r="BE60" s="107">
        <v>318</v>
      </c>
      <c r="BF60" s="107">
        <v>318</v>
      </c>
      <c r="BG60" s="107">
        <v>0</v>
      </c>
      <c r="BH60" s="107">
        <v>0</v>
      </c>
      <c r="BI60" s="107">
        <f t="shared" si="188"/>
        <v>0</v>
      </c>
      <c r="BJ60" s="107">
        <f t="shared" si="189"/>
        <v>0</v>
      </c>
      <c r="BK60" s="107">
        <f t="shared" si="190"/>
        <v>0</v>
      </c>
      <c r="BL60" s="772">
        <v>0</v>
      </c>
      <c r="BM60" s="772">
        <v>0</v>
      </c>
      <c r="BN60" s="772">
        <v>0</v>
      </c>
      <c r="BO60" s="772">
        <v>0</v>
      </c>
      <c r="BP60" s="772">
        <f t="shared" si="191"/>
        <v>0</v>
      </c>
      <c r="BQ60" s="772">
        <f t="shared" si="192"/>
        <v>0</v>
      </c>
      <c r="BR60" s="772">
        <f t="shared" si="193"/>
        <v>0</v>
      </c>
      <c r="BS60" s="772">
        <v>0</v>
      </c>
      <c r="BT60" s="772">
        <v>0</v>
      </c>
      <c r="BU60" s="772">
        <v>0</v>
      </c>
      <c r="BV60" s="772">
        <v>0</v>
      </c>
      <c r="BW60" s="772">
        <f t="shared" si="194"/>
        <v>0</v>
      </c>
      <c r="BX60" s="772">
        <f t="shared" si="195"/>
        <v>0</v>
      </c>
      <c r="BY60" s="772">
        <f t="shared" si="196"/>
        <v>0</v>
      </c>
      <c r="BZ60" s="772">
        <v>0</v>
      </c>
      <c r="CA60" s="772">
        <v>0</v>
      </c>
      <c r="CB60" s="772">
        <v>0</v>
      </c>
      <c r="CC60" s="772">
        <v>0</v>
      </c>
      <c r="CD60" s="772">
        <f t="shared" si="197"/>
        <v>0</v>
      </c>
      <c r="CE60" s="772">
        <f t="shared" si="198"/>
        <v>0</v>
      </c>
      <c r="CF60" s="772">
        <f t="shared" si="199"/>
        <v>0</v>
      </c>
      <c r="CG60" s="772">
        <v>0</v>
      </c>
      <c r="CH60" s="772">
        <v>0</v>
      </c>
      <c r="CI60" s="772">
        <v>0</v>
      </c>
      <c r="CJ60" s="772">
        <v>0</v>
      </c>
      <c r="CK60" s="772">
        <f t="shared" si="200"/>
        <v>0</v>
      </c>
      <c r="CL60" s="772"/>
      <c r="CM60" s="772"/>
      <c r="CN60" s="772">
        <v>0</v>
      </c>
      <c r="CO60" s="772"/>
    </row>
    <row r="61" spans="1:93" s="92" customFormat="1" x14ac:dyDescent="0.25">
      <c r="A61" s="121" t="str">
        <f>Language!AA53</f>
        <v>Provisões para contingência</v>
      </c>
      <c r="B61" s="108">
        <v>867</v>
      </c>
      <c r="C61" s="108">
        <v>828</v>
      </c>
      <c r="D61" s="108">
        <v>948</v>
      </c>
      <c r="E61" s="106">
        <v>720</v>
      </c>
      <c r="F61" s="108">
        <v>1872</v>
      </c>
      <c r="G61" s="108">
        <v>1934</v>
      </c>
      <c r="H61" s="108">
        <v>1715</v>
      </c>
      <c r="I61" s="106">
        <v>3747</v>
      </c>
      <c r="J61" s="108">
        <v>3899</v>
      </c>
      <c r="K61" s="108">
        <v>4727</v>
      </c>
      <c r="L61" s="108">
        <v>5505</v>
      </c>
      <c r="M61" s="106">
        <v>5438</v>
      </c>
      <c r="N61" s="108">
        <v>4478</v>
      </c>
      <c r="O61" s="108">
        <v>8193</v>
      </c>
      <c r="P61" s="108">
        <v>8287</v>
      </c>
      <c r="Q61" s="108">
        <v>17136</v>
      </c>
      <c r="R61" s="107">
        <v>17524</v>
      </c>
      <c r="S61" s="108">
        <f t="shared" si="20"/>
        <v>0</v>
      </c>
      <c r="T61" s="108">
        <f t="shared" si="21"/>
        <v>33472</v>
      </c>
      <c r="U61" s="108">
        <f t="shared" si="22"/>
        <v>10829</v>
      </c>
      <c r="V61" s="108"/>
      <c r="W61" s="108">
        <v>33472</v>
      </c>
      <c r="X61" s="108">
        <v>10829</v>
      </c>
      <c r="Y61" s="107">
        <v>11296</v>
      </c>
      <c r="Z61" s="108">
        <f t="shared" si="23"/>
        <v>10910</v>
      </c>
      <c r="AA61" s="108">
        <f t="shared" si="24"/>
        <v>11435</v>
      </c>
      <c r="AB61" s="108">
        <f t="shared" si="25"/>
        <v>13805</v>
      </c>
      <c r="AC61" s="108">
        <v>10910</v>
      </c>
      <c r="AD61" s="108">
        <v>11435</v>
      </c>
      <c r="AE61" s="108">
        <v>13805</v>
      </c>
      <c r="AF61" s="107">
        <v>21046</v>
      </c>
      <c r="AG61" s="108">
        <f t="shared" si="97"/>
        <v>15407</v>
      </c>
      <c r="AH61" s="108">
        <f t="shared" si="98"/>
        <v>13949</v>
      </c>
      <c r="AI61" s="108">
        <f t="shared" si="99"/>
        <v>9366</v>
      </c>
      <c r="AJ61" s="108">
        <v>15407</v>
      </c>
      <c r="AK61" s="108">
        <v>13949</v>
      </c>
      <c r="AL61" s="108">
        <v>9366</v>
      </c>
      <c r="AM61" s="107">
        <v>10494</v>
      </c>
      <c r="AN61" s="108">
        <f t="shared" si="125"/>
        <v>34362</v>
      </c>
      <c r="AO61" s="108">
        <f t="shared" si="125"/>
        <v>41682</v>
      </c>
      <c r="AP61" s="108">
        <f t="shared" si="125"/>
        <v>48352</v>
      </c>
      <c r="AQ61" s="108">
        <v>34362</v>
      </c>
      <c r="AR61" s="108">
        <v>41682</v>
      </c>
      <c r="AS61" s="108">
        <v>48352</v>
      </c>
      <c r="AT61" s="107">
        <v>63376</v>
      </c>
      <c r="AU61" s="107">
        <f t="shared" si="183"/>
        <v>56956</v>
      </c>
      <c r="AV61" s="107">
        <f t="shared" si="184"/>
        <v>66424</v>
      </c>
      <c r="AW61" s="107">
        <f t="shared" si="100"/>
        <v>57200</v>
      </c>
      <c r="AX61" s="107">
        <v>56956</v>
      </c>
      <c r="AY61" s="107">
        <v>66424</v>
      </c>
      <c r="AZ61" s="107">
        <v>57200</v>
      </c>
      <c r="BA61" s="107">
        <v>58650</v>
      </c>
      <c r="BB61" s="107">
        <f t="shared" si="185"/>
        <v>61633</v>
      </c>
      <c r="BC61" s="107">
        <f t="shared" si="186"/>
        <v>75710</v>
      </c>
      <c r="BD61" s="107">
        <f t="shared" si="187"/>
        <v>87866</v>
      </c>
      <c r="BE61" s="107">
        <v>61633</v>
      </c>
      <c r="BF61" s="107">
        <v>75710</v>
      </c>
      <c r="BG61" s="107">
        <v>87866</v>
      </c>
      <c r="BH61" s="107">
        <v>85837</v>
      </c>
      <c r="BI61" s="107">
        <f t="shared" si="188"/>
        <v>86068</v>
      </c>
      <c r="BJ61" s="107">
        <f t="shared" si="189"/>
        <v>87806</v>
      </c>
      <c r="BK61" s="107">
        <f t="shared" si="190"/>
        <v>87833</v>
      </c>
      <c r="BL61" s="772">
        <v>86068</v>
      </c>
      <c r="BM61" s="772">
        <v>87806</v>
      </c>
      <c r="BN61" s="772">
        <v>87833</v>
      </c>
      <c r="BO61" s="772">
        <v>66639</v>
      </c>
      <c r="BP61" s="772">
        <f t="shared" si="191"/>
        <v>67009</v>
      </c>
      <c r="BQ61" s="772">
        <f t="shared" si="192"/>
        <v>55619</v>
      </c>
      <c r="BR61" s="772">
        <f t="shared" si="193"/>
        <v>64705</v>
      </c>
      <c r="BS61" s="772">
        <v>67009</v>
      </c>
      <c r="BT61" s="772">
        <v>55619</v>
      </c>
      <c r="BU61" s="772">
        <v>64705</v>
      </c>
      <c r="BV61" s="772">
        <v>69139</v>
      </c>
      <c r="BW61" s="772">
        <f t="shared" si="194"/>
        <v>68295</v>
      </c>
      <c r="BX61" s="772">
        <f t="shared" si="195"/>
        <v>70410</v>
      </c>
      <c r="BY61" s="772">
        <f t="shared" si="196"/>
        <v>66499</v>
      </c>
      <c r="BZ61" s="772">
        <v>68295</v>
      </c>
      <c r="CA61" s="772">
        <v>70410</v>
      </c>
      <c r="CB61" s="772">
        <v>66499</v>
      </c>
      <c r="CC61" s="772">
        <v>67355</v>
      </c>
      <c r="CD61" s="772">
        <f t="shared" si="197"/>
        <v>67712</v>
      </c>
      <c r="CE61" s="772">
        <f t="shared" si="198"/>
        <v>68819</v>
      </c>
      <c r="CF61" s="772">
        <f t="shared" si="199"/>
        <v>63087</v>
      </c>
      <c r="CG61" s="772">
        <v>67712</v>
      </c>
      <c r="CH61" s="772">
        <v>68819</v>
      </c>
      <c r="CI61" s="772">
        <v>63087</v>
      </c>
      <c r="CJ61" s="772">
        <v>60730</v>
      </c>
      <c r="CK61" s="772">
        <f t="shared" si="200"/>
        <v>58140</v>
      </c>
      <c r="CL61" s="772"/>
      <c r="CM61" s="772"/>
      <c r="CN61" s="772">
        <v>58140</v>
      </c>
      <c r="CO61" s="772"/>
    </row>
    <row r="62" spans="1:93" s="92" customFormat="1" x14ac:dyDescent="0.25">
      <c r="A62" s="121" t="str">
        <f>Language!AA54</f>
        <v>Arrendamento Mercantil</v>
      </c>
      <c r="B62" s="108">
        <v>0</v>
      </c>
      <c r="C62" s="108">
        <v>0</v>
      </c>
      <c r="D62" s="108">
        <v>0</v>
      </c>
      <c r="E62" s="106">
        <v>18486</v>
      </c>
      <c r="F62" s="108">
        <v>18472</v>
      </c>
      <c r="G62" s="108">
        <v>12198</v>
      </c>
      <c r="H62" s="108">
        <v>12644</v>
      </c>
      <c r="I62" s="106">
        <v>12594</v>
      </c>
      <c r="J62" s="108">
        <v>8986</v>
      </c>
      <c r="K62" s="108">
        <v>8972</v>
      </c>
      <c r="L62" s="108">
        <v>8256</v>
      </c>
      <c r="M62" s="106">
        <v>86</v>
      </c>
      <c r="N62" s="108">
        <v>64</v>
      </c>
      <c r="O62" s="108">
        <v>697</v>
      </c>
      <c r="P62" s="108">
        <v>505</v>
      </c>
      <c r="Q62" s="108">
        <v>1020</v>
      </c>
      <c r="R62" s="107">
        <v>829</v>
      </c>
      <c r="S62" s="108">
        <f t="shared" si="20"/>
        <v>0</v>
      </c>
      <c r="T62" s="108">
        <f t="shared" si="21"/>
        <v>1497</v>
      </c>
      <c r="U62" s="108">
        <f t="shared" si="22"/>
        <v>1175</v>
      </c>
      <c r="V62" s="108"/>
      <c r="W62" s="108">
        <v>1497</v>
      </c>
      <c r="X62" s="108">
        <v>1175</v>
      </c>
      <c r="Y62" s="107">
        <v>0</v>
      </c>
      <c r="Z62" s="108"/>
      <c r="AA62" s="108"/>
      <c r="AB62" s="108"/>
      <c r="AC62" s="108"/>
      <c r="AD62" s="108"/>
      <c r="AE62" s="108"/>
      <c r="AF62" s="107"/>
      <c r="AG62" s="108"/>
      <c r="AH62" s="108"/>
      <c r="AI62" s="108"/>
      <c r="AJ62" s="108"/>
      <c r="AK62" s="108"/>
      <c r="AL62" s="108"/>
      <c r="AM62" s="107"/>
      <c r="AN62" s="108"/>
      <c r="AO62" s="108"/>
      <c r="AP62" s="108"/>
      <c r="AQ62" s="108"/>
      <c r="AR62" s="108"/>
      <c r="AS62" s="108"/>
      <c r="AT62" s="107">
        <v>3545</v>
      </c>
      <c r="AU62" s="107">
        <f t="shared" si="183"/>
        <v>0</v>
      </c>
      <c r="AV62" s="107">
        <f t="shared" si="184"/>
        <v>0</v>
      </c>
      <c r="AW62" s="107">
        <f t="shared" si="100"/>
        <v>0</v>
      </c>
      <c r="AX62" s="107"/>
      <c r="AY62" s="107"/>
      <c r="AZ62" s="107">
        <v>0</v>
      </c>
      <c r="BA62" s="107">
        <v>0</v>
      </c>
      <c r="BB62" s="107">
        <f t="shared" si="185"/>
        <v>0</v>
      </c>
      <c r="BC62" s="107">
        <f t="shared" si="186"/>
        <v>0</v>
      </c>
      <c r="BD62" s="107">
        <f t="shared" si="187"/>
        <v>0</v>
      </c>
      <c r="BE62" s="107">
        <v>0</v>
      </c>
      <c r="BF62" s="107">
        <v>0</v>
      </c>
      <c r="BG62" s="107">
        <v>0</v>
      </c>
      <c r="BH62" s="107">
        <v>0</v>
      </c>
      <c r="BI62" s="107">
        <f t="shared" si="188"/>
        <v>0</v>
      </c>
      <c r="BJ62" s="107">
        <f t="shared" si="189"/>
        <v>0</v>
      </c>
      <c r="BK62" s="107">
        <f t="shared" si="190"/>
        <v>0</v>
      </c>
      <c r="BL62" s="772">
        <v>0</v>
      </c>
      <c r="BM62" s="772">
        <v>0</v>
      </c>
      <c r="BN62" s="772">
        <v>0</v>
      </c>
      <c r="BO62" s="772">
        <v>0</v>
      </c>
      <c r="BP62" s="772">
        <f t="shared" si="191"/>
        <v>0</v>
      </c>
      <c r="BQ62" s="772">
        <f t="shared" si="192"/>
        <v>0</v>
      </c>
      <c r="BR62" s="772">
        <f t="shared" si="193"/>
        <v>0</v>
      </c>
      <c r="BS62" s="772">
        <v>0</v>
      </c>
      <c r="BT62" s="772">
        <v>0</v>
      </c>
      <c r="BU62" s="772">
        <v>0</v>
      </c>
      <c r="BV62" s="772">
        <v>0</v>
      </c>
      <c r="BW62" s="772">
        <f t="shared" si="194"/>
        <v>0</v>
      </c>
      <c r="BX62" s="772">
        <f t="shared" si="195"/>
        <v>0</v>
      </c>
      <c r="BY62" s="772">
        <f t="shared" si="196"/>
        <v>0</v>
      </c>
      <c r="BZ62" s="772">
        <v>0</v>
      </c>
      <c r="CA62" s="772">
        <v>0</v>
      </c>
      <c r="CB62" s="772">
        <v>0</v>
      </c>
      <c r="CC62" s="772">
        <v>0</v>
      </c>
      <c r="CD62" s="772">
        <f t="shared" si="197"/>
        <v>0</v>
      </c>
      <c r="CE62" s="772">
        <f t="shared" si="198"/>
        <v>0</v>
      </c>
      <c r="CF62" s="772">
        <f t="shared" si="199"/>
        <v>0</v>
      </c>
      <c r="CG62" s="772">
        <v>0</v>
      </c>
      <c r="CH62" s="772">
        <v>0</v>
      </c>
      <c r="CI62" s="772">
        <v>0</v>
      </c>
      <c r="CJ62" s="772">
        <v>0</v>
      </c>
      <c r="CK62" s="772">
        <f t="shared" si="200"/>
        <v>0</v>
      </c>
      <c r="CL62" s="772"/>
      <c r="CM62" s="772"/>
      <c r="CN62" s="772">
        <v>0</v>
      </c>
      <c r="CO62" s="772"/>
    </row>
    <row r="63" spans="1:93" s="92" customFormat="1" x14ac:dyDescent="0.25">
      <c r="A63" s="121" t="str">
        <f>Language!AA55</f>
        <v>Contrato de aquisição de ativos</v>
      </c>
      <c r="B63" s="108">
        <v>0</v>
      </c>
      <c r="C63" s="108">
        <v>0</v>
      </c>
      <c r="D63" s="108">
        <v>0</v>
      </c>
      <c r="E63" s="106">
        <v>10250</v>
      </c>
      <c r="F63" s="108">
        <v>10250</v>
      </c>
      <c r="G63" s="108">
        <v>10250</v>
      </c>
      <c r="H63" s="108">
        <v>6500</v>
      </c>
      <c r="I63" s="106">
        <v>6500</v>
      </c>
      <c r="J63" s="108">
        <v>6500</v>
      </c>
      <c r="K63" s="108">
        <v>6500</v>
      </c>
      <c r="L63" s="108">
        <v>6500</v>
      </c>
      <c r="M63" s="106">
        <v>3250</v>
      </c>
      <c r="N63" s="108">
        <v>3250</v>
      </c>
      <c r="O63" s="108">
        <v>3250</v>
      </c>
      <c r="P63" s="108">
        <v>3250</v>
      </c>
      <c r="Q63" s="108">
        <v>3250</v>
      </c>
      <c r="R63" s="107">
        <v>3250</v>
      </c>
      <c r="S63" s="108">
        <f t="shared" si="20"/>
        <v>0</v>
      </c>
      <c r="T63" s="108">
        <f t="shared" si="21"/>
        <v>0</v>
      </c>
      <c r="U63" s="108">
        <f t="shared" si="22"/>
        <v>0</v>
      </c>
      <c r="V63" s="108"/>
      <c r="W63" s="108">
        <v>0</v>
      </c>
      <c r="X63" s="108">
        <v>0</v>
      </c>
      <c r="Y63" s="107">
        <v>0</v>
      </c>
      <c r="Z63" s="108"/>
      <c r="AA63" s="108"/>
      <c r="AB63" s="108"/>
      <c r="AC63" s="108"/>
      <c r="AD63" s="108"/>
      <c r="AE63" s="108"/>
      <c r="AF63" s="107"/>
      <c r="AG63" s="108"/>
      <c r="AH63" s="108"/>
      <c r="AI63" s="108"/>
      <c r="AJ63" s="108"/>
      <c r="AK63" s="108"/>
      <c r="AL63" s="108"/>
      <c r="AM63" s="107"/>
      <c r="AN63" s="108"/>
      <c r="AO63" s="108"/>
      <c r="AP63" s="108"/>
      <c r="AQ63" s="108"/>
      <c r="AR63" s="108"/>
      <c r="AS63" s="108"/>
      <c r="AT63" s="107"/>
      <c r="AU63" s="107">
        <f t="shared" si="183"/>
        <v>0</v>
      </c>
      <c r="AV63" s="107">
        <f t="shared" si="184"/>
        <v>0</v>
      </c>
      <c r="AW63" s="107">
        <f t="shared" si="100"/>
        <v>0</v>
      </c>
      <c r="AX63" s="107"/>
      <c r="AY63" s="107"/>
      <c r="AZ63" s="107">
        <v>0</v>
      </c>
      <c r="BA63" s="107">
        <v>0</v>
      </c>
      <c r="BB63" s="107">
        <f t="shared" si="185"/>
        <v>0</v>
      </c>
      <c r="BC63" s="107">
        <f t="shared" si="186"/>
        <v>0</v>
      </c>
      <c r="BD63" s="107">
        <f t="shared" si="187"/>
        <v>0</v>
      </c>
      <c r="BE63" s="107">
        <v>0</v>
      </c>
      <c r="BF63" s="107">
        <v>0</v>
      </c>
      <c r="BG63" s="107">
        <v>0</v>
      </c>
      <c r="BH63" s="107">
        <v>0</v>
      </c>
      <c r="BI63" s="107">
        <f t="shared" si="188"/>
        <v>0</v>
      </c>
      <c r="BJ63" s="107">
        <f t="shared" si="189"/>
        <v>0</v>
      </c>
      <c r="BK63" s="107">
        <f t="shared" si="190"/>
        <v>0</v>
      </c>
      <c r="BL63" s="772">
        <v>0</v>
      </c>
      <c r="BM63" s="772">
        <v>0</v>
      </c>
      <c r="BN63" s="772">
        <v>0</v>
      </c>
      <c r="BO63" s="772">
        <v>0</v>
      </c>
      <c r="BP63" s="772">
        <f t="shared" si="191"/>
        <v>0</v>
      </c>
      <c r="BQ63" s="772">
        <f t="shared" si="192"/>
        <v>0</v>
      </c>
      <c r="BR63" s="772">
        <f t="shared" si="193"/>
        <v>0</v>
      </c>
      <c r="BS63" s="772">
        <v>0</v>
      </c>
      <c r="BT63" s="772">
        <v>0</v>
      </c>
      <c r="BU63" s="772">
        <v>0</v>
      </c>
      <c r="BV63" s="772">
        <v>0</v>
      </c>
      <c r="BW63" s="772">
        <f t="shared" si="194"/>
        <v>0</v>
      </c>
      <c r="BX63" s="772">
        <f t="shared" si="195"/>
        <v>0</v>
      </c>
      <c r="BY63" s="772">
        <f t="shared" si="196"/>
        <v>0</v>
      </c>
      <c r="BZ63" s="772">
        <v>0</v>
      </c>
      <c r="CA63" s="772">
        <v>0</v>
      </c>
      <c r="CB63" s="772">
        <v>0</v>
      </c>
      <c r="CC63" s="772">
        <v>0</v>
      </c>
      <c r="CD63" s="772">
        <f t="shared" si="197"/>
        <v>0</v>
      </c>
      <c r="CE63" s="772">
        <f t="shared" si="198"/>
        <v>0</v>
      </c>
      <c r="CF63" s="772">
        <f t="shared" si="199"/>
        <v>0</v>
      </c>
      <c r="CG63" s="772">
        <v>0</v>
      </c>
      <c r="CH63" s="772">
        <v>0</v>
      </c>
      <c r="CI63" s="772">
        <v>0</v>
      </c>
      <c r="CJ63" s="772">
        <v>0</v>
      </c>
      <c r="CK63" s="772">
        <f t="shared" si="200"/>
        <v>0</v>
      </c>
      <c r="CL63" s="772"/>
      <c r="CM63" s="772"/>
      <c r="CN63" s="772">
        <v>0</v>
      </c>
      <c r="CO63" s="772"/>
    </row>
    <row r="64" spans="1:93" s="92" customFormat="1" x14ac:dyDescent="0.25">
      <c r="A64" s="727" t="s">
        <v>686</v>
      </c>
      <c r="B64" s="108"/>
      <c r="C64" s="108"/>
      <c r="D64" s="108"/>
      <c r="E64" s="106"/>
      <c r="F64" s="108"/>
      <c r="G64" s="108"/>
      <c r="H64" s="108"/>
      <c r="I64" s="106"/>
      <c r="J64" s="108"/>
      <c r="K64" s="108"/>
      <c r="L64" s="108"/>
      <c r="M64" s="106"/>
      <c r="N64" s="108"/>
      <c r="O64" s="108"/>
      <c r="P64" s="108"/>
      <c r="Q64" s="108"/>
      <c r="R64" s="107"/>
      <c r="S64" s="108"/>
      <c r="T64" s="108"/>
      <c r="U64" s="108"/>
      <c r="V64" s="108"/>
      <c r="W64" s="108"/>
      <c r="X64" s="108"/>
      <c r="Y64" s="107"/>
      <c r="Z64" s="108"/>
      <c r="AA64" s="108"/>
      <c r="AB64" s="108"/>
      <c r="AC64" s="108"/>
      <c r="AD64" s="108"/>
      <c r="AE64" s="108"/>
      <c r="AF64" s="107"/>
      <c r="AG64" s="108"/>
      <c r="AH64" s="108"/>
      <c r="AI64" s="108"/>
      <c r="AJ64" s="108"/>
      <c r="AK64" s="108"/>
      <c r="AL64" s="108"/>
      <c r="AM64" s="107"/>
      <c r="AN64" s="108"/>
      <c r="AO64" s="108"/>
      <c r="AP64" s="108"/>
      <c r="AQ64" s="108"/>
      <c r="AR64" s="108"/>
      <c r="AS64" s="108"/>
      <c r="AT64" s="107"/>
      <c r="AU64" s="107">
        <f t="shared" si="183"/>
        <v>7395</v>
      </c>
      <c r="AV64" s="107">
        <f t="shared" si="184"/>
        <v>4133</v>
      </c>
      <c r="AW64" s="107">
        <f t="shared" si="100"/>
        <v>3664</v>
      </c>
      <c r="AX64" s="107">
        <v>7395</v>
      </c>
      <c r="AY64" s="107">
        <v>4133</v>
      </c>
      <c r="AZ64" s="107">
        <v>3664</v>
      </c>
      <c r="BA64" s="107">
        <v>3262</v>
      </c>
      <c r="BB64" s="107">
        <f t="shared" si="185"/>
        <v>982</v>
      </c>
      <c r="BC64" s="107">
        <f t="shared" si="186"/>
        <v>583</v>
      </c>
      <c r="BD64" s="107">
        <f t="shared" si="187"/>
        <v>585</v>
      </c>
      <c r="BE64" s="107">
        <v>982</v>
      </c>
      <c r="BF64" s="107">
        <v>583</v>
      </c>
      <c r="BG64" s="107">
        <v>585</v>
      </c>
      <c r="BH64" s="107">
        <v>424</v>
      </c>
      <c r="BI64" s="107">
        <f t="shared" si="188"/>
        <v>1249</v>
      </c>
      <c r="BJ64" s="107">
        <f t="shared" si="189"/>
        <v>1242</v>
      </c>
      <c r="BK64" s="107">
        <f t="shared" si="190"/>
        <v>1242</v>
      </c>
      <c r="BL64" s="772">
        <v>1249</v>
      </c>
      <c r="BM64" s="772">
        <v>1242</v>
      </c>
      <c r="BN64" s="772">
        <v>1242</v>
      </c>
      <c r="BO64" s="772">
        <v>509</v>
      </c>
      <c r="BP64" s="772">
        <f t="shared" si="191"/>
        <v>509</v>
      </c>
      <c r="BQ64" s="772">
        <f t="shared" si="192"/>
        <v>858</v>
      </c>
      <c r="BR64" s="772">
        <f t="shared" si="193"/>
        <v>858</v>
      </c>
      <c r="BS64" s="772">
        <v>509</v>
      </c>
      <c r="BT64" s="772">
        <v>858</v>
      </c>
      <c r="BU64" s="772">
        <v>858</v>
      </c>
      <c r="BV64" s="772">
        <v>1751</v>
      </c>
      <c r="BW64" s="772">
        <f t="shared" si="194"/>
        <v>1109</v>
      </c>
      <c r="BX64" s="772">
        <f t="shared" si="195"/>
        <v>1246</v>
      </c>
      <c r="BY64" s="772">
        <f t="shared" si="196"/>
        <v>147</v>
      </c>
      <c r="BZ64" s="772">
        <v>1109</v>
      </c>
      <c r="CA64" s="772">
        <v>1246</v>
      </c>
      <c r="CB64" s="772">
        <v>147</v>
      </c>
      <c r="CC64" s="772">
        <v>531</v>
      </c>
      <c r="CD64" s="772">
        <f t="shared" si="197"/>
        <v>411</v>
      </c>
      <c r="CE64" s="772">
        <f t="shared" si="198"/>
        <v>292</v>
      </c>
      <c r="CF64" s="772">
        <f t="shared" si="199"/>
        <v>79</v>
      </c>
      <c r="CG64" s="772">
        <v>411</v>
      </c>
      <c r="CH64" s="772">
        <v>292</v>
      </c>
      <c r="CI64" s="772">
        <v>79</v>
      </c>
      <c r="CJ64" s="772">
        <v>24</v>
      </c>
      <c r="CK64" s="772">
        <f t="shared" si="200"/>
        <v>-1</v>
      </c>
      <c r="CL64" s="772"/>
      <c r="CM64" s="772"/>
      <c r="CN64" s="772">
        <v>-1</v>
      </c>
      <c r="CO64" s="772"/>
    </row>
    <row r="65" spans="1:93" s="92" customFormat="1" x14ac:dyDescent="0.25">
      <c r="A65" s="121" t="str">
        <f>Language!AA56</f>
        <v>Outras Obrigações</v>
      </c>
      <c r="B65" s="108">
        <v>1584</v>
      </c>
      <c r="C65" s="108">
        <v>12196</v>
      </c>
      <c r="D65" s="108">
        <v>24579</v>
      </c>
      <c r="E65" s="106">
        <v>6696</v>
      </c>
      <c r="F65" s="108">
        <v>4474</v>
      </c>
      <c r="G65" s="108">
        <v>3128</v>
      </c>
      <c r="H65" s="108">
        <v>3181</v>
      </c>
      <c r="I65" s="106">
        <v>1915</v>
      </c>
      <c r="J65" s="108">
        <v>29475</v>
      </c>
      <c r="K65" s="108">
        <v>1045</v>
      </c>
      <c r="L65" s="108">
        <v>1453</v>
      </c>
      <c r="M65" s="106">
        <v>319673</v>
      </c>
      <c r="N65" s="108">
        <v>313601</v>
      </c>
      <c r="O65" s="108">
        <v>307864</v>
      </c>
      <c r="P65" s="108">
        <v>345517</v>
      </c>
      <c r="Q65" s="108">
        <v>2618</v>
      </c>
      <c r="R65" s="107">
        <v>77834</v>
      </c>
      <c r="S65" s="108">
        <f t="shared" si="20"/>
        <v>0</v>
      </c>
      <c r="T65" s="108">
        <f t="shared" si="21"/>
        <v>10984</v>
      </c>
      <c r="U65" s="108">
        <f t="shared" si="22"/>
        <v>10067</v>
      </c>
      <c r="V65" s="108"/>
      <c r="W65" s="108">
        <v>10984</v>
      </c>
      <c r="X65" s="108">
        <v>10067</v>
      </c>
      <c r="Y65" s="107">
        <v>10875</v>
      </c>
      <c r="Z65" s="108">
        <f t="shared" si="23"/>
        <v>19372</v>
      </c>
      <c r="AA65" s="108">
        <f t="shared" si="24"/>
        <v>17584</v>
      </c>
      <c r="AB65" s="108">
        <f t="shared" si="25"/>
        <v>42521</v>
      </c>
      <c r="AC65" s="108">
        <v>19372</v>
      </c>
      <c r="AD65" s="108">
        <v>17584</v>
      </c>
      <c r="AE65" s="108">
        <v>42521</v>
      </c>
      <c r="AF65" s="107">
        <v>44151</v>
      </c>
      <c r="AG65" s="108">
        <f t="shared" si="97"/>
        <v>48031</v>
      </c>
      <c r="AH65" s="108">
        <f t="shared" si="98"/>
        <v>24735</v>
      </c>
      <c r="AI65" s="108">
        <f t="shared" si="99"/>
        <v>40283</v>
      </c>
      <c r="AJ65" s="108">
        <v>48031</v>
      </c>
      <c r="AK65" s="108">
        <v>24735</v>
      </c>
      <c r="AL65" s="108">
        <v>40283</v>
      </c>
      <c r="AM65" s="107">
        <v>33605</v>
      </c>
      <c r="AN65" s="108">
        <f t="shared" si="125"/>
        <v>29551</v>
      </c>
      <c r="AO65" s="108">
        <f t="shared" si="125"/>
        <v>42551</v>
      </c>
      <c r="AP65" s="108">
        <f t="shared" si="125"/>
        <v>58364</v>
      </c>
      <c r="AQ65" s="108">
        <v>29551</v>
      </c>
      <c r="AR65" s="108">
        <v>42551</v>
      </c>
      <c r="AS65" s="108">
        <v>58364</v>
      </c>
      <c r="AT65" s="107">
        <v>57664</v>
      </c>
      <c r="AU65" s="107">
        <f t="shared" si="183"/>
        <v>57895</v>
      </c>
      <c r="AV65" s="107">
        <f t="shared" si="184"/>
        <v>58080</v>
      </c>
      <c r="AW65" s="107">
        <f t="shared" si="100"/>
        <v>57459</v>
      </c>
      <c r="AX65" s="107">
        <v>57895</v>
      </c>
      <c r="AY65" s="107">
        <v>58080</v>
      </c>
      <c r="AZ65" s="107">
        <v>57459</v>
      </c>
      <c r="BA65" s="107">
        <v>58141</v>
      </c>
      <c r="BB65" s="107">
        <f t="shared" si="185"/>
        <v>57974</v>
      </c>
      <c r="BC65" s="107">
        <f t="shared" si="186"/>
        <v>57709</v>
      </c>
      <c r="BD65" s="107">
        <f t="shared" si="187"/>
        <v>55826</v>
      </c>
      <c r="BE65" s="107">
        <v>57974</v>
      </c>
      <c r="BF65" s="107">
        <v>57709</v>
      </c>
      <c r="BG65" s="107">
        <v>55826</v>
      </c>
      <c r="BH65" s="107">
        <v>58552</v>
      </c>
      <c r="BI65" s="107">
        <f t="shared" si="188"/>
        <v>58391</v>
      </c>
      <c r="BJ65" s="107">
        <f t="shared" si="189"/>
        <v>58390</v>
      </c>
      <c r="BK65" s="107">
        <f t="shared" si="190"/>
        <v>55991</v>
      </c>
      <c r="BL65" s="772">
        <v>58391</v>
      </c>
      <c r="BM65" s="772">
        <v>58390</v>
      </c>
      <c r="BN65" s="772">
        <v>55991</v>
      </c>
      <c r="BO65" s="772">
        <v>76716</v>
      </c>
      <c r="BP65" s="772">
        <f t="shared" si="191"/>
        <v>81066</v>
      </c>
      <c r="BQ65" s="772">
        <f t="shared" si="192"/>
        <v>85660</v>
      </c>
      <c r="BR65" s="772">
        <f t="shared" si="193"/>
        <v>79748</v>
      </c>
      <c r="BS65" s="772">
        <v>81066</v>
      </c>
      <c r="BT65" s="772">
        <v>85660</v>
      </c>
      <c r="BU65" s="772">
        <v>79748</v>
      </c>
      <c r="BV65" s="772">
        <v>66190</v>
      </c>
      <c r="BW65" s="772">
        <f t="shared" si="194"/>
        <v>61650</v>
      </c>
      <c r="BX65" s="772">
        <f t="shared" si="195"/>
        <v>61356</v>
      </c>
      <c r="BY65" s="772">
        <f t="shared" si="196"/>
        <v>58323</v>
      </c>
      <c r="BZ65" s="772">
        <v>61650</v>
      </c>
      <c r="CA65" s="772">
        <v>61356</v>
      </c>
      <c r="CB65" s="772">
        <v>58323</v>
      </c>
      <c r="CC65" s="772">
        <v>58409</v>
      </c>
      <c r="CD65" s="772">
        <f t="shared" si="197"/>
        <v>57872</v>
      </c>
      <c r="CE65" s="772">
        <f t="shared" si="198"/>
        <v>58650</v>
      </c>
      <c r="CF65" s="772">
        <f t="shared" si="199"/>
        <v>54600</v>
      </c>
      <c r="CG65" s="772">
        <v>57872</v>
      </c>
      <c r="CH65" s="772">
        <v>58650</v>
      </c>
      <c r="CI65" s="772">
        <v>54600</v>
      </c>
      <c r="CJ65" s="772">
        <v>55692</v>
      </c>
      <c r="CK65" s="772">
        <f t="shared" si="200"/>
        <v>55470</v>
      </c>
      <c r="CL65" s="772"/>
      <c r="CM65" s="772"/>
      <c r="CN65" s="772">
        <v>55470</v>
      </c>
      <c r="CO65" s="772"/>
    </row>
    <row r="66" spans="1:93" s="92" customFormat="1" x14ac:dyDescent="0.25">
      <c r="A66" s="121" t="s">
        <v>604</v>
      </c>
      <c r="B66" s="108"/>
      <c r="C66" s="108"/>
      <c r="D66" s="108"/>
      <c r="E66" s="106"/>
      <c r="F66" s="108"/>
      <c r="G66" s="108"/>
      <c r="H66" s="108"/>
      <c r="I66" s="106"/>
      <c r="J66" s="108"/>
      <c r="K66" s="108"/>
      <c r="L66" s="108"/>
      <c r="M66" s="106">
        <v>49</v>
      </c>
      <c r="N66" s="108">
        <v>44</v>
      </c>
      <c r="O66" s="108">
        <v>49</v>
      </c>
      <c r="P66" s="108">
        <v>50</v>
      </c>
      <c r="Q66" s="108">
        <v>48</v>
      </c>
      <c r="R66" s="107">
        <v>48</v>
      </c>
      <c r="S66" s="108">
        <f t="shared" si="20"/>
        <v>0</v>
      </c>
      <c r="T66" s="108">
        <f t="shared" si="21"/>
        <v>0</v>
      </c>
      <c r="U66" s="108">
        <f t="shared" si="22"/>
        <v>0</v>
      </c>
      <c r="V66" s="108"/>
      <c r="W66" s="105">
        <v>0</v>
      </c>
      <c r="X66" s="105">
        <v>0</v>
      </c>
      <c r="Y66" s="107">
        <v>16</v>
      </c>
      <c r="Z66" s="108"/>
      <c r="AA66" s="108"/>
      <c r="AB66" s="108">
        <f t="shared" si="25"/>
        <v>48</v>
      </c>
      <c r="AC66" s="108"/>
      <c r="AD66" s="108"/>
      <c r="AE66" s="105">
        <v>48</v>
      </c>
      <c r="AF66" s="107">
        <v>48</v>
      </c>
      <c r="AG66" s="108">
        <f t="shared" si="97"/>
        <v>48</v>
      </c>
      <c r="AH66" s="108">
        <f t="shared" si="98"/>
        <v>48</v>
      </c>
      <c r="AI66" s="108">
        <f t="shared" si="99"/>
        <v>48</v>
      </c>
      <c r="AJ66" s="108">
        <v>48</v>
      </c>
      <c r="AK66" s="108">
        <v>48</v>
      </c>
      <c r="AL66" s="108">
        <v>48</v>
      </c>
      <c r="AM66" s="107">
        <v>48</v>
      </c>
      <c r="AN66" s="108">
        <f t="shared" si="125"/>
        <v>48</v>
      </c>
      <c r="AO66" s="108">
        <f t="shared" si="125"/>
        <v>48</v>
      </c>
      <c r="AP66" s="108"/>
      <c r="AQ66" s="108">
        <v>48</v>
      </c>
      <c r="AR66" s="108">
        <v>48</v>
      </c>
      <c r="AS66" s="108"/>
      <c r="AT66" s="107">
        <v>48</v>
      </c>
      <c r="AU66" s="107">
        <f t="shared" si="183"/>
        <v>410</v>
      </c>
      <c r="AV66" s="107">
        <f t="shared" si="184"/>
        <v>416</v>
      </c>
      <c r="AW66" s="107">
        <f t="shared" si="100"/>
        <v>411</v>
      </c>
      <c r="AX66" s="107">
        <v>410</v>
      </c>
      <c r="AY66" s="107">
        <v>416</v>
      </c>
      <c r="AZ66" s="107">
        <v>411</v>
      </c>
      <c r="BA66" s="107">
        <v>46</v>
      </c>
      <c r="BB66" s="107">
        <f t="shared" si="185"/>
        <v>46</v>
      </c>
      <c r="BC66" s="107">
        <f t="shared" si="186"/>
        <v>46</v>
      </c>
      <c r="BD66" s="107">
        <f t="shared" si="187"/>
        <v>46</v>
      </c>
      <c r="BE66" s="107">
        <v>46</v>
      </c>
      <c r="BF66" s="107">
        <v>46</v>
      </c>
      <c r="BG66" s="107">
        <v>46</v>
      </c>
      <c r="BH66" s="107">
        <v>46</v>
      </c>
      <c r="BI66" s="107">
        <f t="shared" si="188"/>
        <v>46</v>
      </c>
      <c r="BJ66" s="107">
        <f t="shared" si="189"/>
        <v>46</v>
      </c>
      <c r="BK66" s="107">
        <f t="shared" si="190"/>
        <v>46</v>
      </c>
      <c r="BL66" s="772">
        <v>46</v>
      </c>
      <c r="BM66" s="772">
        <v>46</v>
      </c>
      <c r="BN66" s="772">
        <v>46</v>
      </c>
      <c r="BO66" s="772">
        <v>46</v>
      </c>
      <c r="BP66" s="772">
        <f t="shared" si="191"/>
        <v>46</v>
      </c>
      <c r="BQ66" s="772">
        <f t="shared" si="192"/>
        <v>46</v>
      </c>
      <c r="BR66" s="772">
        <f t="shared" si="193"/>
        <v>46</v>
      </c>
      <c r="BS66" s="772">
        <v>46</v>
      </c>
      <c r="BT66" s="772">
        <v>46</v>
      </c>
      <c r="BU66" s="772">
        <v>46</v>
      </c>
      <c r="BV66" s="772">
        <v>46</v>
      </c>
      <c r="BW66" s="772">
        <f t="shared" si="194"/>
        <v>46</v>
      </c>
      <c r="BX66" s="772">
        <f t="shared" si="195"/>
        <v>46</v>
      </c>
      <c r="BY66" s="772">
        <f t="shared" si="196"/>
        <v>46</v>
      </c>
      <c r="BZ66" s="772">
        <v>46</v>
      </c>
      <c r="CA66" s="772">
        <v>46</v>
      </c>
      <c r="CB66" s="772">
        <v>46</v>
      </c>
      <c r="CC66" s="772">
        <v>46</v>
      </c>
      <c r="CD66" s="772">
        <f t="shared" si="197"/>
        <v>46</v>
      </c>
      <c r="CE66" s="772">
        <f t="shared" si="198"/>
        <v>46</v>
      </c>
      <c r="CF66" s="772">
        <f t="shared" si="199"/>
        <v>46</v>
      </c>
      <c r="CG66" s="772">
        <v>46</v>
      </c>
      <c r="CH66" s="772">
        <v>46</v>
      </c>
      <c r="CI66" s="772">
        <v>46</v>
      </c>
      <c r="CJ66" s="772">
        <v>46</v>
      </c>
      <c r="CK66" s="772">
        <f t="shared" si="200"/>
        <v>46</v>
      </c>
      <c r="CL66" s="772"/>
      <c r="CM66" s="772"/>
      <c r="CN66" s="772">
        <v>46</v>
      </c>
      <c r="CO66" s="772"/>
    </row>
    <row r="67" spans="1:93" s="100" customFormat="1" ht="13" x14ac:dyDescent="0.3">
      <c r="A67" s="113" t="str">
        <f>Language!AA57</f>
        <v>Patrimônio Líquido</v>
      </c>
      <c r="B67" s="114">
        <f t="shared" ref="B67:K67" si="201">SUM(B68:B78)</f>
        <v>1379240</v>
      </c>
      <c r="C67" s="114">
        <f t="shared" si="201"/>
        <v>1379441</v>
      </c>
      <c r="D67" s="114">
        <f t="shared" si="201"/>
        <v>1353086</v>
      </c>
      <c r="E67" s="115">
        <f t="shared" si="201"/>
        <v>1360542</v>
      </c>
      <c r="F67" s="114">
        <f t="shared" si="201"/>
        <v>1376169</v>
      </c>
      <c r="G67" s="114">
        <f t="shared" si="201"/>
        <v>1366372</v>
      </c>
      <c r="H67" s="114">
        <f t="shared" si="201"/>
        <v>1342609</v>
      </c>
      <c r="I67" s="115">
        <f t="shared" si="201"/>
        <v>1843722</v>
      </c>
      <c r="J67" s="114">
        <f t="shared" si="201"/>
        <v>1862413</v>
      </c>
      <c r="K67" s="114">
        <f t="shared" si="201"/>
        <v>2015117</v>
      </c>
      <c r="L67" s="114">
        <f t="shared" ref="L67" si="202">SUM(L68:L78)</f>
        <v>2109303</v>
      </c>
      <c r="M67" s="115">
        <f>SUM(M68:M79)</f>
        <v>2000115</v>
      </c>
      <c r="N67" s="114">
        <f t="shared" ref="N67:Q67" si="203">SUM(N68:N78)</f>
        <v>2167352</v>
      </c>
      <c r="O67" s="114">
        <f t="shared" si="203"/>
        <v>2135705</v>
      </c>
      <c r="P67" s="114">
        <f t="shared" si="203"/>
        <v>1774230</v>
      </c>
      <c r="Q67" s="114">
        <f t="shared" si="203"/>
        <v>1315140</v>
      </c>
      <c r="R67" s="114">
        <f>SUM(R68:R79)</f>
        <v>1403205</v>
      </c>
      <c r="S67" s="114">
        <f t="shared" si="20"/>
        <v>0</v>
      </c>
      <c r="T67" s="114">
        <f t="shared" si="21"/>
        <v>1291785</v>
      </c>
      <c r="U67" s="114">
        <f t="shared" si="22"/>
        <v>1342144</v>
      </c>
      <c r="V67" s="114">
        <f>SUM(V68:V79)</f>
        <v>0</v>
      </c>
      <c r="W67" s="114">
        <f>SUM(W68:W79)</f>
        <v>1291785</v>
      </c>
      <c r="X67" s="114">
        <f>SUM(X68:X79)</f>
        <v>1342144</v>
      </c>
      <c r="Y67" s="114">
        <f>SUM(Y68:Y79)</f>
        <v>1311909</v>
      </c>
      <c r="Z67" s="114">
        <f t="shared" si="23"/>
        <v>1223066</v>
      </c>
      <c r="AA67" s="114">
        <f t="shared" si="24"/>
        <v>1167659</v>
      </c>
      <c r="AB67" s="114">
        <f t="shared" si="25"/>
        <v>975591</v>
      </c>
      <c r="AC67" s="114">
        <f>SUM(AC68:AC79)</f>
        <v>1223066</v>
      </c>
      <c r="AD67" s="114">
        <f>SUM(AD68:AD79)</f>
        <v>1167659</v>
      </c>
      <c r="AE67" s="114">
        <f>SUM(AE68:AE79)</f>
        <v>975591</v>
      </c>
      <c r="AF67" s="114">
        <f>SUM(AF68:AF79)</f>
        <v>874627</v>
      </c>
      <c r="AG67" s="114">
        <f t="shared" si="97"/>
        <v>669513</v>
      </c>
      <c r="AH67" s="114">
        <f t="shared" si="98"/>
        <v>459199</v>
      </c>
      <c r="AI67" s="114">
        <f t="shared" si="99"/>
        <v>1205340</v>
      </c>
      <c r="AJ67" s="114">
        <f>SUM(AJ68:AJ79)</f>
        <v>669513</v>
      </c>
      <c r="AK67" s="114">
        <f>SUM(AK68:AK79)</f>
        <v>459199</v>
      </c>
      <c r="AL67" s="114">
        <f>SUM(AL68:AL79)</f>
        <v>1205340</v>
      </c>
      <c r="AM67" s="114">
        <f>SUM(AM68:AM79)</f>
        <v>1231135</v>
      </c>
      <c r="AN67" s="114">
        <f t="shared" si="125"/>
        <v>1224303</v>
      </c>
      <c r="AO67" s="114">
        <f t="shared" si="125"/>
        <v>1170117</v>
      </c>
      <c r="AP67" s="114">
        <f t="shared" si="125"/>
        <v>884119</v>
      </c>
      <c r="AQ67" s="114">
        <f>SUM(AQ68:AQ79)</f>
        <v>1224303</v>
      </c>
      <c r="AR67" s="114">
        <f>SUM(AR68:AR79)</f>
        <v>1170117</v>
      </c>
      <c r="AS67" s="114">
        <f>SUM(AS68:AS79)</f>
        <v>884119</v>
      </c>
      <c r="AT67" s="114">
        <f>SUM(AT68:AT79)</f>
        <v>840102</v>
      </c>
      <c r="AU67" s="114">
        <f t="shared" ref="AU67" si="204">SUM(AU68:AU79)</f>
        <v>752438</v>
      </c>
      <c r="AV67" s="114">
        <f>SUM(AV68:AV79)</f>
        <v>684212</v>
      </c>
      <c r="AW67" s="114">
        <f t="shared" si="100"/>
        <v>715528</v>
      </c>
      <c r="AX67" s="114">
        <v>752438</v>
      </c>
      <c r="AY67" s="114">
        <f t="shared" ref="AY67:BE67" si="205">SUM(AY68:AY79)</f>
        <v>684212</v>
      </c>
      <c r="AZ67" s="114">
        <f t="shared" si="205"/>
        <v>715528</v>
      </c>
      <c r="BA67" s="114">
        <f t="shared" si="205"/>
        <v>700585</v>
      </c>
      <c r="BB67" s="114">
        <f t="shared" si="205"/>
        <v>701690</v>
      </c>
      <c r="BC67" s="114">
        <f t="shared" si="205"/>
        <v>648781</v>
      </c>
      <c r="BD67" s="114">
        <f t="shared" si="205"/>
        <v>904880</v>
      </c>
      <c r="BE67" s="114">
        <f t="shared" si="205"/>
        <v>701690</v>
      </c>
      <c r="BF67" s="114">
        <f t="shared" ref="BF67:BG67" si="206">SUM(BF68:BF79)</f>
        <v>648781</v>
      </c>
      <c r="BG67" s="114">
        <f t="shared" si="206"/>
        <v>904880</v>
      </c>
      <c r="BH67" s="114">
        <f t="shared" ref="BH67:BL67" si="207">SUM(BH68:BH79)</f>
        <v>848706</v>
      </c>
      <c r="BI67" s="114">
        <f t="shared" si="207"/>
        <v>843734</v>
      </c>
      <c r="BJ67" s="114">
        <f t="shared" si="207"/>
        <v>932497</v>
      </c>
      <c r="BK67" s="114">
        <f t="shared" si="207"/>
        <v>905038</v>
      </c>
      <c r="BL67" s="115">
        <f t="shared" si="207"/>
        <v>843734</v>
      </c>
      <c r="BM67" s="115">
        <f t="shared" ref="BM67:BN67" si="208">SUM(BM68:BM79)</f>
        <v>932497</v>
      </c>
      <c r="BN67" s="115">
        <f t="shared" si="208"/>
        <v>905038</v>
      </c>
      <c r="BO67" s="115">
        <f t="shared" ref="BO67:BP67" si="209">SUM(BO68:BO79)</f>
        <v>872299</v>
      </c>
      <c r="BP67" s="115">
        <f t="shared" si="209"/>
        <v>983235</v>
      </c>
      <c r="BQ67" s="115">
        <f t="shared" ref="BQ67:BS67" si="210">SUM(BQ68:BQ79)</f>
        <v>926523</v>
      </c>
      <c r="BR67" s="115">
        <f t="shared" si="210"/>
        <v>911429</v>
      </c>
      <c r="BS67" s="115">
        <f t="shared" si="210"/>
        <v>983235</v>
      </c>
      <c r="BT67" s="115">
        <f t="shared" ref="BT67:BU67" si="211">SUM(BT68:BT79)</f>
        <v>926523</v>
      </c>
      <c r="BU67" s="115">
        <f t="shared" si="211"/>
        <v>911429</v>
      </c>
      <c r="BV67" s="115">
        <f t="shared" ref="BV67" si="212">SUM(BV68:BV79)</f>
        <v>842584</v>
      </c>
      <c r="BW67" s="115">
        <f t="shared" ref="BW67:CB67" si="213">SUM(BW68:BW79)</f>
        <v>781584</v>
      </c>
      <c r="BX67" s="115">
        <f t="shared" si="213"/>
        <v>889807</v>
      </c>
      <c r="BY67" s="115">
        <f t="shared" si="213"/>
        <v>897436</v>
      </c>
      <c r="BZ67" s="115">
        <f t="shared" si="213"/>
        <v>781584</v>
      </c>
      <c r="CA67" s="115">
        <f t="shared" si="213"/>
        <v>889807</v>
      </c>
      <c r="CB67" s="115">
        <f t="shared" si="213"/>
        <v>897436</v>
      </c>
      <c r="CC67" s="115">
        <f t="shared" ref="CC67:CD67" si="214">SUM(CC68:CC79)</f>
        <v>902530</v>
      </c>
      <c r="CD67" s="115">
        <f t="shared" si="214"/>
        <v>928523</v>
      </c>
      <c r="CE67" s="115">
        <f t="shared" ref="CE67:CG67" si="215">SUM(CE68:CE79)</f>
        <v>943307</v>
      </c>
      <c r="CF67" s="115">
        <f t="shared" si="215"/>
        <v>923024</v>
      </c>
      <c r="CG67" s="115">
        <f t="shared" si="215"/>
        <v>928523</v>
      </c>
      <c r="CH67" s="115">
        <f t="shared" ref="CH67:CI67" si="216">SUM(CH68:CH79)</f>
        <v>943307</v>
      </c>
      <c r="CI67" s="115">
        <f t="shared" si="216"/>
        <v>923024</v>
      </c>
      <c r="CJ67" s="115">
        <v>912716</v>
      </c>
      <c r="CK67" s="115">
        <f t="shared" ref="CK67:CO67" si="217">SUM(CK68:CK79)</f>
        <v>875895</v>
      </c>
      <c r="CL67" s="115">
        <f t="shared" si="217"/>
        <v>0</v>
      </c>
      <c r="CM67" s="115">
        <f t="shared" si="217"/>
        <v>0</v>
      </c>
      <c r="CN67" s="115">
        <f t="shared" si="217"/>
        <v>875895</v>
      </c>
      <c r="CO67" s="115">
        <f t="shared" si="217"/>
        <v>0</v>
      </c>
    </row>
    <row r="68" spans="1:93" s="92" customFormat="1" x14ac:dyDescent="0.25">
      <c r="A68" s="121" t="str">
        <f>Language!AA58</f>
        <v>Capital Social</v>
      </c>
      <c r="B68" s="108">
        <v>512979</v>
      </c>
      <c r="C68" s="108">
        <v>512979</v>
      </c>
      <c r="D68" s="108">
        <v>512979</v>
      </c>
      <c r="E68" s="106">
        <v>512979</v>
      </c>
      <c r="F68" s="108">
        <v>512979</v>
      </c>
      <c r="G68" s="108">
        <v>512979</v>
      </c>
      <c r="H68" s="108">
        <v>512979</v>
      </c>
      <c r="I68" s="106">
        <v>512979</v>
      </c>
      <c r="J68" s="108">
        <v>512979</v>
      </c>
      <c r="K68" s="108">
        <v>512979</v>
      </c>
      <c r="L68" s="108">
        <v>842979</v>
      </c>
      <c r="M68" s="106">
        <v>842979</v>
      </c>
      <c r="N68" s="108">
        <v>842979</v>
      </c>
      <c r="O68" s="108">
        <v>842979</v>
      </c>
      <c r="P68" s="108">
        <v>842979</v>
      </c>
      <c r="Q68" s="108">
        <v>842979</v>
      </c>
      <c r="R68" s="107">
        <v>842979</v>
      </c>
      <c r="S68" s="108">
        <f t="shared" si="20"/>
        <v>0</v>
      </c>
      <c r="T68" s="108">
        <f t="shared" si="21"/>
        <v>842979</v>
      </c>
      <c r="U68" s="108">
        <f t="shared" si="22"/>
        <v>842979</v>
      </c>
      <c r="V68" s="108"/>
      <c r="W68" s="108">
        <v>842979</v>
      </c>
      <c r="X68" s="108">
        <v>842979</v>
      </c>
      <c r="Y68" s="107">
        <v>842979</v>
      </c>
      <c r="Z68" s="108">
        <f t="shared" si="23"/>
        <v>842979</v>
      </c>
      <c r="AA68" s="108">
        <f t="shared" si="24"/>
        <v>842979</v>
      </c>
      <c r="AB68" s="108">
        <f t="shared" si="25"/>
        <v>842979</v>
      </c>
      <c r="AC68" s="108">
        <v>842979</v>
      </c>
      <c r="AD68" s="108">
        <v>842979</v>
      </c>
      <c r="AE68" s="108">
        <v>842979</v>
      </c>
      <c r="AF68" s="107">
        <v>842979</v>
      </c>
      <c r="AG68" s="108">
        <f t="shared" si="97"/>
        <v>842979</v>
      </c>
      <c r="AH68" s="108">
        <f t="shared" si="98"/>
        <v>842979</v>
      </c>
      <c r="AI68" s="108">
        <f t="shared" si="99"/>
        <v>842979</v>
      </c>
      <c r="AJ68" s="108">
        <v>842979</v>
      </c>
      <c r="AK68" s="108">
        <v>842979</v>
      </c>
      <c r="AL68" s="108">
        <v>842979</v>
      </c>
      <c r="AM68" s="107">
        <v>842979</v>
      </c>
      <c r="AN68" s="108">
        <f t="shared" si="125"/>
        <v>842979</v>
      </c>
      <c r="AO68" s="108">
        <f t="shared" si="125"/>
        <v>842979</v>
      </c>
      <c r="AP68" s="108">
        <f t="shared" si="125"/>
        <v>842979</v>
      </c>
      <c r="AQ68" s="108">
        <v>842979</v>
      </c>
      <c r="AR68" s="108">
        <v>842979</v>
      </c>
      <c r="AS68" s="108">
        <v>842979</v>
      </c>
      <c r="AT68" s="107">
        <v>842979</v>
      </c>
      <c r="AU68" s="107">
        <f>AX68</f>
        <v>842979</v>
      </c>
      <c r="AV68" s="107">
        <f>AY68</f>
        <v>842979</v>
      </c>
      <c r="AW68" s="107">
        <f t="shared" si="100"/>
        <v>842979</v>
      </c>
      <c r="AX68" s="107">
        <v>842979</v>
      </c>
      <c r="AY68" s="107">
        <v>842979</v>
      </c>
      <c r="AZ68" s="107">
        <v>842979</v>
      </c>
      <c r="BA68" s="107">
        <v>842979</v>
      </c>
      <c r="BB68" s="107">
        <f>BE68</f>
        <v>842979</v>
      </c>
      <c r="BC68" s="107">
        <f>BF68</f>
        <v>842979</v>
      </c>
      <c r="BD68" s="107">
        <f>BG68</f>
        <v>842979</v>
      </c>
      <c r="BE68" s="107">
        <v>842979</v>
      </c>
      <c r="BF68" s="107">
        <v>842979</v>
      </c>
      <c r="BG68" s="107">
        <v>842979</v>
      </c>
      <c r="BH68" s="107">
        <v>842979</v>
      </c>
      <c r="BI68" s="107">
        <f>BL68</f>
        <v>842979</v>
      </c>
      <c r="BJ68" s="107">
        <f>BM68</f>
        <v>842979</v>
      </c>
      <c r="BK68" s="107">
        <f>BN68</f>
        <v>842979</v>
      </c>
      <c r="BL68" s="772">
        <v>842979</v>
      </c>
      <c r="BM68" s="772">
        <v>842979</v>
      </c>
      <c r="BN68" s="772">
        <v>842979</v>
      </c>
      <c r="BO68" s="772">
        <v>842979</v>
      </c>
      <c r="BP68" s="772">
        <f>BS68</f>
        <v>842979</v>
      </c>
      <c r="BQ68" s="772">
        <f>BT68</f>
        <v>842979</v>
      </c>
      <c r="BR68" s="772">
        <f>BU68</f>
        <v>842979</v>
      </c>
      <c r="BS68" s="772">
        <v>842979</v>
      </c>
      <c r="BT68" s="772">
        <v>842979</v>
      </c>
      <c r="BU68" s="772">
        <v>842979</v>
      </c>
      <c r="BV68" s="772">
        <v>842979</v>
      </c>
      <c r="BW68" s="772">
        <f>BZ68</f>
        <v>842979</v>
      </c>
      <c r="BX68" s="772">
        <f>CA68</f>
        <v>842979</v>
      </c>
      <c r="BY68" s="772">
        <f>CB68</f>
        <v>842979</v>
      </c>
      <c r="BZ68" s="772">
        <v>842979</v>
      </c>
      <c r="CA68" s="772">
        <v>842979</v>
      </c>
      <c r="CB68" s="772">
        <v>842979</v>
      </c>
      <c r="CC68" s="772">
        <v>842979</v>
      </c>
      <c r="CD68" s="772">
        <f>CG68</f>
        <v>842979</v>
      </c>
      <c r="CE68" s="772">
        <f>CH68</f>
        <v>842979</v>
      </c>
      <c r="CF68" s="772">
        <f>CI68</f>
        <v>842979</v>
      </c>
      <c r="CG68" s="772">
        <v>842979</v>
      </c>
      <c r="CH68" s="772">
        <v>842979</v>
      </c>
      <c r="CI68" s="772">
        <v>842979</v>
      </c>
      <c r="CJ68" s="772">
        <v>842979</v>
      </c>
      <c r="CK68" s="772">
        <f>CN68</f>
        <v>842979</v>
      </c>
      <c r="CL68" s="772"/>
      <c r="CM68" s="772"/>
      <c r="CN68" s="772">
        <v>842979</v>
      </c>
      <c r="CO68" s="772"/>
    </row>
    <row r="69" spans="1:93" s="92" customFormat="1" x14ac:dyDescent="0.25">
      <c r="A69" s="121" t="str">
        <f>Language!AA59</f>
        <v>Capital a Integralizar</v>
      </c>
      <c r="B69" s="108">
        <v>0</v>
      </c>
      <c r="C69" s="108">
        <v>0</v>
      </c>
      <c r="D69" s="108">
        <v>0</v>
      </c>
      <c r="E69" s="106">
        <v>0</v>
      </c>
      <c r="F69" s="108">
        <v>0</v>
      </c>
      <c r="G69" s="108">
        <v>0</v>
      </c>
      <c r="H69" s="108">
        <v>0</v>
      </c>
      <c r="I69" s="106">
        <v>0</v>
      </c>
      <c r="J69" s="108">
        <v>0</v>
      </c>
      <c r="K69" s="108">
        <v>0</v>
      </c>
      <c r="L69" s="108">
        <v>0</v>
      </c>
      <c r="M69" s="106">
        <v>0</v>
      </c>
      <c r="N69" s="108">
        <v>0</v>
      </c>
      <c r="O69" s="108">
        <v>0</v>
      </c>
      <c r="P69" s="108">
        <v>0</v>
      </c>
      <c r="Q69" s="108">
        <v>0</v>
      </c>
      <c r="R69" s="107">
        <v>0</v>
      </c>
      <c r="S69" s="108">
        <f t="shared" si="20"/>
        <v>0</v>
      </c>
      <c r="T69" s="108">
        <f t="shared" si="21"/>
        <v>0</v>
      </c>
      <c r="U69" s="108">
        <f t="shared" si="22"/>
        <v>0</v>
      </c>
      <c r="V69" s="108"/>
      <c r="W69" s="108">
        <v>0</v>
      </c>
      <c r="X69" s="108">
        <v>0</v>
      </c>
      <c r="Y69" s="107">
        <v>0</v>
      </c>
      <c r="Z69" s="108"/>
      <c r="AA69" s="108"/>
      <c r="AB69" s="108"/>
      <c r="AC69" s="108"/>
      <c r="AD69" s="108"/>
      <c r="AE69" s="108"/>
      <c r="AF69" s="107"/>
      <c r="AG69" s="108"/>
      <c r="AH69" s="108"/>
      <c r="AI69" s="108"/>
      <c r="AJ69" s="108"/>
      <c r="AK69" s="108"/>
      <c r="AL69" s="108"/>
      <c r="AM69" s="107"/>
      <c r="AN69" s="108"/>
      <c r="AO69" s="108"/>
      <c r="AP69" s="108"/>
      <c r="AQ69" s="108"/>
      <c r="AR69" s="108"/>
      <c r="AS69" s="108"/>
      <c r="AT69" s="107"/>
      <c r="AU69" s="107">
        <f t="shared" ref="AU69:AU76" si="218">AX69</f>
        <v>0</v>
      </c>
      <c r="AV69" s="107">
        <f t="shared" ref="AV69:AV78" si="219">AY69</f>
        <v>0</v>
      </c>
      <c r="AW69" s="107">
        <f t="shared" si="100"/>
        <v>0</v>
      </c>
      <c r="AX69" s="107"/>
      <c r="AY69" s="107"/>
      <c r="AZ69" s="107">
        <v>0</v>
      </c>
      <c r="BA69" s="107">
        <v>0</v>
      </c>
      <c r="BB69" s="107">
        <f t="shared" ref="BB69:BB78" si="220">BE69</f>
        <v>0</v>
      </c>
      <c r="BC69" s="107">
        <f t="shared" ref="BC69:BC78" si="221">BF69</f>
        <v>0</v>
      </c>
      <c r="BD69" s="107">
        <f t="shared" ref="BD69:BD78" si="222">BG69</f>
        <v>0</v>
      </c>
      <c r="BE69" s="107">
        <v>0</v>
      </c>
      <c r="BF69" s="107">
        <v>0</v>
      </c>
      <c r="BG69" s="107">
        <v>0</v>
      </c>
      <c r="BH69" s="107">
        <v>0</v>
      </c>
      <c r="BI69" s="107">
        <f t="shared" ref="BI69:BI78" si="223">BL69</f>
        <v>0</v>
      </c>
      <c r="BJ69" s="107">
        <f t="shared" ref="BJ69:BJ78" si="224">BM69</f>
        <v>0</v>
      </c>
      <c r="BK69" s="107">
        <f t="shared" ref="BK69:BK78" si="225">BN69</f>
        <v>0</v>
      </c>
      <c r="BL69" s="772">
        <v>0</v>
      </c>
      <c r="BM69" s="772">
        <v>0</v>
      </c>
      <c r="BN69" s="772">
        <v>0</v>
      </c>
      <c r="BO69" s="772">
        <v>0</v>
      </c>
      <c r="BP69" s="772">
        <f t="shared" ref="BP69:BP78" si="226">BS69</f>
        <v>0</v>
      </c>
      <c r="BQ69" s="772">
        <f t="shared" ref="BQ69:BQ78" si="227">BT69</f>
        <v>0</v>
      </c>
      <c r="BR69" s="772">
        <f t="shared" ref="BR69:BR78" si="228">BU69</f>
        <v>0</v>
      </c>
      <c r="BS69" s="772">
        <v>0</v>
      </c>
      <c r="BT69" s="772">
        <v>0</v>
      </c>
      <c r="BU69" s="772">
        <v>0</v>
      </c>
      <c r="BV69" s="772">
        <v>0</v>
      </c>
      <c r="BW69" s="772">
        <f t="shared" ref="BW69:BW78" si="229">BZ69</f>
        <v>0</v>
      </c>
      <c r="BX69" s="772">
        <f t="shared" ref="BX69:BX78" si="230">CA69</f>
        <v>0</v>
      </c>
      <c r="BY69" s="772">
        <f t="shared" ref="BY69:BY78" si="231">CB69</f>
        <v>0</v>
      </c>
      <c r="BZ69" s="772">
        <v>0</v>
      </c>
      <c r="CA69" s="772">
        <v>0</v>
      </c>
      <c r="CB69" s="772">
        <v>0</v>
      </c>
      <c r="CC69" s="772">
        <v>0</v>
      </c>
      <c r="CD69" s="772">
        <f t="shared" ref="CD69:CD78" si="232">CG69</f>
        <v>0</v>
      </c>
      <c r="CE69" s="772">
        <f t="shared" ref="CE69:CE78" si="233">CH69</f>
        <v>0</v>
      </c>
      <c r="CF69" s="772">
        <f t="shared" ref="CF69:CF78" si="234">CI69</f>
        <v>0</v>
      </c>
      <c r="CG69" s="772">
        <v>0</v>
      </c>
      <c r="CH69" s="772">
        <v>0</v>
      </c>
      <c r="CI69" s="772">
        <v>0</v>
      </c>
      <c r="CJ69" s="772">
        <v>0</v>
      </c>
      <c r="CK69" s="772">
        <f t="shared" ref="CK69:CK78" si="235">CN69</f>
        <v>0</v>
      </c>
      <c r="CL69" s="772"/>
      <c r="CM69" s="772"/>
      <c r="CN69" s="772">
        <v>0</v>
      </c>
      <c r="CO69" s="772"/>
    </row>
    <row r="70" spans="1:93" s="92" customFormat="1" x14ac:dyDescent="0.25">
      <c r="A70" s="121" t="str">
        <f>Language!AA60</f>
        <v>Reservas de Capital</v>
      </c>
      <c r="B70" s="108">
        <v>3702</v>
      </c>
      <c r="C70" s="108">
        <v>4236</v>
      </c>
      <c r="D70" s="108">
        <v>4880</v>
      </c>
      <c r="E70" s="106">
        <v>5525</v>
      </c>
      <c r="F70" s="108">
        <v>6162</v>
      </c>
      <c r="G70" s="108">
        <v>-5369</v>
      </c>
      <c r="H70" s="108">
        <v>-4842</v>
      </c>
      <c r="I70" s="106">
        <v>7777</v>
      </c>
      <c r="J70" s="108">
        <v>8293</v>
      </c>
      <c r="K70" s="108">
        <v>8465</v>
      </c>
      <c r="L70" s="108">
        <v>-14141</v>
      </c>
      <c r="M70" s="106">
        <v>-14142</v>
      </c>
      <c r="N70" s="108">
        <v>-19096</v>
      </c>
      <c r="O70" s="108">
        <v>-19096</v>
      </c>
      <c r="P70" s="108">
        <v>-297367</v>
      </c>
      <c r="Q70" s="108">
        <v>-297367</v>
      </c>
      <c r="R70" s="107">
        <v>-297367</v>
      </c>
      <c r="S70" s="108">
        <f t="shared" si="20"/>
        <v>0</v>
      </c>
      <c r="T70" s="108">
        <f t="shared" si="21"/>
        <v>-298741</v>
      </c>
      <c r="U70" s="108">
        <f t="shared" si="22"/>
        <v>-298084</v>
      </c>
      <c r="V70" s="108"/>
      <c r="W70" s="108">
        <v>-298741</v>
      </c>
      <c r="X70" s="108">
        <v>-298084</v>
      </c>
      <c r="Y70" s="107">
        <v>-303222</v>
      </c>
      <c r="Z70" s="108">
        <f t="shared" si="23"/>
        <v>-303672</v>
      </c>
      <c r="AA70" s="108">
        <f t="shared" si="24"/>
        <v>-303672</v>
      </c>
      <c r="AB70" s="108">
        <f t="shared" si="25"/>
        <v>-301629</v>
      </c>
      <c r="AC70" s="108">
        <v>-303672</v>
      </c>
      <c r="AD70" s="108">
        <v>-303672</v>
      </c>
      <c r="AE70" s="108">
        <v>-301629</v>
      </c>
      <c r="AF70" s="107">
        <v>-301629</v>
      </c>
      <c r="AG70" s="108">
        <f t="shared" si="97"/>
        <v>-301627</v>
      </c>
      <c r="AH70" s="108">
        <f t="shared" si="98"/>
        <v>2294</v>
      </c>
      <c r="AI70" s="108">
        <f t="shared" si="99"/>
        <v>2294</v>
      </c>
      <c r="AJ70" s="108">
        <v>-301627</v>
      </c>
      <c r="AK70" s="108">
        <v>2294</v>
      </c>
      <c r="AL70" s="108">
        <v>2294</v>
      </c>
      <c r="AM70" s="107">
        <v>2294</v>
      </c>
      <c r="AN70" s="108">
        <f t="shared" si="125"/>
        <v>-4978</v>
      </c>
      <c r="AO70" s="108">
        <f t="shared" si="125"/>
        <v>-8348</v>
      </c>
      <c r="AP70" s="108">
        <f t="shared" si="125"/>
        <v>9878</v>
      </c>
      <c r="AQ70" s="108">
        <v>-4978</v>
      </c>
      <c r="AR70" s="108">
        <v>-8348</v>
      </c>
      <c r="AS70" s="108">
        <v>9878</v>
      </c>
      <c r="AT70" s="107">
        <v>20905</v>
      </c>
      <c r="AU70" s="107">
        <f t="shared" si="218"/>
        <v>27244</v>
      </c>
      <c r="AV70" s="107">
        <f t="shared" si="219"/>
        <v>29427</v>
      </c>
      <c r="AW70" s="107">
        <f t="shared" si="100"/>
        <v>29553</v>
      </c>
      <c r="AX70" s="107">
        <v>27244</v>
      </c>
      <c r="AY70" s="107">
        <v>29427</v>
      </c>
      <c r="AZ70" s="107">
        <v>29553</v>
      </c>
      <c r="BA70" s="107">
        <v>29553</v>
      </c>
      <c r="BB70" s="107">
        <f t="shared" si="220"/>
        <v>29553</v>
      </c>
      <c r="BC70" s="107">
        <f t="shared" si="221"/>
        <v>29553</v>
      </c>
      <c r="BD70" s="107">
        <f t="shared" si="222"/>
        <v>29553</v>
      </c>
      <c r="BE70" s="107">
        <v>29553</v>
      </c>
      <c r="BF70" s="107">
        <v>29553</v>
      </c>
      <c r="BG70" s="107">
        <v>29553</v>
      </c>
      <c r="BH70" s="107">
        <v>29553</v>
      </c>
      <c r="BI70" s="107">
        <f t="shared" si="223"/>
        <v>29553</v>
      </c>
      <c r="BJ70" s="107">
        <f t="shared" si="224"/>
        <v>29553</v>
      </c>
      <c r="BK70" s="107">
        <f t="shared" si="225"/>
        <v>29553</v>
      </c>
      <c r="BL70" s="772">
        <v>29553</v>
      </c>
      <c r="BM70" s="772">
        <v>29553</v>
      </c>
      <c r="BN70" s="772">
        <v>29553</v>
      </c>
      <c r="BO70" s="772">
        <v>29553</v>
      </c>
      <c r="BP70" s="772">
        <f t="shared" si="226"/>
        <v>29553</v>
      </c>
      <c r="BQ70" s="772">
        <f t="shared" si="227"/>
        <v>29553</v>
      </c>
      <c r="BR70" s="772">
        <f t="shared" si="228"/>
        <v>29553</v>
      </c>
      <c r="BS70" s="772">
        <v>29553</v>
      </c>
      <c r="BT70" s="772">
        <v>29553</v>
      </c>
      <c r="BU70" s="772">
        <v>29553</v>
      </c>
      <c r="BV70" s="772">
        <v>29553</v>
      </c>
      <c r="BW70" s="772">
        <f t="shared" si="229"/>
        <v>29553</v>
      </c>
      <c r="BX70" s="772">
        <f t="shared" si="230"/>
        <v>29553</v>
      </c>
      <c r="BY70" s="772">
        <f t="shared" si="231"/>
        <v>29553</v>
      </c>
      <c r="BZ70" s="772">
        <v>29553</v>
      </c>
      <c r="CA70" s="772">
        <v>29553</v>
      </c>
      <c r="CB70" s="772">
        <v>29553</v>
      </c>
      <c r="CC70" s="772">
        <v>29553</v>
      </c>
      <c r="CD70" s="772">
        <f t="shared" si="232"/>
        <v>29553</v>
      </c>
      <c r="CE70" s="772">
        <f t="shared" si="233"/>
        <v>29553</v>
      </c>
      <c r="CF70" s="772">
        <f t="shared" si="234"/>
        <v>29553</v>
      </c>
      <c r="CG70" s="772">
        <v>29553</v>
      </c>
      <c r="CH70" s="772">
        <v>29553</v>
      </c>
      <c r="CI70" s="772">
        <v>29553</v>
      </c>
      <c r="CJ70" s="772">
        <v>29553</v>
      </c>
      <c r="CK70" s="772">
        <f t="shared" si="235"/>
        <v>29553</v>
      </c>
      <c r="CL70" s="772"/>
      <c r="CM70" s="772"/>
      <c r="CN70" s="772">
        <v>29553</v>
      </c>
      <c r="CO70" s="772"/>
    </row>
    <row r="71" spans="1:93" s="92" customFormat="1" x14ac:dyDescent="0.25">
      <c r="A71" s="121" t="str">
        <f>Language!AA61</f>
        <v>Reserva de reavaliação, liquida</v>
      </c>
      <c r="B71" s="108">
        <v>257292</v>
      </c>
      <c r="C71" s="108">
        <v>245839</v>
      </c>
      <c r="D71" s="108">
        <v>235216</v>
      </c>
      <c r="E71" s="106">
        <v>225060</v>
      </c>
      <c r="F71" s="108">
        <v>215165</v>
      </c>
      <c r="G71" s="108">
        <v>204142</v>
      </c>
      <c r="H71" s="108">
        <v>194844</v>
      </c>
      <c r="I71" s="106">
        <v>185316</v>
      </c>
      <c r="J71" s="108">
        <v>177544</v>
      </c>
      <c r="K71" s="108">
        <v>171663</v>
      </c>
      <c r="L71" s="108">
        <v>165782</v>
      </c>
      <c r="M71" s="106">
        <v>160104</v>
      </c>
      <c r="N71" s="108">
        <v>154422</v>
      </c>
      <c r="O71" s="108">
        <v>148579</v>
      </c>
      <c r="P71" s="108">
        <v>143422</v>
      </c>
      <c r="Q71" s="108">
        <v>137985</v>
      </c>
      <c r="R71" s="107">
        <v>134101</v>
      </c>
      <c r="S71" s="108">
        <f t="shared" si="20"/>
        <v>0</v>
      </c>
      <c r="T71" s="108">
        <f t="shared" si="21"/>
        <v>126806</v>
      </c>
      <c r="U71" s="108">
        <f t="shared" si="22"/>
        <v>123359</v>
      </c>
      <c r="V71" s="108"/>
      <c r="W71" s="108">
        <v>126806</v>
      </c>
      <c r="X71" s="108">
        <v>123359</v>
      </c>
      <c r="Y71" s="107">
        <v>118747</v>
      </c>
      <c r="Z71" s="108">
        <f t="shared" si="23"/>
        <v>114217</v>
      </c>
      <c r="AA71" s="108">
        <f t="shared" si="24"/>
        <v>109708</v>
      </c>
      <c r="AB71" s="108">
        <f t="shared" si="25"/>
        <v>105255</v>
      </c>
      <c r="AC71" s="108">
        <v>114217</v>
      </c>
      <c r="AD71" s="108">
        <v>109708</v>
      </c>
      <c r="AE71" s="108">
        <v>105255</v>
      </c>
      <c r="AF71" s="107">
        <v>100113</v>
      </c>
      <c r="AG71" s="108">
        <f t="shared" si="97"/>
        <v>95176</v>
      </c>
      <c r="AH71" s="108">
        <f t="shared" si="98"/>
        <v>90091</v>
      </c>
      <c r="AI71" s="108">
        <f t="shared" si="99"/>
        <v>85014</v>
      </c>
      <c r="AJ71" s="108">
        <v>95176</v>
      </c>
      <c r="AK71" s="108">
        <v>90091</v>
      </c>
      <c r="AL71" s="108">
        <v>85014</v>
      </c>
      <c r="AM71" s="107">
        <v>69377</v>
      </c>
      <c r="AN71" s="108">
        <f t="shared" si="125"/>
        <v>64310</v>
      </c>
      <c r="AO71" s="108">
        <f t="shared" si="125"/>
        <v>64140</v>
      </c>
      <c r="AP71" s="108">
        <f t="shared" si="125"/>
        <v>43696</v>
      </c>
      <c r="AQ71" s="108">
        <v>64310</v>
      </c>
      <c r="AR71" s="108">
        <v>64140</v>
      </c>
      <c r="AS71" s="108">
        <v>43696</v>
      </c>
      <c r="AT71" s="107">
        <v>40890</v>
      </c>
      <c r="AU71" s="107">
        <f t="shared" si="218"/>
        <v>37037</v>
      </c>
      <c r="AV71" s="107">
        <f t="shared" si="219"/>
        <v>31510</v>
      </c>
      <c r="AW71" s="107">
        <f t="shared" si="100"/>
        <v>16420</v>
      </c>
      <c r="AX71" s="107">
        <v>37037</v>
      </c>
      <c r="AY71" s="107">
        <v>31510</v>
      </c>
      <c r="AZ71" s="107">
        <v>16420</v>
      </c>
      <c r="BA71" s="107">
        <v>13200</v>
      </c>
      <c r="BB71" s="107">
        <f t="shared" si="220"/>
        <v>10776</v>
      </c>
      <c r="BC71" s="107">
        <f t="shared" si="221"/>
        <v>7117</v>
      </c>
      <c r="BD71" s="107">
        <f t="shared" si="222"/>
        <v>2946</v>
      </c>
      <c r="BE71" s="107">
        <v>10776</v>
      </c>
      <c r="BF71" s="107">
        <v>7117</v>
      </c>
      <c r="BG71" s="107">
        <v>2946</v>
      </c>
      <c r="BH71" s="107">
        <v>0</v>
      </c>
      <c r="BI71" s="107">
        <f t="shared" si="223"/>
        <v>0</v>
      </c>
      <c r="BJ71" s="107">
        <f t="shared" si="224"/>
        <v>0</v>
      </c>
      <c r="BK71" s="107">
        <f t="shared" si="225"/>
        <v>0</v>
      </c>
      <c r="BL71" s="772">
        <v>0</v>
      </c>
      <c r="BM71" s="772">
        <v>0</v>
      </c>
      <c r="BN71" s="772">
        <v>0</v>
      </c>
      <c r="BO71" s="772">
        <v>0</v>
      </c>
      <c r="BP71" s="772">
        <f t="shared" si="226"/>
        <v>0</v>
      </c>
      <c r="BQ71" s="772">
        <f t="shared" si="227"/>
        <v>0</v>
      </c>
      <c r="BR71" s="772">
        <f t="shared" si="228"/>
        <v>0</v>
      </c>
      <c r="BS71" s="772">
        <v>0</v>
      </c>
      <c r="BT71" s="772">
        <v>0</v>
      </c>
      <c r="BU71" s="772">
        <v>0</v>
      </c>
      <c r="BV71" s="772">
        <v>0</v>
      </c>
      <c r="BW71" s="772">
        <f t="shared" si="229"/>
        <v>0</v>
      </c>
      <c r="BX71" s="772">
        <f t="shared" si="230"/>
        <v>0</v>
      </c>
      <c r="BY71" s="772">
        <f t="shared" si="231"/>
        <v>0</v>
      </c>
      <c r="BZ71" s="772">
        <v>0</v>
      </c>
      <c r="CA71" s="772">
        <v>0</v>
      </c>
      <c r="CB71" s="772">
        <v>0</v>
      </c>
      <c r="CC71" s="772">
        <v>0</v>
      </c>
      <c r="CD71" s="772">
        <f t="shared" si="232"/>
        <v>0</v>
      </c>
      <c r="CE71" s="772">
        <f t="shared" si="233"/>
        <v>0</v>
      </c>
      <c r="CF71" s="772">
        <f t="shared" si="234"/>
        <v>0</v>
      </c>
      <c r="CG71" s="772">
        <v>0</v>
      </c>
      <c r="CH71" s="772">
        <v>0</v>
      </c>
      <c r="CI71" s="772">
        <v>0</v>
      </c>
      <c r="CJ71" s="772">
        <v>0</v>
      </c>
      <c r="CK71" s="772">
        <f t="shared" si="235"/>
        <v>0</v>
      </c>
      <c r="CL71" s="772"/>
      <c r="CM71" s="772"/>
      <c r="CN71" s="772">
        <v>0</v>
      </c>
      <c r="CO71" s="772"/>
    </row>
    <row r="72" spans="1:93" s="92" customFormat="1" x14ac:dyDescent="0.25">
      <c r="A72" s="121" t="str">
        <f>Language!AA62</f>
        <v>Outros Resultados Abrangentes</v>
      </c>
      <c r="B72" s="108">
        <v>0</v>
      </c>
      <c r="C72" s="108">
        <v>0</v>
      </c>
      <c r="D72" s="108">
        <v>0</v>
      </c>
      <c r="E72" s="106">
        <v>0</v>
      </c>
      <c r="F72" s="108">
        <v>0</v>
      </c>
      <c r="G72" s="108">
        <v>0</v>
      </c>
      <c r="H72" s="108">
        <v>0</v>
      </c>
      <c r="I72" s="106">
        <v>0</v>
      </c>
      <c r="J72" s="108">
        <v>0</v>
      </c>
      <c r="K72" s="108">
        <v>-39830</v>
      </c>
      <c r="L72" s="108">
        <v>-42673</v>
      </c>
      <c r="M72" s="106">
        <v>-28452</v>
      </c>
      <c r="N72" s="108">
        <v>-23273</v>
      </c>
      <c r="O72" s="108">
        <v>-19669</v>
      </c>
      <c r="P72" s="108">
        <v>-43956</v>
      </c>
      <c r="Q72" s="108">
        <v>0</v>
      </c>
      <c r="R72" s="107">
        <v>0</v>
      </c>
      <c r="S72" s="108">
        <f t="shared" si="20"/>
        <v>0</v>
      </c>
      <c r="T72" s="108">
        <f t="shared" si="21"/>
        <v>0</v>
      </c>
      <c r="U72" s="108">
        <f t="shared" si="22"/>
        <v>0</v>
      </c>
      <c r="V72" s="108"/>
      <c r="W72" s="108">
        <v>0</v>
      </c>
      <c r="X72" s="108">
        <v>0</v>
      </c>
      <c r="Y72" s="107">
        <v>0</v>
      </c>
      <c r="Z72" s="108"/>
      <c r="AA72" s="108"/>
      <c r="AB72" s="108"/>
      <c r="AC72" s="108"/>
      <c r="AD72" s="108"/>
      <c r="AE72" s="108"/>
      <c r="AF72" s="107"/>
      <c r="AG72" s="108"/>
      <c r="AH72" s="108"/>
      <c r="AI72" s="108"/>
      <c r="AJ72" s="108"/>
      <c r="AK72" s="108"/>
      <c r="AL72" s="108"/>
      <c r="AM72" s="107"/>
      <c r="AN72" s="108"/>
      <c r="AO72" s="108"/>
      <c r="AP72" s="108"/>
      <c r="AQ72" s="108"/>
      <c r="AR72" s="108"/>
      <c r="AS72" s="108"/>
      <c r="AT72" s="107"/>
      <c r="AU72" s="107">
        <f t="shared" si="218"/>
        <v>0</v>
      </c>
      <c r="AV72" s="107">
        <f t="shared" si="219"/>
        <v>0</v>
      </c>
      <c r="AW72" s="107">
        <f t="shared" si="100"/>
        <v>0</v>
      </c>
      <c r="AX72" s="107"/>
      <c r="AY72" s="107">
        <v>0</v>
      </c>
      <c r="AZ72" s="107">
        <v>0</v>
      </c>
      <c r="BA72" s="107">
        <v>0</v>
      </c>
      <c r="BB72" s="107">
        <f t="shared" si="220"/>
        <v>0</v>
      </c>
      <c r="BC72" s="107">
        <f t="shared" si="221"/>
        <v>0</v>
      </c>
      <c r="BD72" s="107">
        <f t="shared" si="222"/>
        <v>0</v>
      </c>
      <c r="BE72" s="107">
        <v>0</v>
      </c>
      <c r="BF72" s="107">
        <v>0</v>
      </c>
      <c r="BG72" s="107"/>
      <c r="BH72" s="107"/>
      <c r="BI72" s="107">
        <f t="shared" si="223"/>
        <v>0</v>
      </c>
      <c r="BJ72" s="107">
        <f t="shared" si="224"/>
        <v>0</v>
      </c>
      <c r="BK72" s="107">
        <f t="shared" si="225"/>
        <v>0</v>
      </c>
      <c r="BL72" s="772"/>
      <c r="BM72" s="772"/>
      <c r="BN72" s="772"/>
      <c r="BO72" s="772"/>
      <c r="BP72" s="772">
        <f t="shared" si="226"/>
        <v>0</v>
      </c>
      <c r="BQ72" s="772">
        <f t="shared" si="227"/>
        <v>0</v>
      </c>
      <c r="BR72" s="772">
        <f t="shared" si="228"/>
        <v>0</v>
      </c>
      <c r="BS72" s="772"/>
      <c r="BT72" s="772"/>
      <c r="BU72" s="772"/>
      <c r="BV72" s="772"/>
      <c r="BW72" s="772">
        <f t="shared" si="229"/>
        <v>0</v>
      </c>
      <c r="BX72" s="772">
        <f t="shared" si="230"/>
        <v>0</v>
      </c>
      <c r="BY72" s="772">
        <f t="shared" si="231"/>
        <v>0</v>
      </c>
      <c r="BZ72" s="772"/>
      <c r="CA72" s="772"/>
      <c r="CB72" s="772"/>
      <c r="CC72" s="772"/>
      <c r="CD72" s="772">
        <f t="shared" si="232"/>
        <v>0</v>
      </c>
      <c r="CE72" s="772">
        <f t="shared" si="233"/>
        <v>0</v>
      </c>
      <c r="CF72" s="772">
        <f t="shared" si="234"/>
        <v>0</v>
      </c>
      <c r="CG72" s="772"/>
      <c r="CH72" s="772"/>
      <c r="CI72" s="772"/>
      <c r="CJ72" s="772"/>
      <c r="CK72" s="772">
        <f t="shared" si="235"/>
        <v>0</v>
      </c>
      <c r="CL72" s="772"/>
      <c r="CM72" s="772"/>
      <c r="CN72" s="772"/>
      <c r="CO72" s="772"/>
    </row>
    <row r="73" spans="1:93" s="92" customFormat="1" x14ac:dyDescent="0.25">
      <c r="A73" s="121" t="str">
        <f>Language!AA63</f>
        <v>Ajuste de avaliação Patrimonial, líquida</v>
      </c>
      <c r="B73" s="108">
        <v>501621</v>
      </c>
      <c r="C73" s="108">
        <v>495266</v>
      </c>
      <c r="D73" s="108">
        <v>488993</v>
      </c>
      <c r="E73" s="106">
        <v>482738</v>
      </c>
      <c r="F73" s="108">
        <v>474974</v>
      </c>
      <c r="G73" s="108">
        <v>467211</v>
      </c>
      <c r="H73" s="108">
        <v>459448</v>
      </c>
      <c r="I73" s="106">
        <v>451685</v>
      </c>
      <c r="J73" s="108">
        <v>443922</v>
      </c>
      <c r="K73" s="108">
        <v>436158</v>
      </c>
      <c r="L73" s="108">
        <v>428396</v>
      </c>
      <c r="M73" s="106">
        <v>420632</v>
      </c>
      <c r="N73" s="108">
        <v>412869</v>
      </c>
      <c r="O73" s="108">
        <v>405105</v>
      </c>
      <c r="P73" s="108">
        <v>394243</v>
      </c>
      <c r="Q73" s="108">
        <v>386369</v>
      </c>
      <c r="R73" s="107">
        <v>379198</v>
      </c>
      <c r="S73" s="108">
        <f t="shared" si="20"/>
        <v>0</v>
      </c>
      <c r="T73" s="108">
        <f t="shared" si="21"/>
        <v>364856</v>
      </c>
      <c r="U73" s="108">
        <f t="shared" si="22"/>
        <v>281984</v>
      </c>
      <c r="V73" s="108"/>
      <c r="W73" s="108">
        <v>364856</v>
      </c>
      <c r="X73" s="108">
        <v>281984</v>
      </c>
      <c r="Y73" s="107">
        <v>275294</v>
      </c>
      <c r="Z73" s="108">
        <f t="shared" si="23"/>
        <v>269081</v>
      </c>
      <c r="AA73" s="108">
        <f t="shared" si="24"/>
        <v>262759</v>
      </c>
      <c r="AB73" s="108">
        <f t="shared" si="25"/>
        <v>256546</v>
      </c>
      <c r="AC73" s="108">
        <v>269081</v>
      </c>
      <c r="AD73" s="108">
        <v>262759</v>
      </c>
      <c r="AE73" s="108">
        <v>256546</v>
      </c>
      <c r="AF73" s="107">
        <v>250333</v>
      </c>
      <c r="AG73" s="108">
        <f t="shared" si="97"/>
        <v>244120</v>
      </c>
      <c r="AH73" s="108">
        <f t="shared" si="98"/>
        <v>237906</v>
      </c>
      <c r="AI73" s="108"/>
      <c r="AJ73" s="108">
        <v>244120</v>
      </c>
      <c r="AK73" s="108">
        <v>237906</v>
      </c>
      <c r="AL73" s="108"/>
      <c r="AM73" s="107"/>
      <c r="AN73" s="108"/>
      <c r="AO73" s="108"/>
      <c r="AP73" s="108"/>
      <c r="AQ73" s="108"/>
      <c r="AR73" s="108"/>
      <c r="AS73" s="108"/>
      <c r="AT73" s="107"/>
      <c r="AU73" s="107">
        <f t="shared" si="218"/>
        <v>0</v>
      </c>
      <c r="AV73" s="107">
        <f t="shared" si="219"/>
        <v>0</v>
      </c>
      <c r="AW73" s="107">
        <f t="shared" si="100"/>
        <v>0</v>
      </c>
      <c r="AX73" s="107"/>
      <c r="AY73" s="107">
        <v>0</v>
      </c>
      <c r="AZ73" s="107">
        <v>0</v>
      </c>
      <c r="BA73" s="107">
        <v>0</v>
      </c>
      <c r="BB73" s="107">
        <f t="shared" si="220"/>
        <v>0</v>
      </c>
      <c r="BC73" s="107">
        <f t="shared" si="221"/>
        <v>0</v>
      </c>
      <c r="BD73" s="107">
        <f t="shared" si="222"/>
        <v>0</v>
      </c>
      <c r="BE73" s="107">
        <v>0</v>
      </c>
      <c r="BF73" s="107">
        <v>0</v>
      </c>
      <c r="BG73" s="107"/>
      <c r="BH73" s="107"/>
      <c r="BI73" s="107">
        <f t="shared" si="223"/>
        <v>0</v>
      </c>
      <c r="BJ73" s="107">
        <f t="shared" si="224"/>
        <v>0</v>
      </c>
      <c r="BK73" s="107">
        <f t="shared" si="225"/>
        <v>0</v>
      </c>
      <c r="BL73" s="772"/>
      <c r="BM73" s="772"/>
      <c r="BN73" s="772"/>
      <c r="BO73" s="772"/>
      <c r="BP73" s="772">
        <f t="shared" si="226"/>
        <v>0</v>
      </c>
      <c r="BQ73" s="772">
        <f t="shared" si="227"/>
        <v>0</v>
      </c>
      <c r="BR73" s="772">
        <f t="shared" si="228"/>
        <v>0</v>
      </c>
      <c r="BS73" s="772"/>
      <c r="BT73" s="772"/>
      <c r="BU73" s="772"/>
      <c r="BV73" s="772"/>
      <c r="BW73" s="772">
        <f t="shared" si="229"/>
        <v>0</v>
      </c>
      <c r="BX73" s="772">
        <f t="shared" si="230"/>
        <v>0</v>
      </c>
      <c r="BY73" s="772">
        <f t="shared" si="231"/>
        <v>0</v>
      </c>
      <c r="BZ73" s="772"/>
      <c r="CA73" s="772"/>
      <c r="CB73" s="772"/>
      <c r="CC73" s="772"/>
      <c r="CD73" s="772">
        <f t="shared" si="232"/>
        <v>0</v>
      </c>
      <c r="CE73" s="772">
        <f t="shared" si="233"/>
        <v>0</v>
      </c>
      <c r="CF73" s="772">
        <f t="shared" si="234"/>
        <v>0</v>
      </c>
      <c r="CG73" s="772"/>
      <c r="CH73" s="772"/>
      <c r="CI73" s="772"/>
      <c r="CJ73" s="772"/>
      <c r="CK73" s="772">
        <f t="shared" si="235"/>
        <v>0</v>
      </c>
      <c r="CL73" s="772"/>
      <c r="CM73" s="772"/>
      <c r="CN73" s="772"/>
      <c r="CO73" s="772"/>
    </row>
    <row r="74" spans="1:93" s="92" customFormat="1" x14ac:dyDescent="0.25">
      <c r="A74" s="121" t="str">
        <f>Language!AA64</f>
        <v>Ágio em transações de capital</v>
      </c>
      <c r="B74" s="108">
        <v>0</v>
      </c>
      <c r="C74" s="108">
        <v>0</v>
      </c>
      <c r="D74" s="108">
        <v>-12091</v>
      </c>
      <c r="E74" s="106">
        <v>-12091</v>
      </c>
      <c r="F74" s="108">
        <v>-12091</v>
      </c>
      <c r="G74" s="108">
        <v>0</v>
      </c>
      <c r="H74" s="108">
        <v>0</v>
      </c>
      <c r="I74" s="106">
        <v>506285</v>
      </c>
      <c r="J74" s="108">
        <v>506285</v>
      </c>
      <c r="K74" s="108">
        <v>0</v>
      </c>
      <c r="L74" s="108">
        <v>0</v>
      </c>
      <c r="M74" s="106">
        <v>0</v>
      </c>
      <c r="N74" s="108">
        <v>0</v>
      </c>
      <c r="O74" s="108">
        <v>0</v>
      </c>
      <c r="P74" s="108"/>
      <c r="Q74" s="108">
        <v>0</v>
      </c>
      <c r="R74" s="107">
        <v>0</v>
      </c>
      <c r="S74" s="108">
        <f t="shared" ref="S74:S80" si="236">V74</f>
        <v>0</v>
      </c>
      <c r="T74" s="108">
        <f t="shared" ref="T74:T80" si="237">W74</f>
        <v>0</v>
      </c>
      <c r="U74" s="108">
        <f t="shared" ref="U74:U80" si="238">X74</f>
        <v>0</v>
      </c>
      <c r="V74" s="108"/>
      <c r="W74" s="108">
        <v>0</v>
      </c>
      <c r="X74" s="108">
        <v>0</v>
      </c>
      <c r="Y74" s="107">
        <v>0</v>
      </c>
      <c r="Z74" s="108"/>
      <c r="AA74" s="108"/>
      <c r="AB74" s="108"/>
      <c r="AC74" s="108"/>
      <c r="AD74" s="108"/>
      <c r="AE74" s="108"/>
      <c r="AF74" s="107"/>
      <c r="AG74" s="108"/>
      <c r="AH74" s="108"/>
      <c r="AI74" s="108"/>
      <c r="AJ74" s="108"/>
      <c r="AK74" s="108"/>
      <c r="AL74" s="108"/>
      <c r="AM74" s="107"/>
      <c r="AN74" s="108"/>
      <c r="AO74" s="108"/>
      <c r="AP74" s="108"/>
      <c r="AQ74" s="108"/>
      <c r="AR74" s="108"/>
      <c r="AS74" s="108"/>
      <c r="AT74" s="107"/>
      <c r="AU74" s="107">
        <f t="shared" si="218"/>
        <v>0</v>
      </c>
      <c r="AV74" s="107">
        <f t="shared" si="219"/>
        <v>0</v>
      </c>
      <c r="AW74" s="107">
        <f t="shared" si="100"/>
        <v>0</v>
      </c>
      <c r="AX74" s="107"/>
      <c r="AY74" s="107">
        <v>0</v>
      </c>
      <c r="AZ74" s="107">
        <v>0</v>
      </c>
      <c r="BA74" s="107">
        <v>0</v>
      </c>
      <c r="BB74" s="107">
        <f t="shared" si="220"/>
        <v>0</v>
      </c>
      <c r="BC74" s="107">
        <f t="shared" si="221"/>
        <v>0</v>
      </c>
      <c r="BD74" s="107">
        <f t="shared" si="222"/>
        <v>0</v>
      </c>
      <c r="BE74" s="107">
        <v>0</v>
      </c>
      <c r="BF74" s="107">
        <v>0</v>
      </c>
      <c r="BG74" s="107"/>
      <c r="BH74" s="107"/>
      <c r="BI74" s="107">
        <f t="shared" si="223"/>
        <v>0</v>
      </c>
      <c r="BJ74" s="107">
        <f t="shared" si="224"/>
        <v>0</v>
      </c>
      <c r="BK74" s="107">
        <f t="shared" si="225"/>
        <v>0</v>
      </c>
      <c r="BL74" s="772"/>
      <c r="BM74" s="772"/>
      <c r="BN74" s="772"/>
      <c r="BO74" s="772"/>
      <c r="BP74" s="772">
        <f t="shared" si="226"/>
        <v>0</v>
      </c>
      <c r="BQ74" s="772">
        <f t="shared" si="227"/>
        <v>0</v>
      </c>
      <c r="BR74" s="772">
        <f t="shared" si="228"/>
        <v>0</v>
      </c>
      <c r="BS74" s="772"/>
      <c r="BT74" s="772"/>
      <c r="BU74" s="772"/>
      <c r="BV74" s="772"/>
      <c r="BW74" s="772">
        <f t="shared" si="229"/>
        <v>0</v>
      </c>
      <c r="BX74" s="772">
        <f t="shared" si="230"/>
        <v>0</v>
      </c>
      <c r="BY74" s="772">
        <f t="shared" si="231"/>
        <v>0</v>
      </c>
      <c r="BZ74" s="772"/>
      <c r="CA74" s="772"/>
      <c r="CB74" s="772"/>
      <c r="CC74" s="772"/>
      <c r="CD74" s="772">
        <f t="shared" si="232"/>
        <v>0</v>
      </c>
      <c r="CE74" s="772">
        <f t="shared" si="233"/>
        <v>0</v>
      </c>
      <c r="CF74" s="772">
        <f t="shared" si="234"/>
        <v>0</v>
      </c>
      <c r="CG74" s="772"/>
      <c r="CH74" s="772"/>
      <c r="CI74" s="772"/>
      <c r="CJ74" s="772"/>
      <c r="CK74" s="772">
        <f t="shared" si="235"/>
        <v>0</v>
      </c>
      <c r="CL74" s="772"/>
      <c r="CM74" s="772"/>
      <c r="CN74" s="772"/>
      <c r="CO74" s="772"/>
    </row>
    <row r="75" spans="1:93" s="92" customFormat="1" x14ac:dyDescent="0.25">
      <c r="A75" s="121" t="str">
        <f>Language!AA65</f>
        <v>Reservas de Lucros</v>
      </c>
      <c r="B75" s="108">
        <v>103646</v>
      </c>
      <c r="C75" s="108">
        <v>119498</v>
      </c>
      <c r="D75" s="108">
        <v>121486</v>
      </c>
      <c r="E75" s="106">
        <v>143812</v>
      </c>
      <c r="F75" s="108">
        <v>176267</v>
      </c>
      <c r="G75" s="108">
        <v>184696</v>
      </c>
      <c r="H75" s="108">
        <v>177467</v>
      </c>
      <c r="I75" s="106">
        <v>176503</v>
      </c>
      <c r="J75" s="108">
        <v>210213</v>
      </c>
      <c r="K75" s="108">
        <v>682276</v>
      </c>
      <c r="L75" s="108">
        <v>700469</v>
      </c>
      <c r="M75" s="106">
        <v>590136</v>
      </c>
      <c r="N75" s="108">
        <v>552232</v>
      </c>
      <c r="O75" s="108">
        <v>609470</v>
      </c>
      <c r="P75" s="108">
        <v>552232</v>
      </c>
      <c r="Q75" s="108">
        <v>590136</v>
      </c>
      <c r="R75" s="107">
        <v>315454</v>
      </c>
      <c r="S75" s="108">
        <f t="shared" si="236"/>
        <v>0</v>
      </c>
      <c r="T75" s="108">
        <f t="shared" si="237"/>
        <v>227045</v>
      </c>
      <c r="U75" s="108">
        <f t="shared" si="238"/>
        <v>363066</v>
      </c>
      <c r="V75" s="108"/>
      <c r="W75" s="108">
        <v>227045</v>
      </c>
      <c r="X75" s="108">
        <v>363066</v>
      </c>
      <c r="Y75" s="107">
        <v>344421</v>
      </c>
      <c r="Z75" s="108">
        <f t="shared" ref="Z75:Z78" si="239">AC75</f>
        <v>268237</v>
      </c>
      <c r="AA75" s="108">
        <f t="shared" ref="AA75:AA78" si="240">AD75</f>
        <v>223661</v>
      </c>
      <c r="AB75" s="108">
        <f t="shared" ref="AB75:AB78" si="241">AE75</f>
        <v>40216</v>
      </c>
      <c r="AC75" s="108">
        <v>268237</v>
      </c>
      <c r="AD75" s="108">
        <v>223661</v>
      </c>
      <c r="AE75" s="108">
        <v>40216</v>
      </c>
      <c r="AF75" s="107"/>
      <c r="AG75" s="108">
        <f t="shared" si="97"/>
        <v>-243359</v>
      </c>
      <c r="AH75" s="108">
        <f t="shared" si="98"/>
        <v>-714071</v>
      </c>
      <c r="AI75" s="108">
        <f t="shared" si="99"/>
        <v>242829</v>
      </c>
      <c r="AJ75" s="108">
        <v>-243359</v>
      </c>
      <c r="AK75" s="108">
        <v>-714071</v>
      </c>
      <c r="AL75" s="108">
        <v>242829</v>
      </c>
      <c r="AM75" s="107">
        <v>284261</v>
      </c>
      <c r="AN75" s="108">
        <f t="shared" si="125"/>
        <v>289768</v>
      </c>
      <c r="AO75" s="108">
        <f t="shared" si="125"/>
        <v>239122</v>
      </c>
      <c r="AP75" s="108"/>
      <c r="AQ75" s="108">
        <v>289768</v>
      </c>
      <c r="AR75" s="108">
        <v>239122</v>
      </c>
      <c r="AS75" s="108"/>
      <c r="AT75" s="107"/>
      <c r="AU75" s="107">
        <f t="shared" si="218"/>
        <v>0</v>
      </c>
      <c r="AV75" s="107">
        <f t="shared" si="219"/>
        <v>0</v>
      </c>
      <c r="AW75" s="107">
        <f t="shared" si="100"/>
        <v>0</v>
      </c>
      <c r="AX75" s="107"/>
      <c r="AY75" s="107"/>
      <c r="AZ75" s="107">
        <v>0</v>
      </c>
      <c r="BA75" s="107">
        <v>0</v>
      </c>
      <c r="BB75" s="107">
        <f t="shared" si="220"/>
        <v>0</v>
      </c>
      <c r="BC75" s="107">
        <f t="shared" si="221"/>
        <v>0</v>
      </c>
      <c r="BD75" s="107">
        <f t="shared" si="222"/>
        <v>0</v>
      </c>
      <c r="BE75" s="107">
        <v>0</v>
      </c>
      <c r="BF75" s="107">
        <v>0</v>
      </c>
      <c r="BG75" s="107"/>
      <c r="BH75" s="107">
        <v>21453</v>
      </c>
      <c r="BI75" s="107">
        <f t="shared" si="223"/>
        <v>21453</v>
      </c>
      <c r="BJ75" s="107">
        <f t="shared" si="224"/>
        <v>21453</v>
      </c>
      <c r="BK75" s="107">
        <f t="shared" si="225"/>
        <v>31182</v>
      </c>
      <c r="BL75" s="772">
        <v>21453</v>
      </c>
      <c r="BM75" s="772">
        <v>21453</v>
      </c>
      <c r="BN75" s="772">
        <v>31182</v>
      </c>
      <c r="BO75" s="772">
        <v>31182</v>
      </c>
      <c r="BP75" s="772">
        <f t="shared" si="226"/>
        <v>31182</v>
      </c>
      <c r="BQ75" s="772">
        <f t="shared" si="227"/>
        <v>31182</v>
      </c>
      <c r="BR75" s="772">
        <f t="shared" si="228"/>
        <v>37154</v>
      </c>
      <c r="BS75" s="772">
        <v>31182</v>
      </c>
      <c r="BT75" s="772">
        <v>31182</v>
      </c>
      <c r="BU75" s="772">
        <v>37154</v>
      </c>
      <c r="BV75" s="772">
        <v>37154</v>
      </c>
      <c r="BW75" s="772">
        <f t="shared" si="229"/>
        <v>31182</v>
      </c>
      <c r="BX75" s="772">
        <f t="shared" si="230"/>
        <v>31182</v>
      </c>
      <c r="BY75" s="772">
        <f t="shared" si="231"/>
        <v>31182</v>
      </c>
      <c r="BZ75" s="772">
        <v>31182</v>
      </c>
      <c r="CA75" s="772">
        <v>31182</v>
      </c>
      <c r="CB75" s="772">
        <v>31182</v>
      </c>
      <c r="CC75" s="772">
        <v>23161</v>
      </c>
      <c r="CD75" s="772">
        <f t="shared" si="232"/>
        <v>23161</v>
      </c>
      <c r="CE75" s="772">
        <f t="shared" si="233"/>
        <v>23161</v>
      </c>
      <c r="CF75" s="772">
        <f t="shared" si="234"/>
        <v>13161</v>
      </c>
      <c r="CG75" s="772">
        <v>23161</v>
      </c>
      <c r="CH75" s="772">
        <v>23161</v>
      </c>
      <c r="CI75" s="772">
        <v>13161</v>
      </c>
      <c r="CJ75" s="772">
        <v>13161</v>
      </c>
      <c r="CK75" s="772">
        <f t="shared" si="235"/>
        <v>46970</v>
      </c>
      <c r="CL75" s="772"/>
      <c r="CM75" s="772"/>
      <c r="CN75" s="772">
        <v>46970</v>
      </c>
      <c r="CO75" s="772"/>
    </row>
    <row r="76" spans="1:93" s="92" customFormat="1" x14ac:dyDescent="0.25">
      <c r="A76" s="121" t="str">
        <f>Language!AA66</f>
        <v>Lucro e prejuizos acumulados</v>
      </c>
      <c r="B76" s="108">
        <v>0</v>
      </c>
      <c r="C76" s="108">
        <v>0</v>
      </c>
      <c r="D76" s="108">
        <v>0</v>
      </c>
      <c r="E76" s="106">
        <v>0</v>
      </c>
      <c r="F76" s="108">
        <v>0</v>
      </c>
      <c r="G76" s="108">
        <v>0</v>
      </c>
      <c r="H76" s="108">
        <v>0</v>
      </c>
      <c r="I76" s="106">
        <v>0</v>
      </c>
      <c r="J76" s="108">
        <v>0</v>
      </c>
      <c r="K76" s="108">
        <v>0</v>
      </c>
      <c r="L76" s="108">
        <v>0</v>
      </c>
      <c r="M76" s="106">
        <v>0</v>
      </c>
      <c r="N76" s="108">
        <v>218728</v>
      </c>
      <c r="O76" s="108">
        <v>139497</v>
      </c>
      <c r="P76" s="108">
        <v>154186</v>
      </c>
      <c r="Q76" s="108">
        <v>-373802</v>
      </c>
      <c r="R76" s="107">
        <v>0</v>
      </c>
      <c r="S76" s="108">
        <f t="shared" si="236"/>
        <v>0</v>
      </c>
      <c r="T76" s="108">
        <f t="shared" si="237"/>
        <v>0</v>
      </c>
      <c r="U76" s="108">
        <f t="shared" si="238"/>
        <v>0</v>
      </c>
      <c r="V76" s="108"/>
      <c r="W76" s="108">
        <v>0</v>
      </c>
      <c r="X76" s="108">
        <v>0</v>
      </c>
      <c r="Y76" s="107">
        <v>0</v>
      </c>
      <c r="Z76" s="108"/>
      <c r="AA76" s="108"/>
      <c r="AB76" s="108"/>
      <c r="AC76" s="108"/>
      <c r="AD76" s="108"/>
      <c r="AE76" s="108"/>
      <c r="AF76" s="107">
        <v>-17169</v>
      </c>
      <c r="AG76" s="108"/>
      <c r="AH76" s="108"/>
      <c r="AI76" s="108"/>
      <c r="AJ76" s="108"/>
      <c r="AK76" s="108"/>
      <c r="AL76" s="108"/>
      <c r="AM76" s="107"/>
      <c r="AN76" s="108"/>
      <c r="AO76" s="108"/>
      <c r="AP76" s="108"/>
      <c r="AQ76" s="108"/>
      <c r="AR76" s="108"/>
      <c r="AS76" s="108">
        <v>-12434</v>
      </c>
      <c r="AT76" s="107">
        <v>-64672</v>
      </c>
      <c r="AU76" s="107">
        <f t="shared" si="218"/>
        <v>-154822</v>
      </c>
      <c r="AV76" s="107">
        <f t="shared" si="219"/>
        <v>-219704</v>
      </c>
      <c r="AW76" s="107">
        <f t="shared" si="100"/>
        <v>-173424</v>
      </c>
      <c r="AX76" s="107">
        <v>-154822</v>
      </c>
      <c r="AY76" s="107">
        <v>-219704</v>
      </c>
      <c r="AZ76" s="107">
        <v>-173424</v>
      </c>
      <c r="BA76" s="107">
        <v>-185147</v>
      </c>
      <c r="BB76" s="107">
        <f t="shared" si="220"/>
        <v>-181618</v>
      </c>
      <c r="BC76" s="107">
        <f t="shared" si="221"/>
        <v>-230868</v>
      </c>
      <c r="BD76" s="107">
        <f t="shared" si="222"/>
        <v>29402</v>
      </c>
      <c r="BE76" s="107">
        <v>-181618</v>
      </c>
      <c r="BF76" s="107">
        <v>-230868</v>
      </c>
      <c r="BG76" s="107">
        <v>29402</v>
      </c>
      <c r="BH76" s="107">
        <v>-46075</v>
      </c>
      <c r="BI76" s="107">
        <f t="shared" si="223"/>
        <v>-51047</v>
      </c>
      <c r="BJ76" s="107">
        <f t="shared" si="224"/>
        <v>37716</v>
      </c>
      <c r="BK76" s="107">
        <f t="shared" si="225"/>
        <v>0</v>
      </c>
      <c r="BL76" s="772">
        <v>-51047</v>
      </c>
      <c r="BM76" s="772">
        <v>37716</v>
      </c>
      <c r="BN76" s="772">
        <v>0</v>
      </c>
      <c r="BO76" s="772">
        <v>-32739</v>
      </c>
      <c r="BP76" s="772">
        <f t="shared" si="226"/>
        <v>78197</v>
      </c>
      <c r="BQ76" s="772">
        <f t="shared" si="227"/>
        <v>21485</v>
      </c>
      <c r="BR76" s="772">
        <f t="shared" si="228"/>
        <v>0</v>
      </c>
      <c r="BS76" s="772">
        <v>78197</v>
      </c>
      <c r="BT76" s="772">
        <v>21485</v>
      </c>
      <c r="BU76" s="772">
        <v>0</v>
      </c>
      <c r="BV76" s="772">
        <v>-68845</v>
      </c>
      <c r="BW76" s="772">
        <f t="shared" si="229"/>
        <v>-123873</v>
      </c>
      <c r="BX76" s="772">
        <f t="shared" si="230"/>
        <v>-15650</v>
      </c>
      <c r="BY76" s="772">
        <f t="shared" si="231"/>
        <v>-8021</v>
      </c>
      <c r="BZ76" s="772">
        <v>-123873</v>
      </c>
      <c r="CA76" s="772">
        <v>-15650</v>
      </c>
      <c r="CB76" s="772">
        <v>-8021</v>
      </c>
      <c r="CC76" s="772">
        <v>5094</v>
      </c>
      <c r="CD76" s="772">
        <f t="shared" si="232"/>
        <v>31087</v>
      </c>
      <c r="CE76" s="772">
        <f t="shared" si="233"/>
        <v>45871</v>
      </c>
      <c r="CF76" s="772">
        <f t="shared" si="234"/>
        <v>35588</v>
      </c>
      <c r="CG76" s="772">
        <v>31087</v>
      </c>
      <c r="CH76" s="772">
        <v>45871</v>
      </c>
      <c r="CI76" s="772">
        <v>35588</v>
      </c>
      <c r="CJ76" s="772">
        <v>25280</v>
      </c>
      <c r="CK76" s="772">
        <f t="shared" si="235"/>
        <v>-47129</v>
      </c>
      <c r="CL76" s="772"/>
      <c r="CM76" s="772"/>
      <c r="CN76" s="772">
        <v>-47129</v>
      </c>
      <c r="CO76" s="772"/>
    </row>
    <row r="77" spans="1:93" s="92" customFormat="1" x14ac:dyDescent="0.25">
      <c r="A77" s="121" t="str">
        <f>Language!AA67</f>
        <v>Adiantamentos para futuro aumento de capital  - AFAC</v>
      </c>
      <c r="B77" s="108">
        <v>0</v>
      </c>
      <c r="C77" s="108">
        <v>0</v>
      </c>
      <c r="D77" s="108">
        <v>0</v>
      </c>
      <c r="E77" s="106">
        <v>0</v>
      </c>
      <c r="F77" s="108">
        <v>0</v>
      </c>
      <c r="G77" s="108">
        <v>0</v>
      </c>
      <c r="H77" s="108">
        <v>0</v>
      </c>
      <c r="I77" s="106">
        <v>0</v>
      </c>
      <c r="J77" s="108">
        <v>0</v>
      </c>
      <c r="K77" s="108">
        <v>214915</v>
      </c>
      <c r="L77" s="108">
        <v>0</v>
      </c>
      <c r="M77" s="106">
        <v>0</v>
      </c>
      <c r="N77" s="108">
        <v>0</v>
      </c>
      <c r="O77" s="108">
        <v>0</v>
      </c>
      <c r="P77" s="108">
        <v>0</v>
      </c>
      <c r="Q77" s="108">
        <v>0</v>
      </c>
      <c r="R77" s="107">
        <v>0</v>
      </c>
      <c r="S77" s="108">
        <f t="shared" si="236"/>
        <v>0</v>
      </c>
      <c r="T77" s="108">
        <f t="shared" si="237"/>
        <v>0</v>
      </c>
      <c r="U77" s="108">
        <f t="shared" si="238"/>
        <v>0</v>
      </c>
      <c r="V77" s="108"/>
      <c r="W77" s="108">
        <v>0</v>
      </c>
      <c r="X77" s="108">
        <v>0</v>
      </c>
      <c r="Y77" s="107">
        <v>0</v>
      </c>
      <c r="Z77" s="108"/>
      <c r="AA77" s="108"/>
      <c r="AB77" s="108"/>
      <c r="AC77" s="108"/>
      <c r="AD77" s="108"/>
      <c r="AE77" s="108"/>
      <c r="AF77" s="107"/>
      <c r="AG77" s="108"/>
      <c r="AH77" s="108"/>
      <c r="AI77" s="108"/>
      <c r="AJ77" s="108"/>
      <c r="AK77" s="108"/>
      <c r="AL77" s="108"/>
      <c r="AM77" s="107"/>
      <c r="AN77" s="108"/>
      <c r="AO77" s="108"/>
      <c r="AP77" s="108"/>
      <c r="AQ77" s="108"/>
      <c r="AR77" s="108"/>
      <c r="AS77" s="108"/>
      <c r="AT77" s="107"/>
      <c r="AU77" s="107"/>
      <c r="AV77" s="107">
        <f t="shared" si="219"/>
        <v>0</v>
      </c>
      <c r="AW77" s="107">
        <f t="shared" si="100"/>
        <v>0</v>
      </c>
      <c r="AX77" s="107"/>
      <c r="AY77" s="107"/>
      <c r="AZ77" s="107">
        <v>0</v>
      </c>
      <c r="BA77" s="107">
        <v>0</v>
      </c>
      <c r="BB77" s="107">
        <f t="shared" si="220"/>
        <v>0</v>
      </c>
      <c r="BC77" s="107">
        <f t="shared" si="221"/>
        <v>0</v>
      </c>
      <c r="BD77" s="107">
        <f t="shared" si="222"/>
        <v>0</v>
      </c>
      <c r="BE77" s="107">
        <v>0</v>
      </c>
      <c r="BF77" s="107">
        <v>0</v>
      </c>
      <c r="BG77" s="107"/>
      <c r="BH77" s="107"/>
      <c r="BI77" s="107">
        <f t="shared" si="223"/>
        <v>0</v>
      </c>
      <c r="BJ77" s="107">
        <f t="shared" si="224"/>
        <v>0</v>
      </c>
      <c r="BK77" s="107">
        <f t="shared" si="225"/>
        <v>0</v>
      </c>
      <c r="BL77" s="772"/>
      <c r="BM77" s="772"/>
      <c r="BN77" s="772"/>
      <c r="BO77" s="772"/>
      <c r="BP77" s="772">
        <f t="shared" si="226"/>
        <v>0</v>
      </c>
      <c r="BQ77" s="772">
        <f t="shared" si="227"/>
        <v>0</v>
      </c>
      <c r="BR77" s="772">
        <f t="shared" si="228"/>
        <v>0</v>
      </c>
      <c r="BS77" s="772"/>
      <c r="BT77" s="772"/>
      <c r="BU77" s="772"/>
      <c r="BV77" s="772"/>
      <c r="BW77" s="772">
        <f t="shared" si="229"/>
        <v>0</v>
      </c>
      <c r="BX77" s="772">
        <f t="shared" si="230"/>
        <v>0</v>
      </c>
      <c r="BY77" s="772">
        <f t="shared" si="231"/>
        <v>0</v>
      </c>
      <c r="BZ77" s="772"/>
      <c r="CA77" s="772"/>
      <c r="CB77" s="772"/>
      <c r="CC77" s="772"/>
      <c r="CD77" s="772">
        <f t="shared" si="232"/>
        <v>0</v>
      </c>
      <c r="CE77" s="772">
        <f t="shared" si="233"/>
        <v>0</v>
      </c>
      <c r="CF77" s="772">
        <f t="shared" si="234"/>
        <v>0</v>
      </c>
      <c r="CG77" s="772"/>
      <c r="CH77" s="772"/>
      <c r="CI77" s="772"/>
      <c r="CJ77" s="772"/>
      <c r="CK77" s="772">
        <f t="shared" si="235"/>
        <v>0</v>
      </c>
      <c r="CL77" s="772"/>
      <c r="CM77" s="772"/>
      <c r="CN77" s="772"/>
      <c r="CO77" s="772"/>
    </row>
    <row r="78" spans="1:93" s="92" customFormat="1" x14ac:dyDescent="0.25">
      <c r="A78" s="121" t="str">
        <f>Language!AA68</f>
        <v>Reservas Legal</v>
      </c>
      <c r="B78" s="108">
        <v>0</v>
      </c>
      <c r="C78" s="108">
        <v>1623</v>
      </c>
      <c r="D78" s="108">
        <v>1623</v>
      </c>
      <c r="E78" s="106">
        <v>2519</v>
      </c>
      <c r="F78" s="108">
        <v>2713</v>
      </c>
      <c r="G78" s="108">
        <v>2713</v>
      </c>
      <c r="H78" s="108">
        <v>2713</v>
      </c>
      <c r="I78" s="106">
        <v>3177</v>
      </c>
      <c r="J78" s="108">
        <v>3177</v>
      </c>
      <c r="K78" s="108">
        <v>28491</v>
      </c>
      <c r="L78" s="108">
        <v>28491</v>
      </c>
      <c r="M78" s="106">
        <v>28840</v>
      </c>
      <c r="N78" s="108">
        <v>28491</v>
      </c>
      <c r="O78" s="108">
        <v>28840</v>
      </c>
      <c r="P78" s="108">
        <v>28491</v>
      </c>
      <c r="Q78" s="108">
        <v>28840</v>
      </c>
      <c r="R78" s="107">
        <v>28840</v>
      </c>
      <c r="S78" s="108">
        <f t="shared" si="236"/>
        <v>0</v>
      </c>
      <c r="T78" s="108">
        <f t="shared" si="237"/>
        <v>28840</v>
      </c>
      <c r="U78" s="108">
        <f t="shared" si="238"/>
        <v>28840</v>
      </c>
      <c r="V78" s="108"/>
      <c r="W78" s="108">
        <v>28840</v>
      </c>
      <c r="X78" s="108">
        <v>28840</v>
      </c>
      <c r="Y78" s="107">
        <v>33690</v>
      </c>
      <c r="Z78" s="108">
        <f t="shared" si="239"/>
        <v>32224</v>
      </c>
      <c r="AA78" s="108">
        <f t="shared" si="240"/>
        <v>32224</v>
      </c>
      <c r="AB78" s="108">
        <f t="shared" si="241"/>
        <v>32224</v>
      </c>
      <c r="AC78" s="108">
        <v>32224</v>
      </c>
      <c r="AD78" s="108">
        <v>32224</v>
      </c>
      <c r="AE78" s="108">
        <v>32224</v>
      </c>
      <c r="AF78" s="107"/>
      <c r="AG78" s="108">
        <f t="shared" si="97"/>
        <v>32224</v>
      </c>
      <c r="AH78" s="108"/>
      <c r="AI78" s="108">
        <f t="shared" si="99"/>
        <v>32224</v>
      </c>
      <c r="AJ78" s="108">
        <v>32224</v>
      </c>
      <c r="AK78" s="108"/>
      <c r="AL78" s="108">
        <v>32224</v>
      </c>
      <c r="AM78" s="107">
        <v>32224</v>
      </c>
      <c r="AN78" s="108">
        <f t="shared" si="125"/>
        <v>32224</v>
      </c>
      <c r="AO78" s="108">
        <f t="shared" si="125"/>
        <v>32224</v>
      </c>
      <c r="AP78" s="108"/>
      <c r="AQ78" s="108">
        <v>32224</v>
      </c>
      <c r="AR78" s="108">
        <v>32224</v>
      </c>
      <c r="AS78" s="108"/>
      <c r="AT78" s="107"/>
      <c r="AU78" s="107"/>
      <c r="AV78" s="107">
        <f t="shared" si="219"/>
        <v>0</v>
      </c>
      <c r="AW78" s="107">
        <f t="shared" si="100"/>
        <v>0</v>
      </c>
      <c r="AX78" s="107"/>
      <c r="AY78" s="107"/>
      <c r="AZ78" s="107">
        <v>0</v>
      </c>
      <c r="BA78" s="107">
        <v>0</v>
      </c>
      <c r="BB78" s="107">
        <f t="shared" si="220"/>
        <v>0</v>
      </c>
      <c r="BC78" s="107">
        <f t="shared" si="221"/>
        <v>0</v>
      </c>
      <c r="BD78" s="107">
        <f t="shared" si="222"/>
        <v>0</v>
      </c>
      <c r="BE78" s="107">
        <v>0</v>
      </c>
      <c r="BF78" s="107">
        <v>0</v>
      </c>
      <c r="BG78" s="107"/>
      <c r="BH78" s="107">
        <v>796</v>
      </c>
      <c r="BI78" s="107">
        <f t="shared" si="223"/>
        <v>796</v>
      </c>
      <c r="BJ78" s="107">
        <f t="shared" si="224"/>
        <v>796</v>
      </c>
      <c r="BK78" s="107">
        <f t="shared" si="225"/>
        <v>1324</v>
      </c>
      <c r="BL78" s="772">
        <v>796</v>
      </c>
      <c r="BM78" s="772">
        <v>796</v>
      </c>
      <c r="BN78" s="772">
        <v>1324</v>
      </c>
      <c r="BO78" s="772">
        <v>1324</v>
      </c>
      <c r="BP78" s="772">
        <f t="shared" si="226"/>
        <v>1324</v>
      </c>
      <c r="BQ78" s="772">
        <f t="shared" si="227"/>
        <v>1324</v>
      </c>
      <c r="BR78" s="772">
        <f t="shared" si="228"/>
        <v>1743</v>
      </c>
      <c r="BS78" s="772">
        <v>1324</v>
      </c>
      <c r="BT78" s="772">
        <v>1324</v>
      </c>
      <c r="BU78" s="772">
        <v>1743</v>
      </c>
      <c r="BV78" s="772">
        <v>1743</v>
      </c>
      <c r="BW78" s="772">
        <f t="shared" si="229"/>
        <v>1743</v>
      </c>
      <c r="BX78" s="772">
        <f t="shared" si="230"/>
        <v>1743</v>
      </c>
      <c r="BY78" s="772">
        <f t="shared" si="231"/>
        <v>1743</v>
      </c>
      <c r="BZ78" s="772">
        <v>1743</v>
      </c>
      <c r="CA78" s="772">
        <v>1743</v>
      </c>
      <c r="CB78" s="772">
        <v>1743</v>
      </c>
      <c r="CC78" s="772">
        <v>1743</v>
      </c>
      <c r="CD78" s="772">
        <f t="shared" si="232"/>
        <v>1743</v>
      </c>
      <c r="CE78" s="772">
        <f t="shared" si="233"/>
        <v>1743</v>
      </c>
      <c r="CF78" s="772">
        <f t="shared" si="234"/>
        <v>1743</v>
      </c>
      <c r="CG78" s="772">
        <v>1743</v>
      </c>
      <c r="CH78" s="772">
        <v>1743</v>
      </c>
      <c r="CI78" s="772">
        <v>1743</v>
      </c>
      <c r="CJ78" s="772">
        <v>1743</v>
      </c>
      <c r="CK78" s="772">
        <f t="shared" si="235"/>
        <v>3522</v>
      </c>
      <c r="CL78" s="772"/>
      <c r="CM78" s="772"/>
      <c r="CN78" s="772">
        <v>3522</v>
      </c>
      <c r="CO78" s="772"/>
    </row>
    <row r="79" spans="1:93" s="100" customFormat="1" ht="13" x14ac:dyDescent="0.3">
      <c r="A79" s="113" t="str">
        <f>Language!AA69</f>
        <v>Participações de Acionistas Não Controladores</v>
      </c>
      <c r="B79" s="116">
        <v>35064</v>
      </c>
      <c r="C79" s="116">
        <v>32730</v>
      </c>
      <c r="D79" s="116">
        <v>2037</v>
      </c>
      <c r="E79" s="117">
        <v>0</v>
      </c>
      <c r="F79" s="116">
        <v>-50</v>
      </c>
      <c r="G79" s="116">
        <v>-39</v>
      </c>
      <c r="H79" s="116">
        <v>-20</v>
      </c>
      <c r="I79" s="117">
        <v>25</v>
      </c>
      <c r="J79" s="116">
        <v>27</v>
      </c>
      <c r="K79" s="116">
        <v>26</v>
      </c>
      <c r="L79" s="116">
        <v>26</v>
      </c>
      <c r="M79" s="117">
        <v>18</v>
      </c>
      <c r="N79" s="116">
        <v>0</v>
      </c>
      <c r="O79" s="116">
        <v>0</v>
      </c>
      <c r="P79" s="116">
        <v>0</v>
      </c>
      <c r="Q79" s="116">
        <v>0</v>
      </c>
      <c r="R79" s="118">
        <v>0</v>
      </c>
      <c r="S79" s="116">
        <f t="shared" si="236"/>
        <v>0</v>
      </c>
      <c r="T79" s="116">
        <f t="shared" si="237"/>
        <v>0</v>
      </c>
      <c r="U79" s="116">
        <f t="shared" si="238"/>
        <v>0</v>
      </c>
      <c r="V79" s="116"/>
      <c r="W79" s="116">
        <v>0</v>
      </c>
      <c r="X79" s="116">
        <v>0</v>
      </c>
      <c r="Y79" s="118">
        <v>0</v>
      </c>
      <c r="Z79" s="116"/>
      <c r="AA79" s="116"/>
      <c r="AB79" s="116"/>
      <c r="AC79" s="116"/>
      <c r="AD79" s="116"/>
      <c r="AE79" s="116"/>
      <c r="AF79" s="118"/>
      <c r="AG79" s="116"/>
      <c r="AH79" s="116"/>
      <c r="AI79" s="116"/>
      <c r="AJ79" s="116"/>
      <c r="AK79" s="116"/>
      <c r="AL79" s="116"/>
      <c r="AM79" s="118"/>
      <c r="AN79" s="116"/>
      <c r="AO79" s="116"/>
      <c r="AP79" s="116"/>
      <c r="AQ79" s="116"/>
      <c r="AR79" s="116"/>
      <c r="AS79" s="116"/>
      <c r="AT79" s="118"/>
      <c r="AU79" s="118"/>
      <c r="AV79" s="118"/>
      <c r="AW79" s="118"/>
      <c r="AX79" s="118"/>
      <c r="AY79" s="118"/>
      <c r="AZ79" s="118">
        <v>0</v>
      </c>
      <c r="BA79" s="118">
        <v>0</v>
      </c>
      <c r="BB79" s="118">
        <v>0</v>
      </c>
      <c r="BC79" s="118">
        <v>0</v>
      </c>
      <c r="BD79" s="118">
        <v>0</v>
      </c>
      <c r="BE79" s="118">
        <v>0</v>
      </c>
      <c r="BF79" s="118">
        <v>0</v>
      </c>
      <c r="BG79" s="118">
        <v>0</v>
      </c>
      <c r="BH79" s="118">
        <v>0</v>
      </c>
      <c r="BI79" s="118"/>
      <c r="BJ79" s="118"/>
      <c r="BK79" s="118"/>
      <c r="BL79" s="773"/>
      <c r="BM79" s="773"/>
      <c r="BN79" s="773"/>
      <c r="BO79" s="773"/>
      <c r="BP79" s="773"/>
      <c r="BQ79" s="773"/>
      <c r="BR79" s="773"/>
      <c r="BS79" s="773"/>
      <c r="BT79" s="773"/>
      <c r="BU79" s="773"/>
      <c r="BV79" s="773"/>
      <c r="BW79" s="773"/>
      <c r="BX79" s="773"/>
      <c r="BY79" s="773"/>
      <c r="BZ79" s="773"/>
      <c r="CA79" s="773"/>
      <c r="CB79" s="773"/>
      <c r="CC79" s="773"/>
      <c r="CD79" s="773"/>
      <c r="CE79" s="773"/>
      <c r="CF79" s="773"/>
      <c r="CG79" s="773"/>
      <c r="CH79" s="773"/>
      <c r="CI79" s="773"/>
      <c r="CJ79" s="773"/>
      <c r="CK79" s="773"/>
      <c r="CL79" s="773"/>
      <c r="CM79" s="773"/>
      <c r="CN79" s="773"/>
      <c r="CO79" s="773"/>
    </row>
    <row r="80" spans="1:93" s="100" customFormat="1" ht="13" x14ac:dyDescent="0.3">
      <c r="A80" s="122" t="str">
        <f>Language!AA70</f>
        <v>Passivos de Operações Descontinuadas</v>
      </c>
      <c r="B80" s="123">
        <v>0</v>
      </c>
      <c r="C80" s="123">
        <v>0</v>
      </c>
      <c r="D80" s="123">
        <v>0</v>
      </c>
      <c r="E80" s="124">
        <v>0</v>
      </c>
      <c r="F80" s="123">
        <v>0</v>
      </c>
      <c r="G80" s="123">
        <v>0</v>
      </c>
      <c r="H80" s="123">
        <v>0</v>
      </c>
      <c r="I80" s="124">
        <v>0</v>
      </c>
      <c r="J80" s="123">
        <v>0</v>
      </c>
      <c r="K80" s="123">
        <v>0</v>
      </c>
      <c r="L80" s="123">
        <v>0</v>
      </c>
      <c r="M80" s="124">
        <v>146323</v>
      </c>
      <c r="N80" s="123">
        <v>269966</v>
      </c>
      <c r="O80" s="123">
        <v>139580</v>
      </c>
      <c r="P80" s="123">
        <v>71306</v>
      </c>
      <c r="Q80" s="123">
        <v>180346</v>
      </c>
      <c r="R80" s="125">
        <v>28484</v>
      </c>
      <c r="S80" s="123">
        <f t="shared" si="236"/>
        <v>0</v>
      </c>
      <c r="T80" s="123">
        <f t="shared" si="237"/>
        <v>0</v>
      </c>
      <c r="U80" s="123">
        <f t="shared" si="238"/>
        <v>0</v>
      </c>
      <c r="V80" s="123"/>
      <c r="W80" s="123">
        <v>0</v>
      </c>
      <c r="X80" s="123">
        <v>0</v>
      </c>
      <c r="Y80" s="125">
        <v>0</v>
      </c>
      <c r="Z80" s="123"/>
      <c r="AA80" s="123"/>
      <c r="AB80" s="123"/>
      <c r="AC80" s="123"/>
      <c r="AD80" s="123"/>
      <c r="AE80" s="123"/>
      <c r="AF80" s="125"/>
      <c r="AG80" s="123"/>
      <c r="AH80" s="123"/>
      <c r="AI80" s="123"/>
      <c r="AJ80" s="123"/>
      <c r="AK80" s="123"/>
      <c r="AL80" s="123"/>
      <c r="AM80" s="125"/>
      <c r="AN80" s="123"/>
      <c r="AO80" s="123"/>
      <c r="AP80" s="123"/>
      <c r="AQ80" s="123"/>
      <c r="AR80" s="123"/>
      <c r="AS80" s="123"/>
      <c r="AT80" s="125"/>
      <c r="AU80" s="125"/>
      <c r="AV80" s="125"/>
      <c r="AW80" s="125"/>
      <c r="AX80" s="125"/>
      <c r="AY80" s="125"/>
      <c r="AZ80" s="125">
        <v>0</v>
      </c>
      <c r="BA80" s="125">
        <v>0</v>
      </c>
      <c r="BB80" s="125">
        <v>0</v>
      </c>
      <c r="BC80" s="125">
        <v>0</v>
      </c>
      <c r="BD80" s="125">
        <v>0</v>
      </c>
      <c r="BE80" s="125">
        <v>0</v>
      </c>
      <c r="BF80" s="125">
        <v>0</v>
      </c>
      <c r="BG80" s="125">
        <v>0</v>
      </c>
      <c r="BH80" s="125">
        <v>0</v>
      </c>
      <c r="BI80" s="125"/>
      <c r="BJ80" s="125"/>
      <c r="BK80" s="125"/>
      <c r="BL80" s="774"/>
      <c r="BM80" s="774"/>
      <c r="BN80" s="774"/>
      <c r="BO80" s="774"/>
      <c r="BP80" s="774"/>
      <c r="BQ80" s="774"/>
      <c r="BR80" s="774"/>
      <c r="BS80" s="774"/>
      <c r="BT80" s="774"/>
      <c r="BU80" s="774"/>
      <c r="BV80" s="774"/>
      <c r="BW80" s="774"/>
      <c r="BX80" s="774"/>
      <c r="BY80" s="774"/>
      <c r="BZ80" s="774"/>
      <c r="CA80" s="774"/>
      <c r="CB80" s="774"/>
      <c r="CC80" s="774"/>
      <c r="CD80" s="774"/>
      <c r="CE80" s="774"/>
      <c r="CF80" s="774"/>
      <c r="CG80" s="774"/>
      <c r="CH80" s="774"/>
      <c r="CI80" s="774"/>
      <c r="CJ80" s="774"/>
      <c r="CK80" s="774"/>
      <c r="CL80" s="774"/>
      <c r="CM80" s="774"/>
      <c r="CN80" s="774"/>
      <c r="CO80" s="774"/>
    </row>
    <row r="82" spans="1:93" x14ac:dyDescent="0.25">
      <c r="AY82" s="199"/>
    </row>
    <row r="83" spans="1:93" s="96" customFormat="1" ht="13" x14ac:dyDescent="0.3">
      <c r="A83" s="93" t="str">
        <f t="shared" ref="A83:P83" si="242">A5</f>
        <v>CONSOLIDAÇÃO PROPORCIONAL</v>
      </c>
      <c r="B83" s="93" t="str">
        <f t="shared" si="242"/>
        <v>1T11</v>
      </c>
      <c r="C83" s="93" t="str">
        <f t="shared" si="242"/>
        <v>2T11</v>
      </c>
      <c r="D83" s="93" t="str">
        <f t="shared" si="242"/>
        <v>3T11</v>
      </c>
      <c r="E83" s="94" t="str">
        <f t="shared" si="242"/>
        <v>4T11</v>
      </c>
      <c r="F83" s="93" t="str">
        <f t="shared" si="242"/>
        <v>1T12</v>
      </c>
      <c r="G83" s="93" t="str">
        <f t="shared" si="242"/>
        <v>2T12</v>
      </c>
      <c r="H83" s="93" t="str">
        <f t="shared" si="242"/>
        <v>3T12</v>
      </c>
      <c r="I83" s="94" t="str">
        <f t="shared" si="242"/>
        <v>4T12</v>
      </c>
      <c r="J83" s="93" t="str">
        <f t="shared" si="242"/>
        <v>1T13</v>
      </c>
      <c r="K83" s="93" t="str">
        <f t="shared" si="242"/>
        <v>2T13</v>
      </c>
      <c r="L83" s="93" t="str">
        <f t="shared" si="242"/>
        <v>3T13</v>
      </c>
      <c r="M83" s="94" t="str">
        <f t="shared" si="242"/>
        <v>4T13</v>
      </c>
      <c r="N83" s="93" t="str">
        <f t="shared" si="242"/>
        <v>1T14</v>
      </c>
      <c r="O83" s="93" t="str">
        <f t="shared" si="242"/>
        <v>2T14</v>
      </c>
      <c r="P83" s="93" t="str">
        <f t="shared" si="242"/>
        <v>3T14</v>
      </c>
      <c r="Q83" s="93" t="str">
        <f t="shared" ref="Q83:X83" si="243">Q5</f>
        <v>4T14</v>
      </c>
      <c r="R83" s="95" t="str">
        <f t="shared" si="243"/>
        <v>1T15</v>
      </c>
      <c r="S83" s="93" t="str">
        <f t="shared" si="243"/>
        <v>2T15</v>
      </c>
      <c r="T83" s="93" t="str">
        <f t="shared" si="243"/>
        <v>3T15</v>
      </c>
      <c r="U83" s="93" t="str">
        <f t="shared" si="243"/>
        <v>4T15</v>
      </c>
      <c r="V83" s="93" t="s">
        <v>638</v>
      </c>
      <c r="W83" s="93" t="str">
        <f t="shared" si="243"/>
        <v>9M15</v>
      </c>
      <c r="X83" s="93" t="str">
        <f t="shared" si="243"/>
        <v>12M15</v>
      </c>
      <c r="Y83" s="95" t="s">
        <v>245</v>
      </c>
      <c r="Z83" s="93" t="s">
        <v>246</v>
      </c>
      <c r="AA83" s="93" t="str">
        <f t="shared" ref="AA83:AB83" si="244">AA5</f>
        <v>3T16</v>
      </c>
      <c r="AB83" s="93" t="str">
        <f t="shared" si="244"/>
        <v>4T16</v>
      </c>
      <c r="AC83" s="93" t="s">
        <v>641</v>
      </c>
      <c r="AD83" s="93" t="str">
        <f>AD5</f>
        <v>9M16</v>
      </c>
      <c r="AE83" s="93" t="str">
        <f>AE5</f>
        <v>12M16</v>
      </c>
      <c r="AF83" s="95" t="str">
        <f>AF5</f>
        <v>1T17</v>
      </c>
      <c r="AG83" s="93" t="s">
        <v>250</v>
      </c>
      <c r="AH83" s="93" t="str">
        <f>AH5</f>
        <v>3T17</v>
      </c>
      <c r="AI83" s="93" t="str">
        <f>AI5</f>
        <v>4T17</v>
      </c>
      <c r="AJ83" s="93" t="s">
        <v>648</v>
      </c>
      <c r="AK83" s="93" t="s">
        <v>649</v>
      </c>
      <c r="AL83" s="93" t="s">
        <v>652</v>
      </c>
      <c r="AM83" s="95" t="str">
        <f t="shared" ref="AM83:AS83" si="245">AM5</f>
        <v>1T18</v>
      </c>
      <c r="AN83" s="95" t="str">
        <f t="shared" si="245"/>
        <v>2T18</v>
      </c>
      <c r="AO83" s="95" t="str">
        <f t="shared" si="245"/>
        <v>3T18</v>
      </c>
      <c r="AP83" s="95" t="str">
        <f t="shared" si="245"/>
        <v>4T18</v>
      </c>
      <c r="AQ83" s="93" t="str">
        <f t="shared" si="245"/>
        <v>6M18</v>
      </c>
      <c r="AR83" s="93" t="str">
        <f t="shared" si="245"/>
        <v>9M18</v>
      </c>
      <c r="AS83" s="93" t="str">
        <f t="shared" si="245"/>
        <v>12M18</v>
      </c>
      <c r="AT83" s="95" t="str">
        <f t="shared" ref="AT83" si="246">AT5</f>
        <v>1T19</v>
      </c>
      <c r="AU83" s="95" t="s">
        <v>258</v>
      </c>
      <c r="AV83" s="95" t="str">
        <f t="shared" ref="AV83:AY83" si="247">AV5</f>
        <v>3T19</v>
      </c>
      <c r="AW83" s="95" t="str">
        <f t="shared" si="247"/>
        <v>4T19</v>
      </c>
      <c r="AX83" s="95" t="s">
        <v>688</v>
      </c>
      <c r="AY83" s="95" t="str">
        <f t="shared" si="247"/>
        <v>9M19</v>
      </c>
      <c r="AZ83" s="729" t="str">
        <f t="shared" ref="AZ83:BE83" si="248">AZ5</f>
        <v>12M19</v>
      </c>
      <c r="BA83" s="729" t="str">
        <f t="shared" si="248"/>
        <v>1T20</v>
      </c>
      <c r="BB83" s="729" t="str">
        <f t="shared" si="248"/>
        <v>2T20</v>
      </c>
      <c r="BC83" s="729" t="str">
        <f t="shared" si="248"/>
        <v>3T20</v>
      </c>
      <c r="BD83" s="729" t="str">
        <f t="shared" si="248"/>
        <v>4T20</v>
      </c>
      <c r="BE83" s="729" t="str">
        <f t="shared" si="248"/>
        <v>6M20</v>
      </c>
      <c r="BF83" s="729" t="str">
        <f t="shared" ref="BF83:BG83" si="249">BF5</f>
        <v>9M20</v>
      </c>
      <c r="BG83" s="729" t="str">
        <f t="shared" si="249"/>
        <v>12M20</v>
      </c>
      <c r="BH83" s="729" t="str">
        <f t="shared" ref="BH83:BL83" si="250">BH5</f>
        <v>1T21</v>
      </c>
      <c r="BI83" s="729" t="str">
        <f t="shared" si="250"/>
        <v>2T21</v>
      </c>
      <c r="BJ83" s="729" t="str">
        <f t="shared" si="250"/>
        <v>3T21</v>
      </c>
      <c r="BK83" s="729" t="str">
        <f t="shared" si="250"/>
        <v>4T21</v>
      </c>
      <c r="BL83" s="729" t="str">
        <f t="shared" si="250"/>
        <v>6M21</v>
      </c>
      <c r="BM83" s="729" t="str">
        <f t="shared" ref="BM83:BN83" si="251">BM5</f>
        <v>9M21</v>
      </c>
      <c r="BN83" s="729" t="str">
        <f t="shared" si="251"/>
        <v>12M21</v>
      </c>
      <c r="BO83" s="729" t="str">
        <f t="shared" ref="BO83:BP83" si="252">BO5</f>
        <v>1T22</v>
      </c>
      <c r="BP83" s="729" t="str">
        <f t="shared" si="252"/>
        <v>2T22</v>
      </c>
      <c r="BQ83" s="729" t="str">
        <f t="shared" ref="BQ83:BS83" si="253">BQ5</f>
        <v>3T22</v>
      </c>
      <c r="BR83" s="729" t="str">
        <f t="shared" si="253"/>
        <v>4T22</v>
      </c>
      <c r="BS83" s="729" t="str">
        <f t="shared" si="253"/>
        <v>6M22</v>
      </c>
      <c r="BT83" s="729" t="str">
        <f t="shared" ref="BT83:BU83" si="254">BT5</f>
        <v>9M22</v>
      </c>
      <c r="BU83" s="729" t="str">
        <f t="shared" si="254"/>
        <v>12M22</v>
      </c>
      <c r="BV83" s="729" t="str">
        <f t="shared" ref="BV83" si="255">BV5</f>
        <v>1T23</v>
      </c>
      <c r="BW83" s="729" t="str">
        <f t="shared" ref="BW83:CB83" si="256">BW5</f>
        <v>2T23</v>
      </c>
      <c r="BX83" s="729" t="str">
        <f t="shared" si="256"/>
        <v>3T23</v>
      </c>
      <c r="BY83" s="729" t="str">
        <f t="shared" si="256"/>
        <v>4T23</v>
      </c>
      <c r="BZ83" s="729" t="str">
        <f t="shared" si="256"/>
        <v>6M23</v>
      </c>
      <c r="CA83" s="729" t="str">
        <f t="shared" si="256"/>
        <v>9M23</v>
      </c>
      <c r="CB83" s="729" t="str">
        <f t="shared" si="256"/>
        <v>12M23</v>
      </c>
      <c r="CC83" s="729" t="str">
        <f t="shared" ref="CC83:CD83" si="257">CC5</f>
        <v>1T24</v>
      </c>
      <c r="CD83" s="729" t="str">
        <f t="shared" si="257"/>
        <v>2T24</v>
      </c>
      <c r="CE83" s="729" t="str">
        <f t="shared" ref="CE83:CG83" si="258">CE5</f>
        <v>3T24</v>
      </c>
      <c r="CF83" s="729" t="str">
        <f t="shared" si="258"/>
        <v>4T24</v>
      </c>
      <c r="CG83" s="729" t="str">
        <f t="shared" si="258"/>
        <v>6M24</v>
      </c>
      <c r="CH83" s="729" t="str">
        <f t="shared" ref="CH83:CI83" si="259">CH5</f>
        <v>9M24</v>
      </c>
      <c r="CI83" s="729" t="str">
        <f t="shared" si="259"/>
        <v>12M24</v>
      </c>
      <c r="CJ83" s="729" t="s">
        <v>763</v>
      </c>
      <c r="CK83" s="729" t="str">
        <f t="shared" ref="CK83:CO83" si="260">CK5</f>
        <v>2T25</v>
      </c>
      <c r="CL83" s="729" t="str">
        <f t="shared" si="260"/>
        <v>3T25</v>
      </c>
      <c r="CM83" s="729" t="str">
        <f t="shared" si="260"/>
        <v>4T25</v>
      </c>
      <c r="CN83" s="729" t="str">
        <f t="shared" si="260"/>
        <v>6M25</v>
      </c>
      <c r="CO83" s="729" t="str">
        <f t="shared" si="260"/>
        <v>9M25</v>
      </c>
    </row>
    <row r="84" spans="1:93" s="92" customFormat="1" ht="13" x14ac:dyDescent="0.3">
      <c r="A84" s="126" t="str">
        <f>Language!AA74</f>
        <v>Receita Bruta</v>
      </c>
      <c r="B84" s="127">
        <f t="shared" ref="B84:N84" si="261">SUM(B85,B87,B88,B89,B90,B91,B92,B93,B94)</f>
        <v>205646</v>
      </c>
      <c r="C84" s="127">
        <f t="shared" si="261"/>
        <v>178894</v>
      </c>
      <c r="D84" s="127">
        <f t="shared" si="261"/>
        <v>213640</v>
      </c>
      <c r="E84" s="128">
        <f t="shared" si="261"/>
        <v>260214</v>
      </c>
      <c r="F84" s="127">
        <f t="shared" si="261"/>
        <v>252124</v>
      </c>
      <c r="G84" s="127">
        <f t="shared" si="261"/>
        <v>246109</v>
      </c>
      <c r="H84" s="127">
        <f t="shared" si="261"/>
        <v>269021</v>
      </c>
      <c r="I84" s="128">
        <f t="shared" si="261"/>
        <v>359640</v>
      </c>
      <c r="J84" s="127">
        <f t="shared" si="261"/>
        <v>363160</v>
      </c>
      <c r="K84" s="127">
        <f t="shared" si="261"/>
        <v>342715</v>
      </c>
      <c r="L84" s="127">
        <f t="shared" si="261"/>
        <v>411249</v>
      </c>
      <c r="M84" s="128">
        <f t="shared" si="261"/>
        <v>460824</v>
      </c>
      <c r="N84" s="127">
        <f t="shared" si="261"/>
        <v>618851</v>
      </c>
      <c r="O84" s="127">
        <f>SUM(O85,O87,O88,O89,O90,O91,O92,O93,O94)</f>
        <v>541855</v>
      </c>
      <c r="P84" s="127">
        <f t="shared" ref="P84:R84" si="262">SUM(P85,P87,P88,P89,P90,P91,P92,P93,P94)</f>
        <v>612445</v>
      </c>
      <c r="Q84" s="127">
        <f>SUM(Q85,Q87,Q88,Q89,Q90,Q91,Q92,Q93,Q94)</f>
        <v>808001</v>
      </c>
      <c r="R84" s="129">
        <f t="shared" si="262"/>
        <v>892283</v>
      </c>
      <c r="S84" s="127">
        <f t="shared" ref="S84" si="263">SUM(S85,S87,S88,S89,S90,S91,S92,S93,S94)</f>
        <v>704368</v>
      </c>
      <c r="T84" s="127">
        <f>SUM(T85,T87,T88,T89,T90,T91,T92,T93,T94)</f>
        <v>713913</v>
      </c>
      <c r="U84" s="127">
        <f>SUM(U85,U87,U88,U89,U90,U91,U92,U93,U94)</f>
        <v>680857</v>
      </c>
      <c r="V84" s="127">
        <f>SUM(V85,V87,V88,V89,V90,V91,V92,V93,V94)</f>
        <v>1596651</v>
      </c>
      <c r="W84" s="127">
        <f t="shared" ref="W84:X84" si="264">SUM(W85,W87,W88,W89,W90,W91,W92,W93,W94)</f>
        <v>2310564</v>
      </c>
      <c r="X84" s="127">
        <f t="shared" si="264"/>
        <v>2991421</v>
      </c>
      <c r="Y84" s="129">
        <f t="shared" ref="Y84:AE84" si="265">SUM(Y85,Y87,Y88,Y89,Y90,Y91,Y92,Y93,Y94)</f>
        <v>541975</v>
      </c>
      <c r="Z84" s="127">
        <f t="shared" si="265"/>
        <v>480162</v>
      </c>
      <c r="AA84" s="127">
        <f t="shared" si="265"/>
        <v>467147</v>
      </c>
      <c r="AB84" s="127">
        <f t="shared" si="265"/>
        <v>516143</v>
      </c>
      <c r="AC84" s="127">
        <f t="shared" si="265"/>
        <v>1022137</v>
      </c>
      <c r="AD84" s="127">
        <f t="shared" si="265"/>
        <v>1489284</v>
      </c>
      <c r="AE84" s="127">
        <f t="shared" si="265"/>
        <v>2005427</v>
      </c>
      <c r="AF84" s="129">
        <v>473952</v>
      </c>
      <c r="AG84" s="127">
        <v>501877</v>
      </c>
      <c r="AH84" s="127">
        <v>394256</v>
      </c>
      <c r="AI84" s="127">
        <v>404392</v>
      </c>
      <c r="AJ84" s="127">
        <v>975829</v>
      </c>
      <c r="AK84" s="127">
        <v>1370085</v>
      </c>
      <c r="AL84" s="127">
        <v>1774477</v>
      </c>
      <c r="AM84" s="129">
        <f t="shared" ref="AM84:AQ84" si="266">SUM(AM85,AM87,AM88,AM89,AM90,AM91,AM92,AM93,AM94)</f>
        <v>338811</v>
      </c>
      <c r="AN84" s="127">
        <f>AQ84-AM84</f>
        <v>322292</v>
      </c>
      <c r="AO84" s="127"/>
      <c r="AP84" s="127">
        <f>AS84-AR84</f>
        <v>306237</v>
      </c>
      <c r="AQ84" s="127">
        <f t="shared" si="266"/>
        <v>661103</v>
      </c>
      <c r="AR84" s="127">
        <f t="shared" ref="AR84:AS84" si="267">SUM(AR85,AR87,AR88,AR89,AR90,AR91,AR92,AR93,AR94)</f>
        <v>988879</v>
      </c>
      <c r="AS84" s="127">
        <f t="shared" si="267"/>
        <v>1295116</v>
      </c>
      <c r="AT84" s="129">
        <f t="shared" ref="AT84:AU84" si="268">SUM(AT85,AT87,AT88,AT89,AT90,AT91,AT92,AT93,AT94)</f>
        <v>251171</v>
      </c>
      <c r="AU84" s="129">
        <f t="shared" si="268"/>
        <v>256674</v>
      </c>
      <c r="AV84" s="129">
        <f t="shared" ref="AV84:AZ84" si="269">SUM(AV85,AV87,AV88,AV89,AV90,AV91,AV92,AV93,AV94)</f>
        <v>304807</v>
      </c>
      <c r="AW84" s="129">
        <f>AZ84-AY84</f>
        <v>324706</v>
      </c>
      <c r="AX84" s="129">
        <f t="shared" ref="AX84" si="270">SUM(AX85,AX87,AX88,AX89,AX90,AX91,AX92,AX93,AX94)</f>
        <v>507845</v>
      </c>
      <c r="AY84" s="129">
        <f t="shared" si="269"/>
        <v>812652</v>
      </c>
      <c r="AZ84" s="129">
        <f t="shared" si="269"/>
        <v>1137358</v>
      </c>
      <c r="BA84" s="129">
        <f t="shared" ref="BA84:BB84" si="271">SUM(BA85,BA87,BA88,BA89,BA90,BA91,BA92,BA93,BA94)</f>
        <v>294790</v>
      </c>
      <c r="BB84" s="129">
        <f t="shared" si="271"/>
        <v>255255</v>
      </c>
      <c r="BC84" s="129">
        <f t="shared" ref="BC84:BD84" si="272">SUM(BC85,BC87,BC88,BC89,BC90,BC91,BC92,BC93,BC94)</f>
        <v>281685</v>
      </c>
      <c r="BD84" s="129">
        <f t="shared" si="272"/>
        <v>303380</v>
      </c>
      <c r="BE84" s="129">
        <f t="shared" ref="BE84:BF84" si="273">SUM(BE85,BE87,BE88,BE89,BE90,BE91,BE92,BE93,BE94)</f>
        <v>550045</v>
      </c>
      <c r="BF84" s="129">
        <f t="shared" si="273"/>
        <v>831730</v>
      </c>
      <c r="BG84" s="129">
        <f t="shared" ref="BG84:BH84" si="274">SUM(BG85,BG87,BG88,BG89,BG90,BG91,BG92,BG93,BG94)</f>
        <v>1135110</v>
      </c>
      <c r="BH84" s="129">
        <f t="shared" si="274"/>
        <v>284859</v>
      </c>
      <c r="BI84" s="129">
        <f t="shared" ref="BI84:BL84" si="275">SUM(BI85,BI87,BI88,BI89,BI90,BI91,BI92,BI93,BI94)</f>
        <v>300504</v>
      </c>
      <c r="BJ84" s="129">
        <f t="shared" si="275"/>
        <v>332403</v>
      </c>
      <c r="BK84" s="129">
        <f t="shared" si="275"/>
        <v>299591</v>
      </c>
      <c r="BL84" s="129">
        <f t="shared" si="275"/>
        <v>585363</v>
      </c>
      <c r="BM84" s="129">
        <f t="shared" ref="BM84:BN84" si="276">SUM(BM85,BM87,BM88,BM89,BM90,BM91,BM92,BM93,BM94)</f>
        <v>917766</v>
      </c>
      <c r="BN84" s="129">
        <f t="shared" si="276"/>
        <v>1217357</v>
      </c>
      <c r="BO84" s="129">
        <f t="shared" ref="BO84:BP84" si="277">SUM(BO85,BO87,BO88,BO89,BO90,BO91,BO92,BO93,BO94)</f>
        <v>220606</v>
      </c>
      <c r="BP84" s="129">
        <f t="shared" si="277"/>
        <v>537815</v>
      </c>
      <c r="BQ84" s="129">
        <f>SUM(BQ85,BQ87,BQ88,BQ89,BQ90,BQ91,BQ92,BQ93,BQ94,BQ86)</f>
        <v>240686</v>
      </c>
      <c r="BR84" s="129">
        <f>SUM(BR85,BR87,BR88,BR89,BR90,BR91,BR92,BR93,BR94,BR86)</f>
        <v>280881</v>
      </c>
      <c r="BS84" s="129">
        <f t="shared" ref="BS84" si="278">SUM(BS85,BS87,BS88,BS89,BS90,BS91,BS92,BS93,BS94)</f>
        <v>758421</v>
      </c>
      <c r="BT84" s="129">
        <f t="shared" ref="BT84:BZ84" si="279">SUM(BT85,BT87,BT88,BT89,BT90,BT91,BT92,BT93,BT94,BT86)</f>
        <v>999107</v>
      </c>
      <c r="BU84" s="129">
        <f t="shared" si="279"/>
        <v>1279988</v>
      </c>
      <c r="BV84" s="129">
        <f t="shared" si="279"/>
        <v>264774</v>
      </c>
      <c r="BW84" s="129">
        <f t="shared" si="279"/>
        <v>258465</v>
      </c>
      <c r="BX84" s="129">
        <f t="shared" si="279"/>
        <v>367859</v>
      </c>
      <c r="BY84" s="129">
        <f t="shared" si="279"/>
        <v>313923</v>
      </c>
      <c r="BZ84" s="129">
        <f t="shared" si="279"/>
        <v>523239</v>
      </c>
      <c r="CA84" s="129">
        <f t="shared" ref="CA84:CI84" si="280">SUM(CA85,CA87,CA88,CA89,CA90,CA91,CA92,CA93,CA94,CA86)</f>
        <v>891098</v>
      </c>
      <c r="CB84" s="129">
        <f t="shared" si="280"/>
        <v>1205021</v>
      </c>
      <c r="CC84" s="129">
        <f t="shared" si="280"/>
        <v>303762</v>
      </c>
      <c r="CD84" s="129">
        <f t="shared" si="280"/>
        <v>363839</v>
      </c>
      <c r="CE84" s="129">
        <f t="shared" si="280"/>
        <v>478766</v>
      </c>
      <c r="CF84" s="129">
        <f t="shared" si="280"/>
        <v>374761</v>
      </c>
      <c r="CG84" s="129">
        <f t="shared" si="280"/>
        <v>667601</v>
      </c>
      <c r="CH84" s="129">
        <f t="shared" si="280"/>
        <v>1146367</v>
      </c>
      <c r="CI84" s="129">
        <f t="shared" si="280"/>
        <v>1521128</v>
      </c>
      <c r="CJ84" s="129">
        <v>322887</v>
      </c>
      <c r="CK84" s="129">
        <f t="shared" ref="CK84:CO84" si="281">SUM(CK85,CK87,CK88,CK89,CK90,CK91,CK92,CK93,CK94,CK86)</f>
        <v>303017</v>
      </c>
      <c r="CL84" s="129">
        <f t="shared" si="281"/>
        <v>0</v>
      </c>
      <c r="CM84" s="129">
        <f t="shared" si="281"/>
        <v>0</v>
      </c>
      <c r="CN84" s="129">
        <f t="shared" si="281"/>
        <v>625904</v>
      </c>
      <c r="CO84" s="129">
        <f t="shared" si="281"/>
        <v>0</v>
      </c>
    </row>
    <row r="85" spans="1:93" s="92" customFormat="1" x14ac:dyDescent="0.25">
      <c r="A85" s="121" t="str">
        <f>Language!AA75</f>
        <v>Arrecadação de pedágio</v>
      </c>
      <c r="B85" s="108">
        <v>114265</v>
      </c>
      <c r="C85" s="108">
        <v>104561</v>
      </c>
      <c r="D85" s="108">
        <v>109716</v>
      </c>
      <c r="E85" s="106">
        <v>122654</v>
      </c>
      <c r="F85" s="108">
        <v>128826</v>
      </c>
      <c r="G85" s="108">
        <v>115010</v>
      </c>
      <c r="H85" s="108">
        <v>123046</v>
      </c>
      <c r="I85" s="106">
        <v>136062</v>
      </c>
      <c r="J85" s="108">
        <v>139665</v>
      </c>
      <c r="K85" s="108">
        <v>126661</v>
      </c>
      <c r="L85" s="108">
        <v>135188</v>
      </c>
      <c r="M85" s="106">
        <v>150771</v>
      </c>
      <c r="N85" s="108">
        <v>155416</v>
      </c>
      <c r="O85" s="108">
        <v>139133</v>
      </c>
      <c r="P85" s="108">
        <v>143708</v>
      </c>
      <c r="Q85" s="108">
        <v>163068</v>
      </c>
      <c r="R85" s="107">
        <v>188930</v>
      </c>
      <c r="S85" s="108">
        <v>170624</v>
      </c>
      <c r="T85" s="108">
        <f>W85-S85-R85</f>
        <v>267053</v>
      </c>
      <c r="U85" s="108">
        <f>X85-W85</f>
        <v>293289</v>
      </c>
      <c r="V85" s="108">
        <f>R85+S85</f>
        <v>359554</v>
      </c>
      <c r="W85" s="108">
        <v>626607</v>
      </c>
      <c r="X85" s="108">
        <v>919896</v>
      </c>
      <c r="Y85" s="107">
        <v>301907</v>
      </c>
      <c r="Z85" s="108">
        <f>AC85-Y85</f>
        <v>276241</v>
      </c>
      <c r="AA85" s="108">
        <f>AD85-Z85-Y85</f>
        <v>287649</v>
      </c>
      <c r="AB85" s="108">
        <f>AE85-AD85</f>
        <v>304262</v>
      </c>
      <c r="AC85" s="108">
        <v>578148</v>
      </c>
      <c r="AD85" s="108">
        <v>865797</v>
      </c>
      <c r="AE85" s="108">
        <v>1170059</v>
      </c>
      <c r="AF85" s="107">
        <v>316377</v>
      </c>
      <c r="AG85" s="108">
        <v>291864</v>
      </c>
      <c r="AH85" s="108">
        <v>292060</v>
      </c>
      <c r="AI85" s="108">
        <v>290557</v>
      </c>
      <c r="AJ85" s="108">
        <v>608241</v>
      </c>
      <c r="AK85" s="108">
        <v>900301</v>
      </c>
      <c r="AL85" s="108">
        <v>1190858</v>
      </c>
      <c r="AM85" s="107">
        <v>285797</v>
      </c>
      <c r="AN85" s="108">
        <f t="shared" ref="AN85:AN122" si="282">AQ85-AM85</f>
        <v>257899</v>
      </c>
      <c r="AO85" s="108"/>
      <c r="AP85" s="108">
        <f t="shared" ref="AP85:AP122" si="283">AS85-AR85</f>
        <v>226641</v>
      </c>
      <c r="AQ85" s="108">
        <v>543696</v>
      </c>
      <c r="AR85" s="108">
        <v>789560</v>
      </c>
      <c r="AS85" s="108">
        <v>1016201</v>
      </c>
      <c r="AT85" s="107">
        <v>198015</v>
      </c>
      <c r="AU85" s="107">
        <f>AX85-AT85</f>
        <v>212794</v>
      </c>
      <c r="AV85" s="107">
        <f>AY85-AX85</f>
        <v>243605</v>
      </c>
      <c r="AW85" s="107">
        <f t="shared" ref="AW85:AW122" si="284">AZ85-AY85</f>
        <v>260174</v>
      </c>
      <c r="AX85" s="107">
        <v>410809</v>
      </c>
      <c r="AY85" s="107">
        <v>654414</v>
      </c>
      <c r="AZ85" s="107">
        <v>914588</v>
      </c>
      <c r="BA85" s="111">
        <v>235068</v>
      </c>
      <c r="BB85" s="107">
        <f>BE85-BA85</f>
        <v>198753</v>
      </c>
      <c r="BC85" s="107">
        <f>BF85-BE85</f>
        <v>216475</v>
      </c>
      <c r="BD85" s="107">
        <f>BG85-BF85</f>
        <v>231965</v>
      </c>
      <c r="BE85" s="107">
        <v>433821</v>
      </c>
      <c r="BF85" s="107">
        <v>650296</v>
      </c>
      <c r="BG85" s="107">
        <v>882261</v>
      </c>
      <c r="BH85" s="107">
        <v>216478</v>
      </c>
      <c r="BI85" s="107">
        <f>BL85-BH85</f>
        <v>227958</v>
      </c>
      <c r="BJ85" s="107">
        <f>BM85-BL85</f>
        <v>249510</v>
      </c>
      <c r="BK85" s="107">
        <f>BN85-BM85</f>
        <v>222308</v>
      </c>
      <c r="BL85" s="111">
        <v>444436</v>
      </c>
      <c r="BM85" s="111">
        <v>693946</v>
      </c>
      <c r="BN85" s="111">
        <v>916254</v>
      </c>
      <c r="BO85" s="111">
        <v>163480</v>
      </c>
      <c r="BP85" s="111">
        <f>BS85-BO85</f>
        <v>171252</v>
      </c>
      <c r="BQ85" s="111">
        <f>BT85-BS85</f>
        <v>187729</v>
      </c>
      <c r="BR85" s="111">
        <f>BU85-BT85</f>
        <v>182065</v>
      </c>
      <c r="BS85" s="111">
        <v>334732</v>
      </c>
      <c r="BT85" s="111">
        <v>522461</v>
      </c>
      <c r="BU85" s="111">
        <v>704526</v>
      </c>
      <c r="BV85" s="111">
        <v>177680</v>
      </c>
      <c r="BW85" s="111">
        <f>BZ85-BV85</f>
        <v>180287</v>
      </c>
      <c r="BX85" s="111">
        <f>CA85-BZ85</f>
        <v>208216</v>
      </c>
      <c r="BY85" s="111">
        <f>CB85-CA85</f>
        <v>239763</v>
      </c>
      <c r="BZ85" s="111">
        <v>357967</v>
      </c>
      <c r="CA85" s="111">
        <v>566183</v>
      </c>
      <c r="CB85" s="111">
        <v>805946</v>
      </c>
      <c r="CC85" s="111">
        <v>243097</v>
      </c>
      <c r="CD85" s="111">
        <f>CG85-CC85</f>
        <v>257100</v>
      </c>
      <c r="CE85" s="111">
        <f>CH85-CG85</f>
        <v>417180</v>
      </c>
      <c r="CF85" s="111">
        <f>CI85-CH85</f>
        <v>313173</v>
      </c>
      <c r="CG85" s="111">
        <v>500197</v>
      </c>
      <c r="CH85" s="111">
        <v>917377</v>
      </c>
      <c r="CI85" s="111">
        <v>1230550</v>
      </c>
      <c r="CJ85" s="111">
        <v>256944</v>
      </c>
      <c r="CK85" s="111">
        <f>CN85-CJ85</f>
        <v>263703</v>
      </c>
      <c r="CL85" s="111"/>
      <c r="CM85" s="111"/>
      <c r="CN85" s="111">
        <v>520647</v>
      </c>
      <c r="CO85" s="111"/>
    </row>
    <row r="86" spans="1:93" s="92" customFormat="1" x14ac:dyDescent="0.25">
      <c r="A86" s="121" t="s">
        <v>737</v>
      </c>
      <c r="B86" s="108"/>
      <c r="C86" s="108"/>
      <c r="D86" s="108"/>
      <c r="E86" s="106"/>
      <c r="F86" s="108"/>
      <c r="G86" s="108"/>
      <c r="H86" s="108"/>
      <c r="I86" s="106"/>
      <c r="J86" s="108"/>
      <c r="K86" s="108"/>
      <c r="L86" s="108"/>
      <c r="M86" s="106"/>
      <c r="N86" s="108"/>
      <c r="O86" s="108"/>
      <c r="P86" s="108"/>
      <c r="Q86" s="108"/>
      <c r="R86" s="107"/>
      <c r="S86" s="108"/>
      <c r="T86" s="108"/>
      <c r="U86" s="108"/>
      <c r="V86" s="108"/>
      <c r="W86" s="108"/>
      <c r="X86" s="108"/>
      <c r="Y86" s="107"/>
      <c r="Z86" s="108"/>
      <c r="AA86" s="108"/>
      <c r="AB86" s="108"/>
      <c r="AC86" s="108"/>
      <c r="AD86" s="108"/>
      <c r="AE86" s="108"/>
      <c r="AF86" s="107"/>
      <c r="AG86" s="108"/>
      <c r="AH86" s="108"/>
      <c r="AI86" s="108"/>
      <c r="AJ86" s="108"/>
      <c r="AK86" s="108"/>
      <c r="AL86" s="108"/>
      <c r="AM86" s="107"/>
      <c r="AN86" s="108"/>
      <c r="AO86" s="108"/>
      <c r="AP86" s="108"/>
      <c r="AQ86" s="108"/>
      <c r="AR86" s="108"/>
      <c r="AS86" s="108"/>
      <c r="AT86" s="107"/>
      <c r="AU86" s="107"/>
      <c r="AV86" s="107"/>
      <c r="AW86" s="107"/>
      <c r="AX86" s="107"/>
      <c r="AY86" s="107"/>
      <c r="AZ86" s="107"/>
      <c r="BA86" s="111"/>
      <c r="BB86" s="107"/>
      <c r="BC86" s="107"/>
      <c r="BD86" s="107"/>
      <c r="BE86" s="107"/>
      <c r="BF86" s="107"/>
      <c r="BG86" s="107"/>
      <c r="BH86" s="107"/>
      <c r="BI86" s="107"/>
      <c r="BJ86" s="107"/>
      <c r="BK86" s="107"/>
      <c r="BL86" s="111"/>
      <c r="BM86" s="111"/>
      <c r="BN86" s="111"/>
      <c r="BO86" s="111"/>
      <c r="BP86" s="111"/>
      <c r="BQ86" s="111">
        <f t="shared" ref="BQ86:BQ95" si="285">BT86-BS86</f>
        <v>275166</v>
      </c>
      <c r="BR86" s="111">
        <f t="shared" ref="BR86:BR95" si="286">BU86-BT86</f>
        <v>29648</v>
      </c>
      <c r="BS86" s="111"/>
      <c r="BT86" s="111">
        <v>275166</v>
      </c>
      <c r="BU86" s="111">
        <v>304814</v>
      </c>
      <c r="BV86" s="111">
        <v>8625</v>
      </c>
      <c r="BW86" s="111">
        <f t="shared" ref="BW86:BW95" si="287">BZ86-BV86</f>
        <v>-8521</v>
      </c>
      <c r="BX86" s="111">
        <f t="shared" ref="BX86:BX95" si="288">CA86-BZ86</f>
        <v>-5819</v>
      </c>
      <c r="BY86" s="111">
        <f t="shared" ref="BY86:BY95" si="289">CB86-CA86</f>
        <v>-12023</v>
      </c>
      <c r="BZ86" s="111">
        <v>104</v>
      </c>
      <c r="CA86" s="111">
        <v>-5715</v>
      </c>
      <c r="CB86" s="111">
        <v>-17738</v>
      </c>
      <c r="CC86" s="111">
        <v>716</v>
      </c>
      <c r="CD86" s="111">
        <f t="shared" ref="CD86:CD95" si="290">CG86-CC86</f>
        <v>-7868</v>
      </c>
      <c r="CE86" s="111">
        <f t="shared" ref="CE86:CE95" si="291">CH86-CG86</f>
        <v>-22271</v>
      </c>
      <c r="CF86" s="111">
        <f t="shared" ref="CF86:CF95" si="292">CI86-CH86</f>
        <v>-4103</v>
      </c>
      <c r="CG86" s="111">
        <v>-7152</v>
      </c>
      <c r="CH86" s="111">
        <v>-29423</v>
      </c>
      <c r="CI86" s="111">
        <v>-33526</v>
      </c>
      <c r="CJ86" s="111">
        <v>5960</v>
      </c>
      <c r="CK86" s="111">
        <f t="shared" ref="CK86:CK95" si="293">CN86-CJ86</f>
        <v>-13681</v>
      </c>
      <c r="CL86" s="111"/>
      <c r="CM86" s="111"/>
      <c r="CN86" s="111">
        <v>-7721</v>
      </c>
      <c r="CO86" s="111"/>
    </row>
    <row r="87" spans="1:93" s="92" customFormat="1" x14ac:dyDescent="0.25">
      <c r="A87" s="121" t="str">
        <f>Language!AA76</f>
        <v>Receita de Construção</v>
      </c>
      <c r="B87" s="108">
        <v>28536</v>
      </c>
      <c r="C87" s="108">
        <v>5469</v>
      </c>
      <c r="D87" s="108">
        <v>23849</v>
      </c>
      <c r="E87" s="106">
        <v>36801</v>
      </c>
      <c r="F87" s="108">
        <v>28720</v>
      </c>
      <c r="G87" s="108">
        <v>34265</v>
      </c>
      <c r="H87" s="108">
        <v>32810</v>
      </c>
      <c r="I87" s="106">
        <v>103438</v>
      </c>
      <c r="J87" s="108">
        <v>71474</v>
      </c>
      <c r="K87" s="108">
        <v>99087</v>
      </c>
      <c r="L87" s="108">
        <v>156190</v>
      </c>
      <c r="M87" s="106">
        <v>154083</v>
      </c>
      <c r="N87" s="108">
        <v>120641</v>
      </c>
      <c r="O87" s="108">
        <v>242466</v>
      </c>
      <c r="P87" s="108">
        <v>281708</v>
      </c>
      <c r="Q87" s="108">
        <v>497436</v>
      </c>
      <c r="R87" s="107">
        <v>331743</v>
      </c>
      <c r="S87" s="108">
        <v>350240</v>
      </c>
      <c r="T87" s="108">
        <f t="shared" ref="T87:T95" si="294">W87-S87-R87</f>
        <v>259066</v>
      </c>
      <c r="U87" s="108">
        <f t="shared" ref="U87:U95" si="295">X87-W87</f>
        <v>277300</v>
      </c>
      <c r="V87" s="108">
        <f t="shared" ref="V87:V95" si="296">R87+S87</f>
        <v>681983</v>
      </c>
      <c r="W87" s="108">
        <v>941049</v>
      </c>
      <c r="X87" s="108">
        <v>1218349</v>
      </c>
      <c r="Y87" s="107">
        <v>127042</v>
      </c>
      <c r="Z87" s="108">
        <f t="shared" ref="Z87:Z95" si="297">AC87-Y87</f>
        <v>98483</v>
      </c>
      <c r="AA87" s="108">
        <f t="shared" ref="AA87:AA95" si="298">AD87-Z87-Y87</f>
        <v>58107</v>
      </c>
      <c r="AB87" s="108">
        <f t="shared" ref="AB87:AB95" si="299">AE87-AD87</f>
        <v>88907</v>
      </c>
      <c r="AC87" s="108">
        <v>225525</v>
      </c>
      <c r="AD87" s="108">
        <v>283632</v>
      </c>
      <c r="AE87" s="108">
        <v>372539</v>
      </c>
      <c r="AF87" s="107">
        <v>36186</v>
      </c>
      <c r="AG87" s="108">
        <v>88570</v>
      </c>
      <c r="AH87" s="108">
        <v>69702</v>
      </c>
      <c r="AI87" s="108">
        <v>56351</v>
      </c>
      <c r="AJ87" s="108">
        <v>124756</v>
      </c>
      <c r="AK87" s="108">
        <v>194458</v>
      </c>
      <c r="AL87" s="108">
        <v>250809</v>
      </c>
      <c r="AM87" s="107">
        <v>32860</v>
      </c>
      <c r="AN87" s="108">
        <f t="shared" si="282"/>
        <v>42016</v>
      </c>
      <c r="AO87" s="108"/>
      <c r="AP87" s="108">
        <f t="shared" si="283"/>
        <v>49099</v>
      </c>
      <c r="AQ87" s="108">
        <v>74876</v>
      </c>
      <c r="AR87" s="108">
        <v>126356</v>
      </c>
      <c r="AS87" s="108">
        <v>175455</v>
      </c>
      <c r="AT87" s="107">
        <v>22871</v>
      </c>
      <c r="AU87" s="107">
        <f t="shared" ref="AU87:AU95" si="300">AX87-AT87</f>
        <v>14224</v>
      </c>
      <c r="AV87" s="107">
        <f t="shared" ref="AV87:AV95" si="301">AY87-AX87</f>
        <v>27475</v>
      </c>
      <c r="AW87" s="107">
        <f t="shared" si="284"/>
        <v>30677</v>
      </c>
      <c r="AX87" s="107">
        <v>37095</v>
      </c>
      <c r="AY87" s="107">
        <v>64570</v>
      </c>
      <c r="AZ87" s="107">
        <v>95247</v>
      </c>
      <c r="BA87" s="107">
        <v>25914</v>
      </c>
      <c r="BB87" s="107">
        <f t="shared" ref="BB87:BB95" si="302">BE87-BA87</f>
        <v>23506</v>
      </c>
      <c r="BC87" s="107">
        <f t="shared" ref="BC87:BC95" si="303">BF87-BE87</f>
        <v>27244</v>
      </c>
      <c r="BD87" s="107">
        <f t="shared" ref="BD87:BD95" si="304">BG87-BF87</f>
        <v>34804</v>
      </c>
      <c r="BE87" s="107">
        <v>49420</v>
      </c>
      <c r="BF87" s="107">
        <v>76664</v>
      </c>
      <c r="BG87" s="107">
        <v>111468</v>
      </c>
      <c r="BH87" s="107">
        <v>33293</v>
      </c>
      <c r="BI87" s="107">
        <f t="shared" ref="BI87:BI95" si="305">BL87-BH87</f>
        <v>37194</v>
      </c>
      <c r="BJ87" s="107">
        <f t="shared" ref="BJ87:BJ95" si="306">BM87-BL87</f>
        <v>46450</v>
      </c>
      <c r="BK87" s="107">
        <f t="shared" ref="BK87:BK95" si="307">BN87-BM87</f>
        <v>41562</v>
      </c>
      <c r="BL87" s="107">
        <v>70487</v>
      </c>
      <c r="BM87" s="107">
        <v>116937</v>
      </c>
      <c r="BN87" s="107">
        <v>158499</v>
      </c>
      <c r="BO87" s="107">
        <v>22238</v>
      </c>
      <c r="BP87" s="111">
        <f t="shared" ref="BP87:BP95" si="308">BS87-BO87</f>
        <v>27369</v>
      </c>
      <c r="BQ87" s="111">
        <f t="shared" si="285"/>
        <v>38233</v>
      </c>
      <c r="BR87" s="111">
        <f t="shared" si="286"/>
        <v>28349</v>
      </c>
      <c r="BS87" s="107">
        <v>49607</v>
      </c>
      <c r="BT87" s="107">
        <v>87840</v>
      </c>
      <c r="BU87" s="107">
        <v>116189</v>
      </c>
      <c r="BV87" s="107">
        <v>35456</v>
      </c>
      <c r="BW87" s="111">
        <f t="shared" si="287"/>
        <v>44804</v>
      </c>
      <c r="BX87" s="111">
        <f t="shared" si="288"/>
        <v>123156</v>
      </c>
      <c r="BY87" s="111">
        <f t="shared" si="289"/>
        <v>42491</v>
      </c>
      <c r="BZ87" s="107">
        <v>80260</v>
      </c>
      <c r="CA87" s="107">
        <v>203416</v>
      </c>
      <c r="CB87" s="107">
        <v>245907</v>
      </c>
      <c r="CC87" s="107">
        <v>16939</v>
      </c>
      <c r="CD87" s="111">
        <f t="shared" si="290"/>
        <v>72839</v>
      </c>
      <c r="CE87" s="111">
        <f t="shared" si="291"/>
        <v>41625</v>
      </c>
      <c r="CF87" s="111">
        <f t="shared" si="292"/>
        <v>22158</v>
      </c>
      <c r="CG87" s="107">
        <v>89778</v>
      </c>
      <c r="CH87" s="107">
        <v>131403</v>
      </c>
      <c r="CI87" s="107">
        <v>153561</v>
      </c>
      <c r="CJ87" s="107">
        <v>16324</v>
      </c>
      <c r="CK87" s="111">
        <f t="shared" si="293"/>
        <v>9965</v>
      </c>
      <c r="CL87" s="107"/>
      <c r="CM87" s="107"/>
      <c r="CN87" s="107">
        <v>26289</v>
      </c>
      <c r="CO87" s="107"/>
    </row>
    <row r="88" spans="1:93" s="92" customFormat="1" x14ac:dyDescent="0.25">
      <c r="A88" s="121" t="str">
        <f>Language!AA77</f>
        <v>Operação Portuária (carga de terceiros)</v>
      </c>
      <c r="B88" s="108">
        <v>28780</v>
      </c>
      <c r="C88" s="108">
        <v>27878</v>
      </c>
      <c r="D88" s="108">
        <v>30600</v>
      </c>
      <c r="E88" s="106">
        <v>37012</v>
      </c>
      <c r="F88" s="108">
        <v>36328</v>
      </c>
      <c r="G88" s="108">
        <v>35596</v>
      </c>
      <c r="H88" s="108">
        <v>40434</v>
      </c>
      <c r="I88" s="106">
        <v>39315</v>
      </c>
      <c r="J88" s="108">
        <v>43535</v>
      </c>
      <c r="K88" s="108">
        <v>46486</v>
      </c>
      <c r="L88" s="108">
        <v>51172</v>
      </c>
      <c r="M88" s="106">
        <v>46374</v>
      </c>
      <c r="N88" s="108">
        <v>54864</v>
      </c>
      <c r="O88" s="108">
        <v>50724</v>
      </c>
      <c r="P88" s="108">
        <v>55450</v>
      </c>
      <c r="Q88" s="108">
        <v>61870</v>
      </c>
      <c r="R88" s="107">
        <v>56849</v>
      </c>
      <c r="S88" s="108">
        <v>48256</v>
      </c>
      <c r="T88" s="108">
        <f t="shared" si="294"/>
        <v>53723</v>
      </c>
      <c r="U88" s="108">
        <f t="shared" si="295"/>
        <v>58700</v>
      </c>
      <c r="V88" s="108">
        <f t="shared" si="296"/>
        <v>105105</v>
      </c>
      <c r="W88" s="108">
        <v>158828</v>
      </c>
      <c r="X88" s="108">
        <v>217528</v>
      </c>
      <c r="Y88" s="107">
        <v>59465</v>
      </c>
      <c r="Z88" s="108">
        <f t="shared" si="297"/>
        <v>54947</v>
      </c>
      <c r="AA88" s="108">
        <f t="shared" si="298"/>
        <v>64944</v>
      </c>
      <c r="AB88" s="108">
        <f t="shared" si="299"/>
        <v>63384</v>
      </c>
      <c r="AC88" s="108">
        <v>114412</v>
      </c>
      <c r="AD88" s="108">
        <v>179356</v>
      </c>
      <c r="AE88" s="108">
        <v>242740</v>
      </c>
      <c r="AF88" s="107">
        <v>64761</v>
      </c>
      <c r="AG88" s="108">
        <v>62678</v>
      </c>
      <c r="AH88" s="108">
        <v>80426</v>
      </c>
      <c r="AI88" s="108">
        <v>19987</v>
      </c>
      <c r="AJ88" s="108">
        <v>127439</v>
      </c>
      <c r="AK88" s="108">
        <v>207865</v>
      </c>
      <c r="AL88" s="108">
        <v>227852</v>
      </c>
      <c r="AM88" s="107">
        <v>0</v>
      </c>
      <c r="AN88" s="108">
        <f t="shared" si="282"/>
        <v>0</v>
      </c>
      <c r="AO88" s="108"/>
      <c r="AP88" s="108">
        <f t="shared" si="283"/>
        <v>0</v>
      </c>
      <c r="AQ88" s="108">
        <v>0</v>
      </c>
      <c r="AR88" s="108"/>
      <c r="AS88" s="108"/>
      <c r="AT88" s="107"/>
      <c r="AU88" s="107">
        <f t="shared" si="300"/>
        <v>0</v>
      </c>
      <c r="AV88" s="107">
        <f t="shared" si="301"/>
        <v>0</v>
      </c>
      <c r="AW88" s="107">
        <f t="shared" si="284"/>
        <v>0</v>
      </c>
      <c r="AX88" s="107"/>
      <c r="AY88" s="107">
        <v>0</v>
      </c>
      <c r="AZ88" s="107">
        <v>0</v>
      </c>
      <c r="BA88" s="107">
        <v>0</v>
      </c>
      <c r="BB88" s="107">
        <f t="shared" si="302"/>
        <v>0</v>
      </c>
      <c r="BC88" s="107">
        <f t="shared" si="303"/>
        <v>0</v>
      </c>
      <c r="BD88" s="107">
        <f t="shared" si="304"/>
        <v>0</v>
      </c>
      <c r="BE88" s="107">
        <v>0</v>
      </c>
      <c r="BF88" s="107">
        <v>0</v>
      </c>
      <c r="BG88" s="107">
        <v>0</v>
      </c>
      <c r="BH88" s="107">
        <v>0</v>
      </c>
      <c r="BI88" s="107">
        <f t="shared" si="305"/>
        <v>0</v>
      </c>
      <c r="BJ88" s="107">
        <f t="shared" si="306"/>
        <v>0</v>
      </c>
      <c r="BK88" s="107">
        <f t="shared" si="307"/>
        <v>0</v>
      </c>
      <c r="BL88" s="107">
        <v>0</v>
      </c>
      <c r="BM88" s="107">
        <v>0</v>
      </c>
      <c r="BN88" s="107">
        <v>0</v>
      </c>
      <c r="BO88" s="107">
        <v>0</v>
      </c>
      <c r="BP88" s="111">
        <f t="shared" si="308"/>
        <v>0</v>
      </c>
      <c r="BQ88" s="111">
        <f t="shared" si="285"/>
        <v>0</v>
      </c>
      <c r="BR88" s="111">
        <f t="shared" si="286"/>
        <v>0</v>
      </c>
      <c r="BS88" s="107">
        <v>0</v>
      </c>
      <c r="BT88" s="107">
        <v>0</v>
      </c>
      <c r="BU88" s="107">
        <v>0</v>
      </c>
      <c r="BV88" s="107">
        <v>0</v>
      </c>
      <c r="BW88" s="111">
        <f t="shared" si="287"/>
        <v>0</v>
      </c>
      <c r="BX88" s="111">
        <f t="shared" si="288"/>
        <v>0</v>
      </c>
      <c r="BY88" s="111">
        <f t="shared" si="289"/>
        <v>0</v>
      </c>
      <c r="BZ88" s="107">
        <v>0</v>
      </c>
      <c r="CA88" s="107">
        <v>0</v>
      </c>
      <c r="CB88" s="107">
        <v>0</v>
      </c>
      <c r="CC88" s="107">
        <v>0</v>
      </c>
      <c r="CD88" s="111">
        <f t="shared" si="290"/>
        <v>0</v>
      </c>
      <c r="CE88" s="111">
        <f t="shared" si="291"/>
        <v>0</v>
      </c>
      <c r="CF88" s="111">
        <f t="shared" si="292"/>
        <v>0</v>
      </c>
      <c r="CG88" s="107">
        <v>0</v>
      </c>
      <c r="CH88" s="107">
        <v>0</v>
      </c>
      <c r="CI88" s="107">
        <v>0</v>
      </c>
      <c r="CJ88" s="107">
        <v>0</v>
      </c>
      <c r="CK88" s="111">
        <f t="shared" si="293"/>
        <v>0</v>
      </c>
      <c r="CL88" s="107"/>
      <c r="CM88" s="107"/>
      <c r="CN88" s="107">
        <v>0</v>
      </c>
      <c r="CO88" s="107"/>
    </row>
    <row r="89" spans="1:93" s="92" customFormat="1" x14ac:dyDescent="0.25">
      <c r="A89" s="121" t="str">
        <f>Language!AA78</f>
        <v>Operação Portuária (carga Própria)</v>
      </c>
      <c r="B89" s="108">
        <v>8842</v>
      </c>
      <c r="C89" s="108">
        <v>13848</v>
      </c>
      <c r="D89" s="108">
        <v>16493</v>
      </c>
      <c r="E89" s="106">
        <v>21801</v>
      </c>
      <c r="F89" s="108">
        <v>15201</v>
      </c>
      <c r="G89" s="108">
        <v>10898</v>
      </c>
      <c r="H89" s="108">
        <v>18665</v>
      </c>
      <c r="I89" s="106">
        <v>13022</v>
      </c>
      <c r="J89" s="108">
        <v>19416</v>
      </c>
      <c r="K89" s="108">
        <v>16360</v>
      </c>
      <c r="L89" s="108">
        <v>9903</v>
      </c>
      <c r="M89" s="106">
        <v>10728</v>
      </c>
      <c r="N89" s="108">
        <v>3465</v>
      </c>
      <c r="O89" s="108">
        <v>4434</v>
      </c>
      <c r="P89" s="108">
        <v>520</v>
      </c>
      <c r="Q89" s="108">
        <v>0</v>
      </c>
      <c r="R89" s="107">
        <v>0</v>
      </c>
      <c r="S89" s="108">
        <v>0</v>
      </c>
      <c r="T89" s="108">
        <f t="shared" si="294"/>
        <v>0</v>
      </c>
      <c r="U89" s="108">
        <f t="shared" si="295"/>
        <v>0</v>
      </c>
      <c r="V89" s="108">
        <f t="shared" si="296"/>
        <v>0</v>
      </c>
      <c r="W89" s="108">
        <v>0</v>
      </c>
      <c r="X89" s="108">
        <v>0</v>
      </c>
      <c r="Y89" s="107">
        <v>0</v>
      </c>
      <c r="Z89" s="108">
        <f t="shared" si="297"/>
        <v>0</v>
      </c>
      <c r="AA89" s="108">
        <f t="shared" si="298"/>
        <v>0</v>
      </c>
      <c r="AB89" s="108">
        <f t="shared" si="299"/>
        <v>0</v>
      </c>
      <c r="AC89" s="108">
        <v>0</v>
      </c>
      <c r="AD89" s="108">
        <v>0</v>
      </c>
      <c r="AE89" s="108">
        <v>0</v>
      </c>
      <c r="AF89" s="107">
        <v>0</v>
      </c>
      <c r="AG89" s="108">
        <v>0</v>
      </c>
      <c r="AH89" s="108">
        <v>0</v>
      </c>
      <c r="AI89" s="108">
        <v>0</v>
      </c>
      <c r="AJ89" s="108">
        <v>0</v>
      </c>
      <c r="AK89" s="108">
        <v>0</v>
      </c>
      <c r="AL89" s="108">
        <v>0</v>
      </c>
      <c r="AM89" s="107">
        <v>0</v>
      </c>
      <c r="AN89" s="108">
        <f t="shared" si="282"/>
        <v>0</v>
      </c>
      <c r="AO89" s="108"/>
      <c r="AP89" s="108">
        <f t="shared" si="283"/>
        <v>0</v>
      </c>
      <c r="AQ89" s="108">
        <v>0</v>
      </c>
      <c r="AR89" s="108"/>
      <c r="AS89" s="108"/>
      <c r="AT89" s="107"/>
      <c r="AU89" s="107">
        <f t="shared" si="300"/>
        <v>0</v>
      </c>
      <c r="AV89" s="107">
        <f t="shared" si="301"/>
        <v>0</v>
      </c>
      <c r="AW89" s="107">
        <f t="shared" si="284"/>
        <v>0</v>
      </c>
      <c r="AX89" s="107"/>
      <c r="AY89" s="107"/>
      <c r="AZ89" s="107">
        <v>0</v>
      </c>
      <c r="BA89" s="107">
        <v>0</v>
      </c>
      <c r="BB89" s="107">
        <f t="shared" si="302"/>
        <v>0</v>
      </c>
      <c r="BC89" s="107">
        <f t="shared" si="303"/>
        <v>0</v>
      </c>
      <c r="BD89" s="107">
        <f t="shared" si="304"/>
        <v>0</v>
      </c>
      <c r="BE89" s="107">
        <v>0</v>
      </c>
      <c r="BF89" s="107">
        <v>0</v>
      </c>
      <c r="BG89" s="107">
        <v>0</v>
      </c>
      <c r="BH89" s="107">
        <v>0</v>
      </c>
      <c r="BI89" s="107">
        <f t="shared" si="305"/>
        <v>0</v>
      </c>
      <c r="BJ89" s="107">
        <f t="shared" si="306"/>
        <v>0</v>
      </c>
      <c r="BK89" s="107">
        <f t="shared" si="307"/>
        <v>0</v>
      </c>
      <c r="BL89" s="107">
        <v>0</v>
      </c>
      <c r="BM89" s="107">
        <v>0</v>
      </c>
      <c r="BN89" s="107">
        <v>0</v>
      </c>
      <c r="BO89" s="107">
        <v>0</v>
      </c>
      <c r="BP89" s="111">
        <f t="shared" si="308"/>
        <v>0</v>
      </c>
      <c r="BQ89" s="111">
        <f t="shared" si="285"/>
        <v>0</v>
      </c>
      <c r="BR89" s="111">
        <f t="shared" si="286"/>
        <v>0</v>
      </c>
      <c r="BS89" s="107">
        <v>0</v>
      </c>
      <c r="BT89" s="107">
        <v>0</v>
      </c>
      <c r="BU89" s="107">
        <v>0</v>
      </c>
      <c r="BV89" s="107">
        <v>0</v>
      </c>
      <c r="BW89" s="111">
        <f t="shared" si="287"/>
        <v>0</v>
      </c>
      <c r="BX89" s="111">
        <f t="shared" si="288"/>
        <v>0</v>
      </c>
      <c r="BY89" s="111">
        <f t="shared" si="289"/>
        <v>0</v>
      </c>
      <c r="BZ89" s="107">
        <v>0</v>
      </c>
      <c r="CA89" s="107">
        <v>0</v>
      </c>
      <c r="CB89" s="107">
        <v>0</v>
      </c>
      <c r="CC89" s="107">
        <v>0</v>
      </c>
      <c r="CD89" s="111">
        <f t="shared" si="290"/>
        <v>0</v>
      </c>
      <c r="CE89" s="111">
        <f t="shared" si="291"/>
        <v>0</v>
      </c>
      <c r="CF89" s="111">
        <f t="shared" si="292"/>
        <v>0</v>
      </c>
      <c r="CG89" s="107">
        <v>0</v>
      </c>
      <c r="CH89" s="107">
        <v>0</v>
      </c>
      <c r="CI89" s="107">
        <v>0</v>
      </c>
      <c r="CJ89" s="107">
        <v>0</v>
      </c>
      <c r="CK89" s="111">
        <f t="shared" si="293"/>
        <v>0</v>
      </c>
      <c r="CL89" s="107"/>
      <c r="CM89" s="107"/>
      <c r="CN89" s="107">
        <v>0</v>
      </c>
      <c r="CO89" s="107"/>
    </row>
    <row r="90" spans="1:93" s="92" customFormat="1" x14ac:dyDescent="0.25">
      <c r="A90" s="121" t="str">
        <f>Language!AA79</f>
        <v>Geração e Venda de energia</v>
      </c>
      <c r="B90" s="108">
        <v>24024</v>
      </c>
      <c r="C90" s="108">
        <v>24250</v>
      </c>
      <c r="D90" s="108">
        <v>26072</v>
      </c>
      <c r="E90" s="106">
        <v>27180</v>
      </c>
      <c r="F90" s="108">
        <v>28038</v>
      </c>
      <c r="G90" s="108">
        <v>30277</v>
      </c>
      <c r="H90" s="108">
        <v>28826</v>
      </c>
      <c r="I90" s="106">
        <v>27924</v>
      </c>
      <c r="J90" s="108">
        <v>42656</v>
      </c>
      <c r="K90" s="108">
        <v>29696</v>
      </c>
      <c r="L90" s="108">
        <v>32660</v>
      </c>
      <c r="M90" s="106">
        <v>70402</v>
      </c>
      <c r="N90" s="108">
        <v>256773</v>
      </c>
      <c r="O90" s="108">
        <v>54523</v>
      </c>
      <c r="P90" s="108">
        <v>49198</v>
      </c>
      <c r="Q90" s="108">
        <v>57174</v>
      </c>
      <c r="R90" s="107">
        <v>134577</v>
      </c>
      <c r="S90" s="108">
        <v>62823</v>
      </c>
      <c r="T90" s="108">
        <f t="shared" si="294"/>
        <v>67754</v>
      </c>
      <c r="U90" s="108">
        <f t="shared" si="295"/>
        <v>49660</v>
      </c>
      <c r="V90" s="108">
        <f t="shared" si="296"/>
        <v>197400</v>
      </c>
      <c r="W90" s="108">
        <v>265154</v>
      </c>
      <c r="X90" s="108">
        <v>314814</v>
      </c>
      <c r="Y90" s="107">
        <v>15420</v>
      </c>
      <c r="Z90" s="108">
        <f t="shared" si="297"/>
        <v>13961</v>
      </c>
      <c r="AA90" s="108">
        <f t="shared" si="298"/>
        <v>16139</v>
      </c>
      <c r="AB90" s="108">
        <f t="shared" si="299"/>
        <v>16600</v>
      </c>
      <c r="AC90" s="108">
        <v>29381</v>
      </c>
      <c r="AD90" s="108">
        <v>45520</v>
      </c>
      <c r="AE90" s="108">
        <v>62120</v>
      </c>
      <c r="AF90" s="107">
        <v>16285</v>
      </c>
      <c r="AG90" s="108">
        <v>15710</v>
      </c>
      <c r="AH90" s="108">
        <v>17671</v>
      </c>
      <c r="AI90" s="108">
        <v>20478</v>
      </c>
      <c r="AJ90" s="108">
        <v>31995</v>
      </c>
      <c r="AK90" s="108">
        <v>49666</v>
      </c>
      <c r="AL90" s="108">
        <v>70144</v>
      </c>
      <c r="AM90" s="107">
        <v>18708</v>
      </c>
      <c r="AN90" s="108">
        <f t="shared" si="282"/>
        <v>17391</v>
      </c>
      <c r="AO90" s="108"/>
      <c r="AP90" s="108">
        <f t="shared" si="283"/>
        <v>27947</v>
      </c>
      <c r="AQ90" s="108">
        <v>36099</v>
      </c>
      <c r="AR90" s="108">
        <v>63321</v>
      </c>
      <c r="AS90" s="108">
        <v>91268</v>
      </c>
      <c r="AT90" s="107">
        <v>27465</v>
      </c>
      <c r="AU90" s="107">
        <f t="shared" si="300"/>
        <v>26660</v>
      </c>
      <c r="AV90" s="107">
        <f t="shared" si="301"/>
        <v>30609</v>
      </c>
      <c r="AW90" s="107">
        <f t="shared" si="284"/>
        <v>31080</v>
      </c>
      <c r="AX90" s="107">
        <v>54125</v>
      </c>
      <c r="AY90" s="107">
        <v>84734</v>
      </c>
      <c r="AZ90" s="107">
        <v>115814</v>
      </c>
      <c r="BA90" s="107">
        <v>30961</v>
      </c>
      <c r="BB90" s="107">
        <f t="shared" si="302"/>
        <v>29634</v>
      </c>
      <c r="BC90" s="107">
        <f t="shared" si="303"/>
        <v>34299</v>
      </c>
      <c r="BD90" s="107">
        <f t="shared" si="304"/>
        <v>33859</v>
      </c>
      <c r="BE90" s="107">
        <v>60595</v>
      </c>
      <c r="BF90" s="107">
        <v>94894</v>
      </c>
      <c r="BG90" s="107">
        <v>128753</v>
      </c>
      <c r="BH90" s="107">
        <v>33125</v>
      </c>
      <c r="BI90" s="107">
        <f t="shared" si="305"/>
        <v>33123</v>
      </c>
      <c r="BJ90" s="107">
        <f t="shared" si="306"/>
        <v>34645</v>
      </c>
      <c r="BK90" s="107">
        <f t="shared" si="307"/>
        <v>34307</v>
      </c>
      <c r="BL90" s="107">
        <v>66248</v>
      </c>
      <c r="BM90" s="107">
        <v>100893</v>
      </c>
      <c r="BN90" s="107">
        <v>135200</v>
      </c>
      <c r="BO90" s="107">
        <v>33681</v>
      </c>
      <c r="BP90" s="111">
        <f t="shared" si="308"/>
        <v>33894</v>
      </c>
      <c r="BQ90" s="111">
        <f t="shared" si="285"/>
        <v>38817</v>
      </c>
      <c r="BR90" s="111">
        <f t="shared" si="286"/>
        <v>38835</v>
      </c>
      <c r="BS90" s="107">
        <v>67575</v>
      </c>
      <c r="BT90" s="107">
        <v>106392</v>
      </c>
      <c r="BU90" s="107">
        <v>145227</v>
      </c>
      <c r="BV90" s="107">
        <v>40733</v>
      </c>
      <c r="BW90" s="111">
        <f t="shared" si="287"/>
        <v>39364</v>
      </c>
      <c r="BX90" s="111">
        <f t="shared" si="288"/>
        <v>40198</v>
      </c>
      <c r="BY90" s="111">
        <f t="shared" si="289"/>
        <v>41196</v>
      </c>
      <c r="BZ90" s="107">
        <v>80097</v>
      </c>
      <c r="CA90" s="107">
        <v>120295</v>
      </c>
      <c r="CB90" s="107">
        <v>161491</v>
      </c>
      <c r="CC90" s="107">
        <v>40664</v>
      </c>
      <c r="CD90" s="111">
        <f t="shared" si="290"/>
        <v>39634</v>
      </c>
      <c r="CE90" s="111">
        <f t="shared" si="291"/>
        <v>39801</v>
      </c>
      <c r="CF90" s="111">
        <f t="shared" si="292"/>
        <v>40155</v>
      </c>
      <c r="CG90" s="107">
        <v>80298</v>
      </c>
      <c r="CH90" s="107">
        <v>120099</v>
      </c>
      <c r="CI90" s="107">
        <v>160254</v>
      </c>
      <c r="CJ90" s="107">
        <v>41202</v>
      </c>
      <c r="CK90" s="111">
        <f t="shared" si="293"/>
        <v>40343</v>
      </c>
      <c r="CL90" s="107"/>
      <c r="CM90" s="107"/>
      <c r="CN90" s="107">
        <v>81545</v>
      </c>
      <c r="CO90" s="107"/>
    </row>
    <row r="91" spans="1:93" s="92" customFormat="1" x14ac:dyDescent="0.25">
      <c r="A91" s="121" t="str">
        <f>Language!AA80</f>
        <v>Operação de cabotagem</v>
      </c>
      <c r="B91" s="108">
        <v>0</v>
      </c>
      <c r="C91" s="108">
        <v>1767</v>
      </c>
      <c r="D91" s="108">
        <v>5724</v>
      </c>
      <c r="E91" s="106">
        <v>13432</v>
      </c>
      <c r="F91" s="108">
        <v>13100</v>
      </c>
      <c r="G91" s="108">
        <v>18689</v>
      </c>
      <c r="H91" s="108">
        <v>24278</v>
      </c>
      <c r="I91" s="106">
        <v>22514</v>
      </c>
      <c r="J91" s="108">
        <v>20354</v>
      </c>
      <c r="K91" s="108">
        <v>0</v>
      </c>
      <c r="L91" s="108">
        <v>0</v>
      </c>
      <c r="M91" s="106">
        <v>0</v>
      </c>
      <c r="N91" s="108">
        <v>0</v>
      </c>
      <c r="O91" s="108">
        <v>0</v>
      </c>
      <c r="P91" s="108">
        <v>0</v>
      </c>
      <c r="Q91" s="108">
        <v>0</v>
      </c>
      <c r="R91" s="107">
        <v>0</v>
      </c>
      <c r="S91" s="108">
        <v>0</v>
      </c>
      <c r="T91" s="108">
        <f t="shared" si="294"/>
        <v>0</v>
      </c>
      <c r="U91" s="108">
        <f t="shared" si="295"/>
        <v>0</v>
      </c>
      <c r="V91" s="108">
        <f t="shared" si="296"/>
        <v>0</v>
      </c>
      <c r="W91" s="108">
        <v>0</v>
      </c>
      <c r="X91" s="108">
        <v>0</v>
      </c>
      <c r="Y91" s="107">
        <v>0</v>
      </c>
      <c r="Z91" s="108">
        <f t="shared" si="297"/>
        <v>0</v>
      </c>
      <c r="AA91" s="108">
        <f t="shared" si="298"/>
        <v>0</v>
      </c>
      <c r="AB91" s="108">
        <f t="shared" si="299"/>
        <v>0</v>
      </c>
      <c r="AC91" s="108">
        <v>0</v>
      </c>
      <c r="AD91" s="108">
        <v>0</v>
      </c>
      <c r="AE91" s="108">
        <v>0</v>
      </c>
      <c r="AF91" s="107">
        <v>0</v>
      </c>
      <c r="AG91" s="108">
        <v>0</v>
      </c>
      <c r="AH91" s="108">
        <v>0</v>
      </c>
      <c r="AI91" s="108">
        <v>0</v>
      </c>
      <c r="AJ91" s="108">
        <v>0</v>
      </c>
      <c r="AK91" s="108">
        <v>0</v>
      </c>
      <c r="AL91" s="108">
        <v>0</v>
      </c>
      <c r="AM91" s="107">
        <v>0</v>
      </c>
      <c r="AN91" s="108">
        <f t="shared" si="282"/>
        <v>0</v>
      </c>
      <c r="AO91" s="108"/>
      <c r="AP91" s="108">
        <f t="shared" si="283"/>
        <v>0</v>
      </c>
      <c r="AQ91" s="108">
        <v>0</v>
      </c>
      <c r="AR91" s="108"/>
      <c r="AS91" s="108">
        <v>0</v>
      </c>
      <c r="AT91" s="107"/>
      <c r="AU91" s="107">
        <f t="shared" si="300"/>
        <v>0</v>
      </c>
      <c r="AV91" s="107">
        <f t="shared" si="301"/>
        <v>0</v>
      </c>
      <c r="AW91" s="107">
        <f t="shared" si="284"/>
        <v>0</v>
      </c>
      <c r="AX91" s="107"/>
      <c r="AY91" s="107"/>
      <c r="AZ91" s="107">
        <v>0</v>
      </c>
      <c r="BA91" s="107">
        <v>0</v>
      </c>
      <c r="BB91" s="107">
        <f t="shared" si="302"/>
        <v>0</v>
      </c>
      <c r="BC91" s="107">
        <f t="shared" si="303"/>
        <v>0</v>
      </c>
      <c r="BD91" s="107">
        <f t="shared" si="304"/>
        <v>0</v>
      </c>
      <c r="BE91" s="107">
        <v>0</v>
      </c>
      <c r="BF91" s="107">
        <v>0</v>
      </c>
      <c r="BG91" s="107">
        <v>0</v>
      </c>
      <c r="BH91" s="107">
        <v>0</v>
      </c>
      <c r="BI91" s="107">
        <f t="shared" si="305"/>
        <v>0</v>
      </c>
      <c r="BJ91" s="107">
        <f t="shared" si="306"/>
        <v>0</v>
      </c>
      <c r="BK91" s="107">
        <f t="shared" si="307"/>
        <v>0</v>
      </c>
      <c r="BL91" s="107">
        <v>0</v>
      </c>
      <c r="BM91" s="107">
        <v>0</v>
      </c>
      <c r="BN91" s="107">
        <v>0</v>
      </c>
      <c r="BO91" s="107">
        <v>0</v>
      </c>
      <c r="BP91" s="111">
        <f t="shared" si="308"/>
        <v>0</v>
      </c>
      <c r="BQ91" s="111">
        <f t="shared" si="285"/>
        <v>0</v>
      </c>
      <c r="BR91" s="111">
        <f t="shared" si="286"/>
        <v>0</v>
      </c>
      <c r="BS91" s="107">
        <v>0</v>
      </c>
      <c r="BT91" s="107">
        <v>0</v>
      </c>
      <c r="BU91" s="107">
        <v>0</v>
      </c>
      <c r="BV91" s="107">
        <v>0</v>
      </c>
      <c r="BW91" s="111">
        <f t="shared" si="287"/>
        <v>0</v>
      </c>
      <c r="BX91" s="111">
        <f t="shared" si="288"/>
        <v>0</v>
      </c>
      <c r="BY91" s="111">
        <f t="shared" si="289"/>
        <v>0</v>
      </c>
      <c r="BZ91" s="107">
        <v>0</v>
      </c>
      <c r="CA91" s="107">
        <v>0</v>
      </c>
      <c r="CB91" s="107">
        <v>0</v>
      </c>
      <c r="CC91" s="107">
        <v>0</v>
      </c>
      <c r="CD91" s="111">
        <f t="shared" si="290"/>
        <v>0</v>
      </c>
      <c r="CE91" s="111">
        <f t="shared" si="291"/>
        <v>0</v>
      </c>
      <c r="CF91" s="111">
        <f t="shared" si="292"/>
        <v>0</v>
      </c>
      <c r="CG91" s="107">
        <v>0</v>
      </c>
      <c r="CH91" s="107">
        <v>0</v>
      </c>
      <c r="CI91" s="107">
        <v>0</v>
      </c>
      <c r="CJ91" s="107">
        <v>0</v>
      </c>
      <c r="CK91" s="111">
        <f t="shared" si="293"/>
        <v>0</v>
      </c>
      <c r="CL91" s="107"/>
      <c r="CM91" s="107"/>
      <c r="CN91" s="107">
        <v>0</v>
      </c>
      <c r="CO91" s="107"/>
    </row>
    <row r="92" spans="1:93" s="92" customFormat="1" x14ac:dyDescent="0.25">
      <c r="A92" s="121" t="str">
        <f>Language!AA81</f>
        <v>Operação Aeroportuária</v>
      </c>
      <c r="B92" s="108">
        <v>0</v>
      </c>
      <c r="C92" s="108">
        <v>0</v>
      </c>
      <c r="D92" s="108">
        <v>0</v>
      </c>
      <c r="E92" s="106">
        <v>0</v>
      </c>
      <c r="F92" s="108">
        <v>0</v>
      </c>
      <c r="G92" s="108">
        <v>0</v>
      </c>
      <c r="H92" s="108">
        <v>0</v>
      </c>
      <c r="I92" s="106">
        <v>10840</v>
      </c>
      <c r="J92" s="108">
        <v>21694</v>
      </c>
      <c r="K92" s="108">
        <v>23041</v>
      </c>
      <c r="L92" s="108">
        <v>24675</v>
      </c>
      <c r="M92" s="106">
        <v>26885</v>
      </c>
      <c r="N92" s="108">
        <v>26193</v>
      </c>
      <c r="O92" s="108">
        <v>24641</v>
      </c>
      <c r="P92" s="108">
        <v>25525</v>
      </c>
      <c r="Q92" s="108">
        <v>29748</v>
      </c>
      <c r="R92" s="107">
        <v>27787</v>
      </c>
      <c r="S92" s="108">
        <v>28914</v>
      </c>
      <c r="T92" s="108">
        <f t="shared" si="294"/>
        <v>29941</v>
      </c>
      <c r="U92" s="108">
        <f t="shared" si="295"/>
        <v>32347</v>
      </c>
      <c r="V92" s="108">
        <f t="shared" si="296"/>
        <v>56701</v>
      </c>
      <c r="W92" s="108">
        <v>86642</v>
      </c>
      <c r="X92" s="108">
        <v>118989</v>
      </c>
      <c r="Y92" s="107">
        <v>29273</v>
      </c>
      <c r="Z92" s="108">
        <f t="shared" si="297"/>
        <v>27155</v>
      </c>
      <c r="AA92" s="108">
        <f t="shared" si="298"/>
        <v>32721</v>
      </c>
      <c r="AB92" s="108">
        <f t="shared" si="299"/>
        <v>34032</v>
      </c>
      <c r="AC92" s="108">
        <v>56428</v>
      </c>
      <c r="AD92" s="108">
        <v>89149</v>
      </c>
      <c r="AE92" s="108">
        <v>123181</v>
      </c>
      <c r="AF92" s="107">
        <v>37309</v>
      </c>
      <c r="AG92" s="108">
        <v>40271</v>
      </c>
      <c r="AH92" s="108">
        <v>-77580</v>
      </c>
      <c r="AI92" s="108">
        <v>0</v>
      </c>
      <c r="AJ92" s="108">
        <v>77580</v>
      </c>
      <c r="AK92" s="108">
        <v>0</v>
      </c>
      <c r="AL92" s="108">
        <v>0</v>
      </c>
      <c r="AM92" s="107">
        <v>0</v>
      </c>
      <c r="AN92" s="108">
        <f t="shared" si="282"/>
        <v>0</v>
      </c>
      <c r="AO92" s="108"/>
      <c r="AP92" s="108">
        <f t="shared" si="283"/>
        <v>0</v>
      </c>
      <c r="AQ92" s="108">
        <v>0</v>
      </c>
      <c r="AR92" s="108"/>
      <c r="AS92" s="108">
        <v>0</v>
      </c>
      <c r="AT92" s="107"/>
      <c r="AU92" s="107">
        <f t="shared" si="300"/>
        <v>0</v>
      </c>
      <c r="AV92" s="107">
        <f t="shared" si="301"/>
        <v>0</v>
      </c>
      <c r="AW92" s="107">
        <f t="shared" si="284"/>
        <v>0</v>
      </c>
      <c r="AX92" s="107"/>
      <c r="AY92" s="107"/>
      <c r="AZ92" s="107">
        <v>0</v>
      </c>
      <c r="BA92" s="107">
        <v>0</v>
      </c>
      <c r="BB92" s="107">
        <f t="shared" si="302"/>
        <v>0</v>
      </c>
      <c r="BC92" s="107">
        <f t="shared" si="303"/>
        <v>0</v>
      </c>
      <c r="BD92" s="107">
        <f t="shared" si="304"/>
        <v>0</v>
      </c>
      <c r="BE92" s="107">
        <v>0</v>
      </c>
      <c r="BF92" s="107">
        <v>0</v>
      </c>
      <c r="BG92" s="107">
        <v>0</v>
      </c>
      <c r="BH92" s="107">
        <v>0</v>
      </c>
      <c r="BI92" s="107">
        <f t="shared" si="305"/>
        <v>0</v>
      </c>
      <c r="BJ92" s="107">
        <f t="shared" si="306"/>
        <v>0</v>
      </c>
      <c r="BK92" s="107">
        <f t="shared" si="307"/>
        <v>0</v>
      </c>
      <c r="BL92" s="107">
        <v>0</v>
      </c>
      <c r="BM92" s="107">
        <v>0</v>
      </c>
      <c r="BN92" s="107">
        <v>0</v>
      </c>
      <c r="BO92" s="107">
        <v>0</v>
      </c>
      <c r="BP92" s="111">
        <f t="shared" si="308"/>
        <v>0</v>
      </c>
      <c r="BQ92" s="111">
        <f t="shared" si="285"/>
        <v>0</v>
      </c>
      <c r="BR92" s="111">
        <f t="shared" si="286"/>
        <v>0</v>
      </c>
      <c r="BS92" s="107">
        <v>0</v>
      </c>
      <c r="BT92" s="107">
        <v>0</v>
      </c>
      <c r="BU92" s="107">
        <v>0</v>
      </c>
      <c r="BV92" s="107">
        <v>0</v>
      </c>
      <c r="BW92" s="111">
        <f t="shared" si="287"/>
        <v>0</v>
      </c>
      <c r="BX92" s="111">
        <f t="shared" si="288"/>
        <v>0</v>
      </c>
      <c r="BY92" s="111">
        <f t="shared" si="289"/>
        <v>0</v>
      </c>
      <c r="BZ92" s="107">
        <v>0</v>
      </c>
      <c r="CA92" s="107">
        <v>0</v>
      </c>
      <c r="CB92" s="107">
        <v>0</v>
      </c>
      <c r="CC92" s="107">
        <v>0</v>
      </c>
      <c r="CD92" s="111">
        <f t="shared" si="290"/>
        <v>0</v>
      </c>
      <c r="CE92" s="111">
        <f t="shared" si="291"/>
        <v>0</v>
      </c>
      <c r="CF92" s="111">
        <f t="shared" si="292"/>
        <v>0</v>
      </c>
      <c r="CG92" s="107">
        <v>0</v>
      </c>
      <c r="CH92" s="107">
        <v>0</v>
      </c>
      <c r="CI92" s="107">
        <v>0</v>
      </c>
      <c r="CJ92" s="107">
        <v>0</v>
      </c>
      <c r="CK92" s="111">
        <f t="shared" si="293"/>
        <v>0</v>
      </c>
      <c r="CL92" s="107"/>
      <c r="CM92" s="107"/>
      <c r="CN92" s="107">
        <v>0</v>
      </c>
      <c r="CO92" s="107"/>
    </row>
    <row r="93" spans="1:93" s="92" customFormat="1" x14ac:dyDescent="0.25">
      <c r="A93" s="121" t="str">
        <f>Language!AA82</f>
        <v>Margem de Construção</v>
      </c>
      <c r="B93" s="108">
        <v>0</v>
      </c>
      <c r="C93" s="108">
        <v>0</v>
      </c>
      <c r="D93" s="108">
        <v>0</v>
      </c>
      <c r="E93" s="106">
        <v>0</v>
      </c>
      <c r="F93" s="108">
        <v>0</v>
      </c>
      <c r="G93" s="108">
        <v>0</v>
      </c>
      <c r="H93" s="108">
        <v>0</v>
      </c>
      <c r="I93" s="106">
        <v>0</v>
      </c>
      <c r="J93" s="108">
        <v>0</v>
      </c>
      <c r="K93" s="108">
        <v>0</v>
      </c>
      <c r="L93" s="108">
        <v>0</v>
      </c>
      <c r="M93" s="106">
        <v>0</v>
      </c>
      <c r="N93" s="108">
        <v>0</v>
      </c>
      <c r="O93" s="108">
        <v>24514</v>
      </c>
      <c r="P93" s="108">
        <v>54989</v>
      </c>
      <c r="Q93" s="108">
        <v>-3236</v>
      </c>
      <c r="R93" s="107">
        <v>144672</v>
      </c>
      <c r="S93" s="108">
        <v>41493</v>
      </c>
      <c r="T93" s="108">
        <f t="shared" si="294"/>
        <v>34287</v>
      </c>
      <c r="U93" s="108">
        <f t="shared" si="295"/>
        <v>-34985</v>
      </c>
      <c r="V93" s="108">
        <f t="shared" si="296"/>
        <v>186165</v>
      </c>
      <c r="W93" s="108">
        <v>220452</v>
      </c>
      <c r="X93" s="108">
        <v>185467</v>
      </c>
      <c r="Y93" s="107">
        <f>'Toll Roads'!Y365</f>
        <v>6364</v>
      </c>
      <c r="Z93" s="108">
        <f t="shared" si="297"/>
        <v>5838</v>
      </c>
      <c r="AA93" s="108">
        <f t="shared" si="298"/>
        <v>2058</v>
      </c>
      <c r="AB93" s="108">
        <f t="shared" si="299"/>
        <v>1988</v>
      </c>
      <c r="AC93" s="108">
        <v>12202</v>
      </c>
      <c r="AD93" s="108">
        <v>14260</v>
      </c>
      <c r="AE93" s="108">
        <v>16248</v>
      </c>
      <c r="AF93" s="107">
        <v>0</v>
      </c>
      <c r="AG93" s="108">
        <v>0</v>
      </c>
      <c r="AH93" s="108">
        <v>0</v>
      </c>
      <c r="AI93" s="108">
        <v>0</v>
      </c>
      <c r="AJ93" s="108">
        <v>0</v>
      </c>
      <c r="AK93" s="108">
        <v>0</v>
      </c>
      <c r="AL93" s="108">
        <v>0</v>
      </c>
      <c r="AM93" s="107">
        <v>0</v>
      </c>
      <c r="AN93" s="108">
        <f t="shared" si="282"/>
        <v>0</v>
      </c>
      <c r="AO93" s="108"/>
      <c r="AP93" s="108">
        <f t="shared" si="283"/>
        <v>0</v>
      </c>
      <c r="AQ93" s="108">
        <v>0</v>
      </c>
      <c r="AR93" s="108"/>
      <c r="AS93" s="108"/>
      <c r="AT93" s="107"/>
      <c r="AU93" s="107">
        <f t="shared" si="300"/>
        <v>0</v>
      </c>
      <c r="AV93" s="107">
        <f t="shared" si="301"/>
        <v>0</v>
      </c>
      <c r="AW93" s="107">
        <f t="shared" si="284"/>
        <v>0</v>
      </c>
      <c r="AX93" s="107"/>
      <c r="AY93" s="107"/>
      <c r="AZ93" s="107">
        <v>0</v>
      </c>
      <c r="BA93" s="107">
        <v>0</v>
      </c>
      <c r="BB93" s="107">
        <f t="shared" si="302"/>
        <v>0</v>
      </c>
      <c r="BC93" s="107">
        <f t="shared" si="303"/>
        <v>0</v>
      </c>
      <c r="BD93" s="107">
        <f t="shared" si="304"/>
        <v>0</v>
      </c>
      <c r="BE93" s="107">
        <v>0</v>
      </c>
      <c r="BF93" s="107">
        <v>0</v>
      </c>
      <c r="BG93" s="107">
        <v>0</v>
      </c>
      <c r="BH93" s="107">
        <v>0</v>
      </c>
      <c r="BI93" s="107">
        <f t="shared" si="305"/>
        <v>0</v>
      </c>
      <c r="BJ93" s="107">
        <f t="shared" si="306"/>
        <v>0</v>
      </c>
      <c r="BK93" s="107">
        <f t="shared" si="307"/>
        <v>0</v>
      </c>
      <c r="BL93" s="107">
        <v>0</v>
      </c>
      <c r="BM93" s="107">
        <v>0</v>
      </c>
      <c r="BN93" s="107">
        <v>0</v>
      </c>
      <c r="BO93" s="107">
        <v>0</v>
      </c>
      <c r="BP93" s="111">
        <f t="shared" si="308"/>
        <v>0</v>
      </c>
      <c r="BQ93" s="111">
        <f t="shared" si="285"/>
        <v>0</v>
      </c>
      <c r="BR93" s="111">
        <f t="shared" si="286"/>
        <v>0</v>
      </c>
      <c r="BS93" s="107">
        <v>0</v>
      </c>
      <c r="BT93" s="107">
        <v>0</v>
      </c>
      <c r="BU93" s="107">
        <v>0</v>
      </c>
      <c r="BV93" s="107">
        <v>0</v>
      </c>
      <c r="BW93" s="111">
        <f t="shared" si="287"/>
        <v>0</v>
      </c>
      <c r="BX93" s="111">
        <f t="shared" si="288"/>
        <v>0</v>
      </c>
      <c r="BY93" s="111">
        <f t="shared" si="289"/>
        <v>0</v>
      </c>
      <c r="BZ93" s="107">
        <v>0</v>
      </c>
      <c r="CA93" s="107">
        <v>0</v>
      </c>
      <c r="CB93" s="107">
        <v>0</v>
      </c>
      <c r="CC93" s="107">
        <v>0</v>
      </c>
      <c r="CD93" s="111">
        <f t="shared" si="290"/>
        <v>0</v>
      </c>
      <c r="CE93" s="111">
        <f t="shared" si="291"/>
        <v>0</v>
      </c>
      <c r="CF93" s="111">
        <f t="shared" si="292"/>
        <v>0</v>
      </c>
      <c r="CG93" s="107">
        <v>0</v>
      </c>
      <c r="CH93" s="107">
        <v>0</v>
      </c>
      <c r="CI93" s="107">
        <v>0</v>
      </c>
      <c r="CJ93" s="107">
        <v>0</v>
      </c>
      <c r="CK93" s="111">
        <f t="shared" si="293"/>
        <v>0</v>
      </c>
      <c r="CL93" s="107"/>
      <c r="CM93" s="107"/>
      <c r="CN93" s="107">
        <v>0</v>
      </c>
      <c r="CO93" s="107"/>
    </row>
    <row r="94" spans="1:93" s="92" customFormat="1" x14ac:dyDescent="0.25">
      <c r="A94" s="121" t="str">
        <f>Language!AA83</f>
        <v>Outras Receitas</v>
      </c>
      <c r="B94" s="108">
        <v>1199</v>
      </c>
      <c r="C94" s="108">
        <v>1121</v>
      </c>
      <c r="D94" s="108">
        <v>1186</v>
      </c>
      <c r="E94" s="106">
        <v>1334</v>
      </c>
      <c r="F94" s="108">
        <v>1911</v>
      </c>
      <c r="G94" s="108">
        <v>1374</v>
      </c>
      <c r="H94" s="108">
        <v>962</v>
      </c>
      <c r="I94" s="106">
        <v>6525</v>
      </c>
      <c r="J94" s="108">
        <v>4366</v>
      </c>
      <c r="K94" s="108">
        <v>1384</v>
      </c>
      <c r="L94" s="108">
        <v>1461</v>
      </c>
      <c r="M94" s="106">
        <v>1581</v>
      </c>
      <c r="N94" s="108">
        <v>1499</v>
      </c>
      <c r="O94" s="108">
        <v>1420</v>
      </c>
      <c r="P94" s="108">
        <v>1347</v>
      </c>
      <c r="Q94" s="108">
        <v>1941</v>
      </c>
      <c r="R94" s="107">
        <v>7725</v>
      </c>
      <c r="S94" s="108">
        <v>2018</v>
      </c>
      <c r="T94" s="108">
        <f t="shared" si="294"/>
        <v>2089</v>
      </c>
      <c r="U94" s="108">
        <f t="shared" si="295"/>
        <v>4546</v>
      </c>
      <c r="V94" s="108">
        <f t="shared" si="296"/>
        <v>9743</v>
      </c>
      <c r="W94" s="108">
        <v>11832</v>
      </c>
      <c r="X94" s="108">
        <v>16378</v>
      </c>
      <c r="Y94" s="107">
        <v>2504</v>
      </c>
      <c r="Z94" s="108">
        <f t="shared" si="297"/>
        <v>3537</v>
      </c>
      <c r="AA94" s="108">
        <f t="shared" si="298"/>
        <v>5529</v>
      </c>
      <c r="AB94" s="108">
        <f t="shared" si="299"/>
        <v>6970</v>
      </c>
      <c r="AC94" s="108">
        <v>6041</v>
      </c>
      <c r="AD94" s="108">
        <v>11570</v>
      </c>
      <c r="AE94" s="108">
        <v>18540</v>
      </c>
      <c r="AF94" s="107">
        <v>3034</v>
      </c>
      <c r="AG94" s="108">
        <v>2784</v>
      </c>
      <c r="AH94" s="108">
        <v>11977</v>
      </c>
      <c r="AI94" s="108">
        <v>17019</v>
      </c>
      <c r="AJ94" s="108">
        <v>5818</v>
      </c>
      <c r="AK94" s="108">
        <v>17795</v>
      </c>
      <c r="AL94" s="108">
        <v>34814</v>
      </c>
      <c r="AM94" s="107">
        <v>1446</v>
      </c>
      <c r="AN94" s="108">
        <f t="shared" si="282"/>
        <v>4986</v>
      </c>
      <c r="AO94" s="108"/>
      <c r="AP94" s="108">
        <f t="shared" si="283"/>
        <v>2550</v>
      </c>
      <c r="AQ94" s="108">
        <v>6432</v>
      </c>
      <c r="AR94" s="108">
        <v>9642</v>
      </c>
      <c r="AS94" s="108">
        <v>12192</v>
      </c>
      <c r="AT94" s="107">
        <v>2820</v>
      </c>
      <c r="AU94" s="107">
        <f t="shared" si="300"/>
        <v>2996</v>
      </c>
      <c r="AV94" s="107">
        <f t="shared" si="301"/>
        <v>3118</v>
      </c>
      <c r="AW94" s="107">
        <f t="shared" si="284"/>
        <v>2775</v>
      </c>
      <c r="AX94" s="107">
        <v>5816</v>
      </c>
      <c r="AY94" s="107">
        <v>8934</v>
      </c>
      <c r="AZ94" s="107">
        <v>11709</v>
      </c>
      <c r="BA94" s="107">
        <v>2847</v>
      </c>
      <c r="BB94" s="107">
        <f t="shared" si="302"/>
        <v>3362</v>
      </c>
      <c r="BC94" s="107">
        <f t="shared" si="303"/>
        <v>3667</v>
      </c>
      <c r="BD94" s="107">
        <f t="shared" si="304"/>
        <v>2752</v>
      </c>
      <c r="BE94" s="107">
        <v>6209</v>
      </c>
      <c r="BF94" s="107">
        <v>9876</v>
      </c>
      <c r="BG94" s="107">
        <v>12628</v>
      </c>
      <c r="BH94" s="107">
        <v>1963</v>
      </c>
      <c r="BI94" s="107">
        <f t="shared" si="305"/>
        <v>2229</v>
      </c>
      <c r="BJ94" s="107">
        <f t="shared" si="306"/>
        <v>1798</v>
      </c>
      <c r="BK94" s="107">
        <f t="shared" si="307"/>
        <v>1414</v>
      </c>
      <c r="BL94" s="107">
        <v>4192</v>
      </c>
      <c r="BM94" s="107">
        <v>5990</v>
      </c>
      <c r="BN94" s="107">
        <v>7404</v>
      </c>
      <c r="BO94" s="107">
        <v>1207</v>
      </c>
      <c r="BP94" s="111">
        <f t="shared" si="308"/>
        <v>305300</v>
      </c>
      <c r="BQ94" s="111">
        <f t="shared" si="285"/>
        <v>-299259</v>
      </c>
      <c r="BR94" s="111">
        <f t="shared" si="286"/>
        <v>1984</v>
      </c>
      <c r="BS94" s="107">
        <v>306507</v>
      </c>
      <c r="BT94" s="107">
        <v>7248</v>
      </c>
      <c r="BU94" s="107">
        <v>9232</v>
      </c>
      <c r="BV94" s="107">
        <v>2280</v>
      </c>
      <c r="BW94" s="111">
        <f t="shared" si="287"/>
        <v>2531</v>
      </c>
      <c r="BX94" s="111">
        <f t="shared" si="288"/>
        <v>2108</v>
      </c>
      <c r="BY94" s="111">
        <f t="shared" si="289"/>
        <v>2496</v>
      </c>
      <c r="BZ94" s="107">
        <v>4811</v>
      </c>
      <c r="CA94" s="107">
        <v>6919</v>
      </c>
      <c r="CB94" s="107">
        <v>9415</v>
      </c>
      <c r="CC94" s="107">
        <v>2346</v>
      </c>
      <c r="CD94" s="111">
        <f t="shared" si="290"/>
        <v>2134</v>
      </c>
      <c r="CE94" s="111">
        <f t="shared" si="291"/>
        <v>2431</v>
      </c>
      <c r="CF94" s="111">
        <f t="shared" si="292"/>
        <v>3378</v>
      </c>
      <c r="CG94" s="107">
        <v>4480</v>
      </c>
      <c r="CH94" s="107">
        <v>6911</v>
      </c>
      <c r="CI94" s="107">
        <v>10289</v>
      </c>
      <c r="CJ94" s="107">
        <v>2457</v>
      </c>
      <c r="CK94" s="111">
        <f t="shared" si="293"/>
        <v>2687</v>
      </c>
      <c r="CL94" s="107"/>
      <c r="CM94" s="107"/>
      <c r="CN94" s="107">
        <v>5144</v>
      </c>
      <c r="CO94" s="107"/>
    </row>
    <row r="95" spans="1:93" s="100" customFormat="1" ht="13" x14ac:dyDescent="0.3">
      <c r="A95" s="119" t="str">
        <f>Language!AA84</f>
        <v>Deduções da Receita Bruta</v>
      </c>
      <c r="B95" s="130">
        <v>-16088</v>
      </c>
      <c r="C95" s="130">
        <v>-16121</v>
      </c>
      <c r="D95" s="130">
        <v>-17349</v>
      </c>
      <c r="E95" s="131">
        <v>-22054</v>
      </c>
      <c r="F95" s="130">
        <v>-21478</v>
      </c>
      <c r="G95" s="130">
        <v>-20396</v>
      </c>
      <c r="H95" s="130">
        <v>-24013</v>
      </c>
      <c r="I95" s="131">
        <v>-26848</v>
      </c>
      <c r="J95" s="130">
        <v>-31444</v>
      </c>
      <c r="K95" s="130">
        <v>-28043</v>
      </c>
      <c r="L95" s="130">
        <v>-23600</v>
      </c>
      <c r="M95" s="131">
        <v>-33867</v>
      </c>
      <c r="N95" s="130">
        <v>-41160</v>
      </c>
      <c r="O95" s="130">
        <v>-36593</v>
      </c>
      <c r="P95" s="130">
        <v>-26567</v>
      </c>
      <c r="Q95" s="130">
        <v>-17544</v>
      </c>
      <c r="R95" s="132">
        <v>-48053</v>
      </c>
      <c r="S95" s="130">
        <v>-30773</v>
      </c>
      <c r="T95" s="130">
        <f t="shared" si="294"/>
        <v>-45781</v>
      </c>
      <c r="U95" s="130">
        <f t="shared" si="295"/>
        <v>-25789</v>
      </c>
      <c r="V95" s="130">
        <f t="shared" si="296"/>
        <v>-78826</v>
      </c>
      <c r="W95" s="130">
        <v>-124607</v>
      </c>
      <c r="X95" s="130">
        <v>-150396</v>
      </c>
      <c r="Y95" s="132">
        <v>-36640</v>
      </c>
      <c r="Z95" s="108">
        <f t="shared" si="297"/>
        <v>-35522</v>
      </c>
      <c r="AA95" s="130">
        <f t="shared" si="298"/>
        <v>-49205</v>
      </c>
      <c r="AB95" s="130">
        <f t="shared" si="299"/>
        <v>-34700</v>
      </c>
      <c r="AC95" s="130">
        <v>-72162</v>
      </c>
      <c r="AD95" s="130">
        <v>-121367</v>
      </c>
      <c r="AE95" s="130">
        <v>-156067</v>
      </c>
      <c r="AF95" s="132">
        <v>-39764</v>
      </c>
      <c r="AG95" s="132">
        <v>-36498</v>
      </c>
      <c r="AH95" s="132">
        <v>-25831</v>
      </c>
      <c r="AI95" s="132">
        <v>-28367</v>
      </c>
      <c r="AJ95" s="130">
        <v>-76262</v>
      </c>
      <c r="AK95" s="130">
        <v>-102093</v>
      </c>
      <c r="AL95" s="130">
        <v>-130460</v>
      </c>
      <c r="AM95" s="132">
        <v>-26701</v>
      </c>
      <c r="AN95" s="130">
        <f t="shared" si="282"/>
        <v>-23976</v>
      </c>
      <c r="AO95" s="130"/>
      <c r="AP95" s="130">
        <f t="shared" si="283"/>
        <v>-22429</v>
      </c>
      <c r="AQ95" s="130">
        <v>-50677</v>
      </c>
      <c r="AR95" s="130">
        <v>-74752</v>
      </c>
      <c r="AS95" s="130">
        <v>-97181</v>
      </c>
      <c r="AT95" s="130">
        <v>-20093</v>
      </c>
      <c r="AU95" s="132">
        <f t="shared" si="300"/>
        <v>-21103</v>
      </c>
      <c r="AV95" s="107">
        <f t="shared" si="301"/>
        <v>-24095</v>
      </c>
      <c r="AW95" s="107">
        <f t="shared" si="284"/>
        <v>-25425</v>
      </c>
      <c r="AX95" s="130">
        <v>-41196</v>
      </c>
      <c r="AY95" s="130">
        <v>-65291</v>
      </c>
      <c r="AZ95" s="130">
        <v>-90716</v>
      </c>
      <c r="BA95" s="130">
        <v>-23487</v>
      </c>
      <c r="BB95" s="107">
        <f t="shared" si="302"/>
        <v>-20123</v>
      </c>
      <c r="BC95" s="107">
        <f t="shared" si="303"/>
        <v>-22147</v>
      </c>
      <c r="BD95" s="107">
        <f t="shared" si="304"/>
        <v>-23377</v>
      </c>
      <c r="BE95" s="130">
        <v>-43610</v>
      </c>
      <c r="BF95" s="130">
        <v>-65757</v>
      </c>
      <c r="BG95" s="130">
        <v>-89134</v>
      </c>
      <c r="BH95" s="130">
        <v>-21936</v>
      </c>
      <c r="BI95" s="130">
        <f t="shared" si="305"/>
        <v>-22886</v>
      </c>
      <c r="BJ95" s="107">
        <f t="shared" si="306"/>
        <v>-24715</v>
      </c>
      <c r="BK95" s="107">
        <f t="shared" si="307"/>
        <v>-22239</v>
      </c>
      <c r="BL95" s="130">
        <v>-44822</v>
      </c>
      <c r="BM95" s="130">
        <v>-69537</v>
      </c>
      <c r="BN95" s="130">
        <v>-91776</v>
      </c>
      <c r="BO95" s="130">
        <v>-17485</v>
      </c>
      <c r="BP95" s="111">
        <f t="shared" si="308"/>
        <v>-18026</v>
      </c>
      <c r="BQ95" s="111">
        <f t="shared" si="285"/>
        <v>-20232</v>
      </c>
      <c r="BR95" s="111">
        <f t="shared" si="286"/>
        <v>-19680</v>
      </c>
      <c r="BS95" s="130">
        <v>-35511</v>
      </c>
      <c r="BT95" s="130">
        <v>-55743</v>
      </c>
      <c r="BU95" s="130">
        <v>-75423</v>
      </c>
      <c r="BV95" s="130">
        <v>-19481</v>
      </c>
      <c r="BW95" s="111">
        <f t="shared" si="287"/>
        <v>-19412</v>
      </c>
      <c r="BX95" s="111">
        <f t="shared" si="288"/>
        <v>-21867</v>
      </c>
      <c r="BY95" s="111">
        <f t="shared" si="289"/>
        <v>-24690</v>
      </c>
      <c r="BZ95" s="130">
        <v>-38893</v>
      </c>
      <c r="CA95" s="130">
        <v>-60760</v>
      </c>
      <c r="CB95" s="130">
        <v>-85450</v>
      </c>
      <c r="CC95" s="130">
        <v>-24743</v>
      </c>
      <c r="CD95" s="111">
        <f t="shared" si="290"/>
        <v>-25821</v>
      </c>
      <c r="CE95" s="111">
        <f t="shared" si="291"/>
        <v>-39467</v>
      </c>
      <c r="CF95" s="111">
        <f t="shared" si="292"/>
        <v>-30809</v>
      </c>
      <c r="CG95" s="130">
        <v>-50564</v>
      </c>
      <c r="CH95" s="130">
        <v>-90031</v>
      </c>
      <c r="CI95" s="130">
        <v>-120840</v>
      </c>
      <c r="CJ95" s="130">
        <v>-25996</v>
      </c>
      <c r="CK95" s="804">
        <f t="shared" si="293"/>
        <v>-26516</v>
      </c>
      <c r="CL95" s="130"/>
      <c r="CM95" s="130"/>
      <c r="CN95" s="130">
        <v>-52512</v>
      </c>
      <c r="CO95" s="130"/>
    </row>
    <row r="96" spans="1:93" s="100" customFormat="1" ht="13" x14ac:dyDescent="0.3">
      <c r="A96" s="133" t="str">
        <f>Language!AA85</f>
        <v>Receita Operacional Líquida</v>
      </c>
      <c r="B96" s="134">
        <f>SUM(B84,B95)</f>
        <v>189558</v>
      </c>
      <c r="C96" s="134">
        <f t="shared" ref="C96:K96" si="309">SUM(C84,C95)</f>
        <v>162773</v>
      </c>
      <c r="D96" s="134">
        <f t="shared" si="309"/>
        <v>196291</v>
      </c>
      <c r="E96" s="135">
        <f t="shared" si="309"/>
        <v>238160</v>
      </c>
      <c r="F96" s="134">
        <f t="shared" si="309"/>
        <v>230646</v>
      </c>
      <c r="G96" s="134">
        <f t="shared" si="309"/>
        <v>225713</v>
      </c>
      <c r="H96" s="134">
        <f t="shared" si="309"/>
        <v>245008</v>
      </c>
      <c r="I96" s="135">
        <f t="shared" si="309"/>
        <v>332792</v>
      </c>
      <c r="J96" s="134">
        <f t="shared" si="309"/>
        <v>331716</v>
      </c>
      <c r="K96" s="134">
        <f t="shared" si="309"/>
        <v>314672</v>
      </c>
      <c r="L96" s="134">
        <f t="shared" ref="L96:N96" si="310">SUM(L84,L95)</f>
        <v>387649</v>
      </c>
      <c r="M96" s="135">
        <f t="shared" si="310"/>
        <v>426957</v>
      </c>
      <c r="N96" s="134">
        <f t="shared" si="310"/>
        <v>577691</v>
      </c>
      <c r="O96" s="134">
        <f t="shared" ref="O96:U96" si="311">O84+O95</f>
        <v>505262</v>
      </c>
      <c r="P96" s="134">
        <f t="shared" si="311"/>
        <v>585878</v>
      </c>
      <c r="Q96" s="134">
        <f t="shared" si="311"/>
        <v>790457</v>
      </c>
      <c r="R96" s="136">
        <f t="shared" si="311"/>
        <v>844230</v>
      </c>
      <c r="S96" s="134">
        <f t="shared" si="311"/>
        <v>673595</v>
      </c>
      <c r="T96" s="134">
        <f t="shared" si="311"/>
        <v>668132</v>
      </c>
      <c r="U96" s="134">
        <f t="shared" si="311"/>
        <v>655068</v>
      </c>
      <c r="V96" s="134">
        <f t="shared" ref="V96" si="312">V84+V95</f>
        <v>1517825</v>
      </c>
      <c r="W96" s="134">
        <f t="shared" ref="W96:X96" si="313">W84+W95</f>
        <v>2185957</v>
      </c>
      <c r="X96" s="134">
        <f t="shared" si="313"/>
        <v>2841025</v>
      </c>
      <c r="Y96" s="136">
        <f t="shared" ref="Y96" si="314">Y84+Y95</f>
        <v>505335</v>
      </c>
      <c r="Z96" s="134">
        <f t="shared" ref="Z96:AB96" si="315">Z84+Z95</f>
        <v>444640</v>
      </c>
      <c r="AA96" s="134">
        <f t="shared" si="315"/>
        <v>417942</v>
      </c>
      <c r="AB96" s="134">
        <f t="shared" si="315"/>
        <v>481443</v>
      </c>
      <c r="AC96" s="134">
        <f t="shared" ref="AC96:AD96" si="316">AC84+AC95</f>
        <v>949975</v>
      </c>
      <c r="AD96" s="134">
        <f t="shared" si="316"/>
        <v>1367917</v>
      </c>
      <c r="AE96" s="134">
        <f t="shared" ref="AE96" si="317">AE84+AE95</f>
        <v>1849360</v>
      </c>
      <c r="AF96" s="136">
        <v>434188</v>
      </c>
      <c r="AG96" s="134">
        <v>465379</v>
      </c>
      <c r="AH96" s="134">
        <v>368425</v>
      </c>
      <c r="AI96" s="134">
        <v>376025</v>
      </c>
      <c r="AJ96" s="134">
        <v>899567</v>
      </c>
      <c r="AK96" s="134">
        <v>1267992</v>
      </c>
      <c r="AL96" s="134">
        <v>1644017</v>
      </c>
      <c r="AM96" s="136">
        <f t="shared" ref="AM96:AQ96" si="318">AM84+AM95</f>
        <v>312110</v>
      </c>
      <c r="AN96" s="134">
        <f t="shared" si="282"/>
        <v>298316</v>
      </c>
      <c r="AO96" s="134"/>
      <c r="AP96" s="134">
        <f t="shared" si="283"/>
        <v>283808</v>
      </c>
      <c r="AQ96" s="134">
        <f t="shared" si="318"/>
        <v>610426</v>
      </c>
      <c r="AR96" s="134">
        <f t="shared" ref="AR96:AS96" si="319">AR84+AR95</f>
        <v>914127</v>
      </c>
      <c r="AS96" s="134">
        <f t="shared" si="319"/>
        <v>1197935</v>
      </c>
      <c r="AT96" s="136">
        <f t="shared" ref="AT96:AU96" si="320">AT84+AT95</f>
        <v>231078</v>
      </c>
      <c r="AU96" s="136">
        <f t="shared" si="320"/>
        <v>235571</v>
      </c>
      <c r="AV96" s="136">
        <f>AV84+AV95</f>
        <v>280712</v>
      </c>
      <c r="AW96" s="136">
        <f t="shared" si="284"/>
        <v>299281</v>
      </c>
      <c r="AX96" s="136">
        <f t="shared" ref="AX96:BE96" si="321">AX84+AX95</f>
        <v>466649</v>
      </c>
      <c r="AY96" s="136">
        <f t="shared" si="321"/>
        <v>747361</v>
      </c>
      <c r="AZ96" s="136">
        <f t="shared" si="321"/>
        <v>1046642</v>
      </c>
      <c r="BA96" s="136">
        <f t="shared" si="321"/>
        <v>271303</v>
      </c>
      <c r="BB96" s="136">
        <f t="shared" si="321"/>
        <v>235132</v>
      </c>
      <c r="BC96" s="136">
        <f t="shared" si="321"/>
        <v>259538</v>
      </c>
      <c r="BD96" s="136">
        <f t="shared" si="321"/>
        <v>280003</v>
      </c>
      <c r="BE96" s="136">
        <f t="shared" si="321"/>
        <v>506435</v>
      </c>
      <c r="BF96" s="136">
        <f t="shared" ref="BF96:BG96" si="322">BF84+BF95</f>
        <v>765973</v>
      </c>
      <c r="BG96" s="136">
        <f t="shared" si="322"/>
        <v>1045976</v>
      </c>
      <c r="BH96" s="136">
        <f t="shared" ref="BH96:BL96" si="323">BH84+BH95</f>
        <v>262923</v>
      </c>
      <c r="BI96" s="136">
        <f t="shared" si="323"/>
        <v>277618</v>
      </c>
      <c r="BJ96" s="136">
        <f t="shared" si="323"/>
        <v>307688</v>
      </c>
      <c r="BK96" s="136">
        <f t="shared" si="323"/>
        <v>277352</v>
      </c>
      <c r="BL96" s="136">
        <f t="shared" si="323"/>
        <v>540541</v>
      </c>
      <c r="BM96" s="136">
        <f t="shared" ref="BM96:BN96" si="324">BM84+BM95</f>
        <v>848229</v>
      </c>
      <c r="BN96" s="136">
        <f t="shared" si="324"/>
        <v>1125581</v>
      </c>
      <c r="BO96" s="136">
        <f t="shared" ref="BO96:BP96" si="325">BO84+BO95</f>
        <v>203121</v>
      </c>
      <c r="BP96" s="136">
        <f t="shared" si="325"/>
        <v>519789</v>
      </c>
      <c r="BQ96" s="136">
        <f>BQ84+BQ95</f>
        <v>220454</v>
      </c>
      <c r="BR96" s="136">
        <f t="shared" ref="BR96:BS96" si="326">BR84+BR95</f>
        <v>261201</v>
      </c>
      <c r="BS96" s="136">
        <f t="shared" si="326"/>
        <v>722910</v>
      </c>
      <c r="BT96" s="136">
        <f t="shared" ref="BT96:BU96" si="327">BT84+BT95</f>
        <v>943364</v>
      </c>
      <c r="BU96" s="136">
        <f t="shared" si="327"/>
        <v>1204565</v>
      </c>
      <c r="BV96" s="136">
        <f t="shared" ref="BV96" si="328">BV84+BV95</f>
        <v>245293</v>
      </c>
      <c r="BW96" s="136">
        <f t="shared" ref="BW96:CB96" si="329">BW84+BW95</f>
        <v>239053</v>
      </c>
      <c r="BX96" s="136">
        <f t="shared" si="329"/>
        <v>345992</v>
      </c>
      <c r="BY96" s="136">
        <f t="shared" si="329"/>
        <v>289233</v>
      </c>
      <c r="BZ96" s="136">
        <f t="shared" si="329"/>
        <v>484346</v>
      </c>
      <c r="CA96" s="136">
        <f t="shared" si="329"/>
        <v>830338</v>
      </c>
      <c r="CB96" s="136">
        <f t="shared" si="329"/>
        <v>1119571</v>
      </c>
      <c r="CC96" s="136">
        <f t="shared" ref="CC96:CD96" si="330">CC84+CC95</f>
        <v>279019</v>
      </c>
      <c r="CD96" s="136">
        <f t="shared" si="330"/>
        <v>338018</v>
      </c>
      <c r="CE96" s="136">
        <f t="shared" ref="CE96:CG96" si="331">CE84+CE95</f>
        <v>439299</v>
      </c>
      <c r="CF96" s="136">
        <f t="shared" si="331"/>
        <v>343952</v>
      </c>
      <c r="CG96" s="136">
        <f t="shared" si="331"/>
        <v>617037</v>
      </c>
      <c r="CH96" s="136">
        <f t="shared" ref="CH96:CI96" si="332">CH84+CH95</f>
        <v>1056336</v>
      </c>
      <c r="CI96" s="136">
        <f t="shared" si="332"/>
        <v>1400288</v>
      </c>
      <c r="CJ96" s="136">
        <v>296891</v>
      </c>
      <c r="CK96" s="136">
        <f t="shared" ref="CK96:CO96" si="333">CK84+CK95</f>
        <v>276501</v>
      </c>
      <c r="CL96" s="136">
        <f t="shared" si="333"/>
        <v>0</v>
      </c>
      <c r="CM96" s="136">
        <f t="shared" si="333"/>
        <v>0</v>
      </c>
      <c r="CN96" s="136">
        <f t="shared" si="333"/>
        <v>573392</v>
      </c>
      <c r="CO96" s="136">
        <f t="shared" si="333"/>
        <v>0</v>
      </c>
    </row>
    <row r="97" spans="1:93" s="100" customFormat="1" ht="13" x14ac:dyDescent="0.3">
      <c r="A97" s="133" t="str">
        <f>Language!AA86</f>
        <v>Custos Operacionais</v>
      </c>
      <c r="B97" s="134">
        <f>SUM(B98,B100,B101,B102,B103,B104,B105,B106,B107)</f>
        <v>-115155</v>
      </c>
      <c r="C97" s="134">
        <f t="shared" ref="C97:K97" si="334">SUM(C98,C100,C101,C102,C103,C104,C105,C106,C107)</f>
        <v>-101716</v>
      </c>
      <c r="D97" s="134">
        <f t="shared" si="334"/>
        <v>-120394</v>
      </c>
      <c r="E97" s="135">
        <f t="shared" si="334"/>
        <v>-144648</v>
      </c>
      <c r="F97" s="134">
        <f t="shared" si="334"/>
        <v>-150707</v>
      </c>
      <c r="G97" s="134">
        <f t="shared" si="334"/>
        <v>-160450</v>
      </c>
      <c r="H97" s="134">
        <f t="shared" si="334"/>
        <v>-158282</v>
      </c>
      <c r="I97" s="135">
        <f t="shared" si="334"/>
        <v>-238617</v>
      </c>
      <c r="J97" s="134">
        <f>SUM(J98,J100,J101,J102,J103,J104,J105,J106,J107)</f>
        <v>-222946</v>
      </c>
      <c r="K97" s="134">
        <f t="shared" si="334"/>
        <v>-214947</v>
      </c>
      <c r="L97" s="134">
        <f t="shared" ref="L97:P97" si="335">SUM(L98,L100,L101,L102,L103,L104,L105,L106,L107)</f>
        <v>-278824</v>
      </c>
      <c r="M97" s="135">
        <f t="shared" si="335"/>
        <v>-284109</v>
      </c>
      <c r="N97" s="134">
        <f t="shared" si="335"/>
        <v>-245221</v>
      </c>
      <c r="O97" s="134">
        <f>SUM(O98,O99,O100,O101,O102,O103,O104,O105,O106,O107)</f>
        <v>-369041</v>
      </c>
      <c r="P97" s="134">
        <f t="shared" si="335"/>
        <v>-425582</v>
      </c>
      <c r="Q97" s="134">
        <f t="shared" ref="Q97:X97" si="336">SUM(Q98,Q99,Q100,Q101,Q102,Q103,Q104,Q105,Q106,Q107)</f>
        <v>-652814</v>
      </c>
      <c r="R97" s="136">
        <f t="shared" si="336"/>
        <v>-511147</v>
      </c>
      <c r="S97" s="134">
        <f t="shared" si="336"/>
        <v>-527583</v>
      </c>
      <c r="T97" s="134">
        <f t="shared" si="336"/>
        <v>-479693</v>
      </c>
      <c r="U97" s="134">
        <f t="shared" si="336"/>
        <v>-482821</v>
      </c>
      <c r="V97" s="134">
        <f t="shared" ref="V97" si="337">SUM(V98,V99,V100,V101,V102,V103,V104,V105,V106,V107)</f>
        <v>-1038730</v>
      </c>
      <c r="W97" s="134">
        <f t="shared" si="336"/>
        <v>-1518423</v>
      </c>
      <c r="X97" s="134">
        <f t="shared" si="336"/>
        <v>-2001244</v>
      </c>
      <c r="Y97" s="136">
        <f t="shared" ref="Y97:AB97" si="338">SUM(Y98,Y99,Y100,Y101,Y102,Y103,Y104,Y105,Y106,Y107)</f>
        <v>-337820</v>
      </c>
      <c r="Z97" s="134">
        <f t="shared" si="338"/>
        <v>-300600</v>
      </c>
      <c r="AA97" s="134">
        <f t="shared" si="338"/>
        <v>-261156</v>
      </c>
      <c r="AB97" s="134">
        <f t="shared" si="338"/>
        <v>-292174</v>
      </c>
      <c r="AC97" s="134">
        <f t="shared" ref="AC97:AD97" si="339">SUM(AC98,AC99,AC100,AC101,AC102,AC103,AC104,AC105,AC106,AC107)</f>
        <v>-638420</v>
      </c>
      <c r="AD97" s="134">
        <f t="shared" si="339"/>
        <v>-899576</v>
      </c>
      <c r="AE97" s="134">
        <f t="shared" ref="AE97" si="340">SUM(AE98,AE99,AE100,AE101,AE102,AE103,AE104,AE105,AE106,AE107)</f>
        <v>-1191750</v>
      </c>
      <c r="AF97" s="136">
        <v>-281189</v>
      </c>
      <c r="AG97" s="134">
        <v>-366397</v>
      </c>
      <c r="AH97" s="134">
        <v>-187661</v>
      </c>
      <c r="AI97" s="134">
        <v>-233374</v>
      </c>
      <c r="AJ97" s="134">
        <v>-647586</v>
      </c>
      <c r="AK97" s="134">
        <v>-835247</v>
      </c>
      <c r="AL97" s="134">
        <v>-1068621</v>
      </c>
      <c r="AM97" s="136">
        <f t="shared" ref="AM97:AQ97" si="341">SUM(AM98,AM99,AM100,AM101,AM102,AM103,AM104,AM105,AM106,AM107)</f>
        <v>-194036</v>
      </c>
      <c r="AN97" s="134">
        <f t="shared" si="282"/>
        <v>-202447</v>
      </c>
      <c r="AO97" s="134"/>
      <c r="AP97" s="134">
        <f t="shared" si="283"/>
        <v>-225473</v>
      </c>
      <c r="AQ97" s="134">
        <f t="shared" si="341"/>
        <v>-396483</v>
      </c>
      <c r="AR97" s="134">
        <f t="shared" ref="AR97:AS97" si="342">SUM(AR98,AR99,AR100,AR101,AR102,AR103,AR104,AR105,AR106,AR107)</f>
        <v>-599219</v>
      </c>
      <c r="AS97" s="134">
        <f t="shared" si="342"/>
        <v>-824692</v>
      </c>
      <c r="AT97" s="136">
        <f t="shared" ref="AT97:AU97" si="343">SUM(AT98,AT99,AT100,AT101,AT102,AT103,AT104,AT105,AT106,AT107)</f>
        <v>-200119</v>
      </c>
      <c r="AU97" s="136">
        <f t="shared" si="343"/>
        <v>-196730</v>
      </c>
      <c r="AV97" s="136">
        <f>SUM(AV98,AV99,AV100,AV101,AV102,AV103,AV104,AV105,AV106,AV107)</f>
        <v>-220134</v>
      </c>
      <c r="AW97" s="136">
        <f t="shared" si="284"/>
        <v>-247894</v>
      </c>
      <c r="AX97" s="136">
        <f t="shared" ref="AX97:BE97" si="344">SUM(AX98,AX99,AX100,AX101,AX102,AX103,AX104,AX105,AX106,AX107)</f>
        <v>-396849</v>
      </c>
      <c r="AY97" s="136">
        <f t="shared" si="344"/>
        <v>-616983</v>
      </c>
      <c r="AZ97" s="136">
        <f t="shared" si="344"/>
        <v>-864877</v>
      </c>
      <c r="BA97" s="136">
        <f t="shared" si="344"/>
        <v>-210107</v>
      </c>
      <c r="BB97" s="136">
        <f t="shared" si="344"/>
        <v>-199084</v>
      </c>
      <c r="BC97" s="136">
        <f t="shared" si="344"/>
        <v>-232450</v>
      </c>
      <c r="BD97" s="136">
        <f t="shared" si="344"/>
        <v>-245457</v>
      </c>
      <c r="BE97" s="136">
        <f t="shared" si="344"/>
        <v>-409191</v>
      </c>
      <c r="BF97" s="136">
        <f t="shared" ref="BF97:BG97" si="345">SUM(BF98,BF99,BF100,BF101,BF102,BF103,BF104,BF105,BF106,BF107)</f>
        <v>-641641</v>
      </c>
      <c r="BG97" s="136">
        <f t="shared" si="345"/>
        <v>-887098</v>
      </c>
      <c r="BH97" s="136">
        <f t="shared" ref="BH97:BL97" si="346">SUM(BH98,BH99,BH100,BH101,BH102,BH103,BH104,BH105,BH106,BH107)</f>
        <v>-237738</v>
      </c>
      <c r="BI97" s="136">
        <f t="shared" si="346"/>
        <v>-261299</v>
      </c>
      <c r="BJ97" s="136">
        <f t="shared" si="346"/>
        <v>-197754</v>
      </c>
      <c r="BK97" s="136">
        <f t="shared" si="346"/>
        <v>-237180</v>
      </c>
      <c r="BL97" s="136">
        <f t="shared" si="346"/>
        <v>-499037</v>
      </c>
      <c r="BM97" s="136">
        <f t="shared" ref="BM97:BN97" si="347">SUM(BM98,BM99,BM100,BM101,BM102,BM103,BM104,BM105,BM106,BM107)</f>
        <v>-696791</v>
      </c>
      <c r="BN97" s="136">
        <f t="shared" si="347"/>
        <v>-933971</v>
      </c>
      <c r="BO97" s="136">
        <f t="shared" ref="BO97:BP97" si="348">SUM(BO98,BO99,BO100,BO101,BO102,BO103,BO104,BO105,BO106,BO107)</f>
        <v>-163203</v>
      </c>
      <c r="BP97" s="136">
        <f t="shared" si="348"/>
        <v>-195556</v>
      </c>
      <c r="BQ97" s="136">
        <f t="shared" ref="BQ97:BS97" si="349">SUM(BQ98,BQ99,BQ100,BQ101,BQ102,BQ103,BQ104,BQ105,BQ106,BQ107)</f>
        <v>-227734</v>
      </c>
      <c r="BR97" s="136">
        <f t="shared" si="349"/>
        <v>-229610</v>
      </c>
      <c r="BS97" s="136">
        <f t="shared" si="349"/>
        <v>-358759</v>
      </c>
      <c r="BT97" s="136">
        <f t="shared" ref="BT97:BU97" si="350">SUM(BT98,BT99,BT100,BT101,BT102,BT103,BT104,BT105,BT106,BT107)</f>
        <v>-586493</v>
      </c>
      <c r="BU97" s="136">
        <f t="shared" si="350"/>
        <v>-816103</v>
      </c>
      <c r="BV97" s="136">
        <f t="shared" ref="BV97" si="351">SUM(BV98,BV99,BV100,BV101,BV102,BV103,BV104,BV105,BV106,BV107)</f>
        <v>-222469</v>
      </c>
      <c r="BW97" s="136">
        <f t="shared" ref="BW97:CB97" si="352">SUM(BW98,BW99,BW100,BW101,BW102,BW103,BW104,BW105,BW106,BW107)</f>
        <v>-213560</v>
      </c>
      <c r="BX97" s="136">
        <f t="shared" si="352"/>
        <v>-231980</v>
      </c>
      <c r="BY97" s="136">
        <f t="shared" si="352"/>
        <v>-196470</v>
      </c>
      <c r="BZ97" s="136">
        <f t="shared" si="352"/>
        <v>-436029</v>
      </c>
      <c r="CA97" s="136">
        <f t="shared" si="352"/>
        <v>-668009</v>
      </c>
      <c r="CB97" s="136">
        <f t="shared" si="352"/>
        <v>-864479</v>
      </c>
      <c r="CC97" s="136">
        <f t="shared" ref="CC97:CD97" si="353">SUM(CC98,CC99,CC100,CC101,CC102,CC103,CC104,CC105,CC106,CC107)</f>
        <v>-206880</v>
      </c>
      <c r="CD97" s="136">
        <f t="shared" si="353"/>
        <v>-247767</v>
      </c>
      <c r="CE97" s="136">
        <f t="shared" ref="CE97:CG97" si="354">SUM(CE98,CE99,CE100,CE101,CE102,CE103,CE104,CE105,CE106,CE107)</f>
        <v>-246484</v>
      </c>
      <c r="CF97" s="136">
        <f t="shared" si="354"/>
        <v>-197401</v>
      </c>
      <c r="CG97" s="136">
        <f t="shared" si="354"/>
        <v>-454647</v>
      </c>
      <c r="CH97" s="136">
        <f t="shared" ref="CH97:CI97" si="355">SUM(CH98,CH99,CH100,CH101,CH102,CH103,CH104,CH105,CH106,CH107)</f>
        <v>-701131</v>
      </c>
      <c r="CI97" s="136">
        <f t="shared" si="355"/>
        <v>-898532</v>
      </c>
      <c r="CJ97" s="136">
        <v>-189401</v>
      </c>
      <c r="CK97" s="136">
        <f t="shared" ref="CK97:CO97" si="356">SUM(CK98,CK99,CK100,CK101,CK102,CK103,CK104,CK105,CK106,CK107)</f>
        <v>-207549</v>
      </c>
      <c r="CL97" s="136">
        <f t="shared" si="356"/>
        <v>0</v>
      </c>
      <c r="CM97" s="136">
        <f t="shared" si="356"/>
        <v>0</v>
      </c>
      <c r="CN97" s="136">
        <f t="shared" si="356"/>
        <v>-396950</v>
      </c>
      <c r="CO97" s="136">
        <f t="shared" si="356"/>
        <v>0</v>
      </c>
    </row>
    <row r="98" spans="1:93" s="92" customFormat="1" x14ac:dyDescent="0.25">
      <c r="A98" s="121" t="str">
        <f>Language!AA87</f>
        <v>Operação e Manutenção das Rodovias</v>
      </c>
      <c r="B98" s="108">
        <v>-16630</v>
      </c>
      <c r="C98" s="108">
        <v>-17503</v>
      </c>
      <c r="D98" s="108">
        <v>-15568</v>
      </c>
      <c r="E98" s="106">
        <v>-9059</v>
      </c>
      <c r="F98" s="108">
        <v>-13918</v>
      </c>
      <c r="G98" s="108">
        <v>-9711</v>
      </c>
      <c r="H98" s="108">
        <v>-10487</v>
      </c>
      <c r="I98" s="106">
        <v>-10909</v>
      </c>
      <c r="J98" s="108">
        <v>-11625</v>
      </c>
      <c r="K98" s="108">
        <v>-13316</v>
      </c>
      <c r="L98" s="108">
        <v>-15788</v>
      </c>
      <c r="M98" s="106">
        <v>-16255</v>
      </c>
      <c r="N98" s="108">
        <v>-13855</v>
      </c>
      <c r="O98" s="108">
        <v>-12949</v>
      </c>
      <c r="P98" s="108">
        <v>-12037</v>
      </c>
      <c r="Q98" s="108">
        <v>-14998</v>
      </c>
      <c r="R98" s="107">
        <v>-9299</v>
      </c>
      <c r="S98" s="108">
        <v>-14876</v>
      </c>
      <c r="T98" s="108">
        <f t="shared" ref="T98:T107" si="357">W98-S98-R98</f>
        <v>-36763</v>
      </c>
      <c r="U98" s="108">
        <f t="shared" ref="U98:U107" si="358">X98-W98</f>
        <v>-36260</v>
      </c>
      <c r="V98" s="108">
        <f t="shared" ref="V98:V107" si="359">R98+S98</f>
        <v>-24175</v>
      </c>
      <c r="W98" s="108">
        <v>-60938</v>
      </c>
      <c r="X98" s="108">
        <v>-97198</v>
      </c>
      <c r="Y98" s="107">
        <v>-43126</v>
      </c>
      <c r="Z98" s="108">
        <f t="shared" ref="Z98:Z107" si="360">AC98-Y98</f>
        <v>-36147</v>
      </c>
      <c r="AA98" s="108">
        <f t="shared" ref="AA98:AA107" si="361">AD98-Z98-Y98</f>
        <v>-35440</v>
      </c>
      <c r="AB98" s="108">
        <f t="shared" ref="AB98:AB107" si="362">AE98-AD98</f>
        <v>-32883</v>
      </c>
      <c r="AC98" s="108">
        <v>-79273</v>
      </c>
      <c r="AD98" s="108">
        <v>-114713</v>
      </c>
      <c r="AE98" s="108">
        <v>-147596</v>
      </c>
      <c r="AF98" s="107">
        <v>-49789</v>
      </c>
      <c r="AG98" s="108">
        <v>-56532</v>
      </c>
      <c r="AH98" s="108">
        <v>-46250</v>
      </c>
      <c r="AI98" s="108">
        <v>-60908</v>
      </c>
      <c r="AJ98" s="108">
        <v>-106321</v>
      </c>
      <c r="AK98" s="108">
        <v>-152571</v>
      </c>
      <c r="AL98" s="108">
        <v>-213479</v>
      </c>
      <c r="AM98" s="107">
        <v>-49102</v>
      </c>
      <c r="AN98" s="108">
        <f t="shared" si="282"/>
        <v>-47791</v>
      </c>
      <c r="AO98" s="108"/>
      <c r="AP98" s="108">
        <f t="shared" si="283"/>
        <v>-50551</v>
      </c>
      <c r="AQ98" s="108">
        <v>-96893</v>
      </c>
      <c r="AR98" s="108">
        <v>-133542</v>
      </c>
      <c r="AS98" s="108">
        <v>-184093</v>
      </c>
      <c r="AT98" s="107">
        <v>-45974</v>
      </c>
      <c r="AU98" s="107">
        <f t="shared" ref="AU98:AU111" si="363">AX98-AT98</f>
        <v>-47092</v>
      </c>
      <c r="AV98" s="107">
        <f>AY98-AX98</f>
        <v>-50099</v>
      </c>
      <c r="AW98" s="107">
        <f t="shared" si="284"/>
        <v>-45997</v>
      </c>
      <c r="AX98" s="107">
        <v>-93066</v>
      </c>
      <c r="AY98" s="107">
        <v>-143165</v>
      </c>
      <c r="AZ98" s="107">
        <v>-189162</v>
      </c>
      <c r="BA98" s="107">
        <v>-47198</v>
      </c>
      <c r="BB98" s="107">
        <f t="shared" ref="BB98:BB111" si="364">BE98-BA98</f>
        <v>-54272</v>
      </c>
      <c r="BC98" s="107">
        <f t="shared" ref="BC98:BC111" si="365">BF98-BE98</f>
        <v>-55288</v>
      </c>
      <c r="BD98" s="107">
        <f>BG98-BF98</f>
        <v>-45809</v>
      </c>
      <c r="BE98" s="107">
        <v>-101470</v>
      </c>
      <c r="BF98" s="107">
        <v>-156758</v>
      </c>
      <c r="BG98" s="107">
        <v>-202567</v>
      </c>
      <c r="BH98" s="107">
        <v>-55343</v>
      </c>
      <c r="BI98" s="107">
        <f>BL98-BH98</f>
        <v>-69590</v>
      </c>
      <c r="BJ98" s="107">
        <f>BM98-BL98</f>
        <v>-25644</v>
      </c>
      <c r="BK98" s="107">
        <f>BN98-BM98</f>
        <v>-55784</v>
      </c>
      <c r="BL98" s="107">
        <v>-124933</v>
      </c>
      <c r="BM98" s="107">
        <v>-150577</v>
      </c>
      <c r="BN98" s="107">
        <v>-206361</v>
      </c>
      <c r="BO98" s="107">
        <v>-53696</v>
      </c>
      <c r="BP98" s="107">
        <f>BS98-BO98</f>
        <v>-82514</v>
      </c>
      <c r="BQ98" s="107">
        <f>BT98-BS98</f>
        <v>-95494</v>
      </c>
      <c r="BR98" s="107">
        <f>BU98-BT98</f>
        <v>-122470</v>
      </c>
      <c r="BS98" s="107">
        <v>-136210</v>
      </c>
      <c r="BT98" s="107">
        <v>-231704</v>
      </c>
      <c r="BU98" s="107">
        <v>-354174</v>
      </c>
      <c r="BV98" s="107">
        <v>-99206</v>
      </c>
      <c r="BW98" s="111">
        <f t="shared" ref="BW98:BW111" si="366">BZ98-BV98</f>
        <v>-80271</v>
      </c>
      <c r="BX98" s="107">
        <f>CA98-BZ98</f>
        <v>-16706</v>
      </c>
      <c r="BY98" s="107">
        <f>CB98-CA98</f>
        <v>-54650</v>
      </c>
      <c r="BZ98" s="107">
        <v>-179477</v>
      </c>
      <c r="CA98" s="107">
        <v>-196183</v>
      </c>
      <c r="CB98" s="107">
        <v>-250833</v>
      </c>
      <c r="CC98" s="107">
        <v>-101439</v>
      </c>
      <c r="CD98" s="107">
        <f>CG98-CC98</f>
        <v>-79304</v>
      </c>
      <c r="CE98" s="107">
        <f>CH98-CG98</f>
        <v>-106347</v>
      </c>
      <c r="CF98" s="107">
        <f>CI98-CH98</f>
        <v>-79580</v>
      </c>
      <c r="CG98" s="107">
        <v>-180743</v>
      </c>
      <c r="CH98" s="107">
        <v>-287090</v>
      </c>
      <c r="CI98" s="107">
        <v>-366670</v>
      </c>
      <c r="CJ98" s="107">
        <v>-79638</v>
      </c>
      <c r="CK98" s="107">
        <f>CN98-CJ98</f>
        <v>-71873</v>
      </c>
      <c r="CL98" s="107"/>
      <c r="CM98" s="107"/>
      <c r="CN98" s="107">
        <v>-151511</v>
      </c>
      <c r="CO98" s="107"/>
    </row>
    <row r="99" spans="1:93" s="92" customFormat="1" x14ac:dyDescent="0.25">
      <c r="A99" s="121" t="s">
        <v>605</v>
      </c>
      <c r="B99" s="108"/>
      <c r="C99" s="108"/>
      <c r="D99" s="108"/>
      <c r="E99" s="106"/>
      <c r="F99" s="108"/>
      <c r="G99" s="108"/>
      <c r="H99" s="108"/>
      <c r="I99" s="106"/>
      <c r="J99" s="108"/>
      <c r="K99" s="108"/>
      <c r="L99" s="108"/>
      <c r="M99" s="106"/>
      <c r="N99" s="108"/>
      <c r="O99" s="108">
        <v>3388</v>
      </c>
      <c r="P99" s="108"/>
      <c r="Q99" s="108">
        <v>7010</v>
      </c>
      <c r="R99" s="107">
        <v>0</v>
      </c>
      <c r="S99" s="108">
        <v>0</v>
      </c>
      <c r="T99" s="108">
        <f t="shared" si="357"/>
        <v>0</v>
      </c>
      <c r="U99" s="108">
        <f t="shared" si="358"/>
        <v>-21894</v>
      </c>
      <c r="V99" s="108">
        <f t="shared" si="359"/>
        <v>0</v>
      </c>
      <c r="W99" s="108">
        <v>0</v>
      </c>
      <c r="X99" s="108">
        <v>-21894</v>
      </c>
      <c r="Y99" s="107">
        <v>-12828</v>
      </c>
      <c r="Z99" s="108">
        <f t="shared" si="360"/>
        <v>-12893</v>
      </c>
      <c r="AA99" s="108">
        <f t="shared" si="361"/>
        <v>-10267</v>
      </c>
      <c r="AB99" s="108">
        <f t="shared" si="362"/>
        <v>-6406</v>
      </c>
      <c r="AC99" s="108">
        <v>-25721</v>
      </c>
      <c r="AD99" s="108">
        <v>-35988</v>
      </c>
      <c r="AE99" s="108">
        <v>-42394</v>
      </c>
      <c r="AF99" s="107">
        <v>-10778</v>
      </c>
      <c r="AG99" s="108">
        <v>-10862</v>
      </c>
      <c r="AH99" s="108">
        <v>-10905</v>
      </c>
      <c r="AI99" s="108">
        <v>-20668</v>
      </c>
      <c r="AJ99" s="108">
        <v>-21640</v>
      </c>
      <c r="AK99" s="108">
        <v>-32545</v>
      </c>
      <c r="AL99" s="108">
        <v>-53213</v>
      </c>
      <c r="AM99" s="107">
        <v>-12050</v>
      </c>
      <c r="AN99" s="108">
        <f t="shared" si="282"/>
        <v>-10486</v>
      </c>
      <c r="AO99" s="108"/>
      <c r="AP99" s="108">
        <f t="shared" si="283"/>
        <v>-3063</v>
      </c>
      <c r="AQ99" s="108">
        <v>-22536</v>
      </c>
      <c r="AR99" s="108">
        <v>-33935</v>
      </c>
      <c r="AS99" s="108">
        <v>-36998</v>
      </c>
      <c r="AT99" s="107">
        <v>-11193</v>
      </c>
      <c r="AU99" s="107">
        <f t="shared" si="363"/>
        <v>-11225</v>
      </c>
      <c r="AV99" s="107">
        <f t="shared" ref="AV99:AV107" si="367">AY99-AX99</f>
        <v>-11150</v>
      </c>
      <c r="AW99" s="107">
        <f t="shared" si="284"/>
        <v>-11455</v>
      </c>
      <c r="AX99" s="107">
        <v>-22418</v>
      </c>
      <c r="AY99" s="107">
        <v>-33568</v>
      </c>
      <c r="AZ99" s="107">
        <v>-45023</v>
      </c>
      <c r="BA99" s="107">
        <v>-3705</v>
      </c>
      <c r="BB99" s="107">
        <f t="shared" si="364"/>
        <v>-3729</v>
      </c>
      <c r="BC99" s="107">
        <f t="shared" si="365"/>
        <v>-3798</v>
      </c>
      <c r="BD99" s="107">
        <f t="shared" ref="BD99:BD107" si="368">BG99-BF99</f>
        <v>-3484</v>
      </c>
      <c r="BE99" s="107">
        <v>-7434</v>
      </c>
      <c r="BF99" s="107">
        <v>-11232</v>
      </c>
      <c r="BG99" s="107">
        <v>-14716</v>
      </c>
      <c r="BH99" s="107">
        <v>8637</v>
      </c>
      <c r="BI99" s="107">
        <f t="shared" ref="BI99:BI107" si="369">BL99-BH99</f>
        <v>9731</v>
      </c>
      <c r="BJ99" s="107">
        <f t="shared" ref="BJ99:BJ107" si="370">BM99-BL99</f>
        <v>-27428</v>
      </c>
      <c r="BK99" s="107">
        <f t="shared" ref="BK99:BK107" si="371">BN99-BM99</f>
        <v>-3122</v>
      </c>
      <c r="BL99" s="107">
        <v>18368</v>
      </c>
      <c r="BM99" s="107">
        <v>-9060</v>
      </c>
      <c r="BN99" s="107">
        <v>-12182</v>
      </c>
      <c r="BO99" s="107">
        <v>-210</v>
      </c>
      <c r="BP99" s="107">
        <f t="shared" ref="BP99:BP107" si="372">BS99-BO99</f>
        <v>-210</v>
      </c>
      <c r="BQ99" s="107">
        <f t="shared" ref="BQ99:BQ107" si="373">BT99-BS99</f>
        <v>-210</v>
      </c>
      <c r="BR99" s="107">
        <f t="shared" ref="BR99:BR111" si="374">BU99-BT99</f>
        <v>-210</v>
      </c>
      <c r="BS99" s="107">
        <v>-420</v>
      </c>
      <c r="BT99" s="107">
        <v>-630</v>
      </c>
      <c r="BU99" s="107">
        <v>-840</v>
      </c>
      <c r="BV99" s="107">
        <v>-170</v>
      </c>
      <c r="BW99" s="111">
        <f t="shared" si="366"/>
        <v>-169</v>
      </c>
      <c r="BX99" s="107">
        <f t="shared" ref="BX99:BX107" si="375">CA99-BZ99</f>
        <v>-170</v>
      </c>
      <c r="BY99" s="107">
        <f t="shared" ref="BY99:BY107" si="376">CB99-CA99</f>
        <v>-169</v>
      </c>
      <c r="BZ99" s="107">
        <v>-339</v>
      </c>
      <c r="CA99" s="107">
        <v>-509</v>
      </c>
      <c r="CB99" s="107">
        <v>-678</v>
      </c>
      <c r="CC99" s="107">
        <v>-89</v>
      </c>
      <c r="CD99" s="107">
        <f t="shared" ref="CD99:CD107" si="377">CG99-CC99</f>
        <v>2211</v>
      </c>
      <c r="CE99" s="107">
        <f t="shared" ref="CE99:CE107" si="378">CH99-CG99</f>
        <v>-114</v>
      </c>
      <c r="CF99" s="107">
        <f t="shared" ref="CF99:CF107" si="379">CI99-CH99</f>
        <v>-258</v>
      </c>
      <c r="CG99" s="107">
        <v>2122</v>
      </c>
      <c r="CH99" s="107">
        <v>2008</v>
      </c>
      <c r="CI99" s="107">
        <v>1750</v>
      </c>
      <c r="CJ99" s="107">
        <v>-24</v>
      </c>
      <c r="CK99" s="107">
        <f>CN99-CJ99</f>
        <v>-25</v>
      </c>
      <c r="CL99" s="107"/>
      <c r="CM99" s="107"/>
      <c r="CN99" s="107">
        <v>-49</v>
      </c>
      <c r="CO99" s="107"/>
    </row>
    <row r="100" spans="1:93" s="92" customFormat="1" x14ac:dyDescent="0.25">
      <c r="A100" s="121" t="str">
        <f>Language!AA88</f>
        <v>Custo de Construção</v>
      </c>
      <c r="B100" s="108">
        <v>-28536</v>
      </c>
      <c r="C100" s="108">
        <v>-5469</v>
      </c>
      <c r="D100" s="108">
        <v>-23849</v>
      </c>
      <c r="E100" s="106">
        <v>-36801</v>
      </c>
      <c r="F100" s="108">
        <v>-28720</v>
      </c>
      <c r="G100" s="108">
        <v>-34265</v>
      </c>
      <c r="H100" s="108">
        <v>-32810</v>
      </c>
      <c r="I100" s="106">
        <v>-103438</v>
      </c>
      <c r="J100" s="108">
        <v>-71474</v>
      </c>
      <c r="K100" s="108">
        <v>-97036</v>
      </c>
      <c r="L100" s="108">
        <v>-153776</v>
      </c>
      <c r="M100" s="106">
        <v>-152427</v>
      </c>
      <c r="N100" s="108">
        <v>-118785</v>
      </c>
      <c r="O100" s="108">
        <v>-242142</v>
      </c>
      <c r="P100" s="108">
        <v>-280581</v>
      </c>
      <c r="Q100" s="108">
        <v>-483947</v>
      </c>
      <c r="R100" s="107">
        <v>-327845</v>
      </c>
      <c r="S100" s="108">
        <v>-344109</v>
      </c>
      <c r="T100" s="108">
        <f t="shared" si="357"/>
        <v>-252586</v>
      </c>
      <c r="U100" s="108">
        <f t="shared" si="358"/>
        <v>-275537</v>
      </c>
      <c r="V100" s="108">
        <f t="shared" si="359"/>
        <v>-671954</v>
      </c>
      <c r="W100" s="108">
        <v>-924540</v>
      </c>
      <c r="X100" s="108">
        <v>-1200077</v>
      </c>
      <c r="Y100" s="107">
        <v>-125216</v>
      </c>
      <c r="Z100" s="108">
        <f t="shared" si="360"/>
        <v>-97094</v>
      </c>
      <c r="AA100" s="108">
        <f t="shared" si="361"/>
        <v>-57354</v>
      </c>
      <c r="AB100" s="108">
        <f t="shared" si="362"/>
        <v>-86950</v>
      </c>
      <c r="AC100" s="108">
        <v>-222310</v>
      </c>
      <c r="AD100" s="108">
        <v>-279664</v>
      </c>
      <c r="AE100" s="108">
        <v>-366614</v>
      </c>
      <c r="AF100" s="107">
        <v>-34946</v>
      </c>
      <c r="AG100" s="108">
        <v>-88117</v>
      </c>
      <c r="AH100" s="108">
        <v>-68548</v>
      </c>
      <c r="AI100" s="108">
        <v>-55528</v>
      </c>
      <c r="AJ100" s="108">
        <v>-123063</v>
      </c>
      <c r="AK100" s="108">
        <v>-191611</v>
      </c>
      <c r="AL100" s="108">
        <v>-247139</v>
      </c>
      <c r="AM100" s="107">
        <v>-32271</v>
      </c>
      <c r="AN100" s="108">
        <f t="shared" si="282"/>
        <v>-41368</v>
      </c>
      <c r="AO100" s="108"/>
      <c r="AP100" s="108">
        <f t="shared" si="283"/>
        <v>-48675</v>
      </c>
      <c r="AQ100" s="108">
        <v>-73639</v>
      </c>
      <c r="AR100" s="108">
        <v>-124321</v>
      </c>
      <c r="AS100" s="108">
        <v>-172996</v>
      </c>
      <c r="AT100" s="107">
        <v>-22816</v>
      </c>
      <c r="AU100" s="107">
        <f t="shared" si="363"/>
        <v>-14184</v>
      </c>
      <c r="AV100" s="107">
        <f t="shared" si="367"/>
        <v>-27237</v>
      </c>
      <c r="AW100" s="107">
        <f t="shared" si="284"/>
        <v>-30468</v>
      </c>
      <c r="AX100" s="107">
        <v>-37000</v>
      </c>
      <c r="AY100" s="107">
        <v>-64237</v>
      </c>
      <c r="AZ100" s="107">
        <v>-94705</v>
      </c>
      <c r="BA100" s="107">
        <v>-25852</v>
      </c>
      <c r="BB100" s="107">
        <f t="shared" si="364"/>
        <v>-23408</v>
      </c>
      <c r="BC100" s="107">
        <f t="shared" si="365"/>
        <v>-27016</v>
      </c>
      <c r="BD100" s="107">
        <f t="shared" si="368"/>
        <v>-34626</v>
      </c>
      <c r="BE100" s="107">
        <v>-49260</v>
      </c>
      <c r="BF100" s="107">
        <v>-76276</v>
      </c>
      <c r="BG100" s="107">
        <v>-110902</v>
      </c>
      <c r="BH100" s="107">
        <v>-33216</v>
      </c>
      <c r="BI100" s="107">
        <f t="shared" si="369"/>
        <v>-37161</v>
      </c>
      <c r="BJ100" s="107">
        <f t="shared" si="370"/>
        <v>-46434</v>
      </c>
      <c r="BK100" s="107">
        <f t="shared" si="371"/>
        <v>-41547</v>
      </c>
      <c r="BL100" s="107">
        <v>-70377</v>
      </c>
      <c r="BM100" s="107">
        <v>-116811</v>
      </c>
      <c r="BN100" s="107">
        <v>-158358</v>
      </c>
      <c r="BO100" s="107">
        <v>-22075</v>
      </c>
      <c r="BP100" s="107">
        <f t="shared" si="372"/>
        <v>-27196</v>
      </c>
      <c r="BQ100" s="107">
        <f t="shared" si="373"/>
        <v>-37942</v>
      </c>
      <c r="BR100" s="107">
        <f t="shared" si="374"/>
        <v>-28048</v>
      </c>
      <c r="BS100" s="107">
        <v>-49271</v>
      </c>
      <c r="BT100" s="107">
        <v>-87213</v>
      </c>
      <c r="BU100" s="107">
        <v>-115261</v>
      </c>
      <c r="BV100" s="107">
        <v>-35075</v>
      </c>
      <c r="BW100" s="111">
        <f t="shared" si="366"/>
        <v>-44246</v>
      </c>
      <c r="BX100" s="107">
        <f t="shared" si="375"/>
        <v>-120645</v>
      </c>
      <c r="BY100" s="107">
        <f t="shared" si="376"/>
        <v>-41877</v>
      </c>
      <c r="BZ100" s="107">
        <v>-79321</v>
      </c>
      <c r="CA100" s="107">
        <v>-199966</v>
      </c>
      <c r="CB100" s="107">
        <v>-241843</v>
      </c>
      <c r="CC100" s="107">
        <v>-16820</v>
      </c>
      <c r="CD100" s="107">
        <f t="shared" si="377"/>
        <v>-71451</v>
      </c>
      <c r="CE100" s="107">
        <f t="shared" si="378"/>
        <v>-41100</v>
      </c>
      <c r="CF100" s="107">
        <f t="shared" si="379"/>
        <v>-21843</v>
      </c>
      <c r="CG100" s="107">
        <v>-88271</v>
      </c>
      <c r="CH100" s="107">
        <v>-129371</v>
      </c>
      <c r="CI100" s="107">
        <v>-151214</v>
      </c>
      <c r="CJ100" s="107">
        <v>-16223</v>
      </c>
      <c r="CK100" s="107">
        <f t="shared" ref="CK100:CK107" si="380">CN100-CJ100</f>
        <v>-9872</v>
      </c>
      <c r="CL100" s="107"/>
      <c r="CM100" s="107"/>
      <c r="CN100" s="107">
        <v>-26095</v>
      </c>
      <c r="CO100" s="107"/>
    </row>
    <row r="101" spans="1:93" s="92" customFormat="1" x14ac:dyDescent="0.25">
      <c r="A101" s="121" t="str">
        <f>Language!AA89</f>
        <v>Operação Portuária</v>
      </c>
      <c r="B101" s="108">
        <v>-11741</v>
      </c>
      <c r="C101" s="108">
        <v>-16418</v>
      </c>
      <c r="D101" s="108">
        <v>-20128</v>
      </c>
      <c r="E101" s="106">
        <v>-21696</v>
      </c>
      <c r="F101" s="108">
        <v>-17895</v>
      </c>
      <c r="G101" s="108">
        <v>-14263</v>
      </c>
      <c r="H101" s="108">
        <v>-19995</v>
      </c>
      <c r="I101" s="106">
        <v>-14250</v>
      </c>
      <c r="J101" s="108">
        <v>-19403</v>
      </c>
      <c r="K101" s="108">
        <v>-18281</v>
      </c>
      <c r="L101" s="108">
        <v>-12800</v>
      </c>
      <c r="M101" s="106">
        <v>-15691</v>
      </c>
      <c r="N101" s="108">
        <v>-8288</v>
      </c>
      <c r="O101" s="108">
        <v>-8642</v>
      </c>
      <c r="P101" s="108">
        <v>-6299</v>
      </c>
      <c r="Q101" s="108">
        <v>-5419</v>
      </c>
      <c r="R101" s="107">
        <v>-5714</v>
      </c>
      <c r="S101" s="108">
        <v>-6483</v>
      </c>
      <c r="T101" s="108">
        <f t="shared" si="357"/>
        <v>-6035</v>
      </c>
      <c r="U101" s="108">
        <f t="shared" si="358"/>
        <v>-6985</v>
      </c>
      <c r="V101" s="108">
        <f t="shared" si="359"/>
        <v>-12197</v>
      </c>
      <c r="W101" s="108">
        <v>-18232</v>
      </c>
      <c r="X101" s="108">
        <v>-25217</v>
      </c>
      <c r="Y101" s="107">
        <v>-7132</v>
      </c>
      <c r="Z101" s="108">
        <f t="shared" si="360"/>
        <v>-6576</v>
      </c>
      <c r="AA101" s="108">
        <f t="shared" si="361"/>
        <v>-5013</v>
      </c>
      <c r="AB101" s="108">
        <f t="shared" si="362"/>
        <v>-5858</v>
      </c>
      <c r="AC101" s="108">
        <v>-13708</v>
      </c>
      <c r="AD101" s="108">
        <v>-18721</v>
      </c>
      <c r="AE101" s="108">
        <v>-24579</v>
      </c>
      <c r="AF101" s="107">
        <v>-6238</v>
      </c>
      <c r="AG101" s="108">
        <v>-6632</v>
      </c>
      <c r="AH101" s="108">
        <v>-6847</v>
      </c>
      <c r="AI101" s="108">
        <v>-1042</v>
      </c>
      <c r="AJ101" s="108">
        <v>-12870</v>
      </c>
      <c r="AK101" s="108">
        <v>-19717</v>
      </c>
      <c r="AL101" s="108">
        <v>-20759</v>
      </c>
      <c r="AM101" s="107">
        <v>0</v>
      </c>
      <c r="AN101" s="108">
        <f t="shared" si="282"/>
        <v>0</v>
      </c>
      <c r="AO101" s="108"/>
      <c r="AP101" s="108">
        <f t="shared" si="283"/>
        <v>0</v>
      </c>
      <c r="AQ101" s="108">
        <v>0</v>
      </c>
      <c r="AR101" s="108"/>
      <c r="AS101" s="108"/>
      <c r="AT101" s="107"/>
      <c r="AU101" s="107">
        <f t="shared" si="363"/>
        <v>0</v>
      </c>
      <c r="AV101" s="107">
        <f t="shared" si="367"/>
        <v>0</v>
      </c>
      <c r="AW101" s="107">
        <f t="shared" si="284"/>
        <v>0</v>
      </c>
      <c r="AX101" s="107"/>
      <c r="AY101" s="107"/>
      <c r="AZ101" s="107">
        <v>0</v>
      </c>
      <c r="BA101" s="107">
        <v>0</v>
      </c>
      <c r="BB101" s="107">
        <f t="shared" si="364"/>
        <v>0</v>
      </c>
      <c r="BC101" s="107">
        <f t="shared" si="365"/>
        <v>0</v>
      </c>
      <c r="BD101" s="107">
        <f t="shared" si="368"/>
        <v>0</v>
      </c>
      <c r="BE101" s="107">
        <v>0</v>
      </c>
      <c r="BF101" s="107">
        <v>0</v>
      </c>
      <c r="BG101" s="107">
        <v>0</v>
      </c>
      <c r="BH101" s="107">
        <v>0</v>
      </c>
      <c r="BI101" s="107">
        <f t="shared" si="369"/>
        <v>0</v>
      </c>
      <c r="BJ101" s="107">
        <f t="shared" si="370"/>
        <v>0</v>
      </c>
      <c r="BK101" s="107">
        <f t="shared" si="371"/>
        <v>0</v>
      </c>
      <c r="BL101" s="107">
        <v>0</v>
      </c>
      <c r="BM101" s="107">
        <v>0</v>
      </c>
      <c r="BN101" s="107">
        <v>0</v>
      </c>
      <c r="BO101" s="107">
        <v>0</v>
      </c>
      <c r="BP101" s="107">
        <f t="shared" si="372"/>
        <v>0</v>
      </c>
      <c r="BQ101" s="107">
        <f t="shared" si="373"/>
        <v>0</v>
      </c>
      <c r="BR101" s="107">
        <f t="shared" si="374"/>
        <v>0</v>
      </c>
      <c r="BS101" s="107">
        <v>0</v>
      </c>
      <c r="BT101" s="107">
        <v>0</v>
      </c>
      <c r="BU101" s="107">
        <v>0</v>
      </c>
      <c r="BV101" s="107">
        <v>0</v>
      </c>
      <c r="BW101" s="111">
        <f t="shared" si="366"/>
        <v>0</v>
      </c>
      <c r="BX101" s="107">
        <f t="shared" si="375"/>
        <v>0</v>
      </c>
      <c r="BY101" s="107">
        <f t="shared" si="376"/>
        <v>0</v>
      </c>
      <c r="BZ101" s="107">
        <v>0</v>
      </c>
      <c r="CA101" s="107">
        <v>0</v>
      </c>
      <c r="CB101" s="107">
        <v>0</v>
      </c>
      <c r="CC101" s="107">
        <v>0</v>
      </c>
      <c r="CD101" s="107">
        <f t="shared" si="377"/>
        <v>0</v>
      </c>
      <c r="CE101" s="107">
        <f t="shared" si="378"/>
        <v>0</v>
      </c>
      <c r="CF101" s="107">
        <f t="shared" si="379"/>
        <v>0</v>
      </c>
      <c r="CG101" s="107">
        <v>0</v>
      </c>
      <c r="CH101" s="107">
        <v>0</v>
      </c>
      <c r="CI101" s="107">
        <v>0</v>
      </c>
      <c r="CJ101" s="107">
        <v>0</v>
      </c>
      <c r="CK101" s="107">
        <f t="shared" si="380"/>
        <v>0</v>
      </c>
      <c r="CL101" s="107"/>
      <c r="CM101" s="107"/>
      <c r="CN101" s="107">
        <v>0</v>
      </c>
      <c r="CO101" s="107"/>
    </row>
    <row r="102" spans="1:93" s="92" customFormat="1" x14ac:dyDescent="0.25">
      <c r="A102" s="121" t="str">
        <f>Language!AA90</f>
        <v>Operação de Cabotagem</v>
      </c>
      <c r="B102" s="108">
        <v>0</v>
      </c>
      <c r="C102" s="108">
        <v>-1262</v>
      </c>
      <c r="D102" s="108">
        <v>-3335</v>
      </c>
      <c r="E102" s="106">
        <v>-13314</v>
      </c>
      <c r="F102" s="108">
        <v>-18045</v>
      </c>
      <c r="G102" s="108">
        <v>-23602</v>
      </c>
      <c r="H102" s="108">
        <v>-22823</v>
      </c>
      <c r="I102" s="106">
        <v>-22254</v>
      </c>
      <c r="J102" s="108">
        <v>-23068</v>
      </c>
      <c r="K102" s="108">
        <v>0</v>
      </c>
      <c r="L102" s="108">
        <v>0</v>
      </c>
      <c r="M102" s="106">
        <v>0</v>
      </c>
      <c r="N102" s="108">
        <v>0</v>
      </c>
      <c r="O102" s="108">
        <v>0</v>
      </c>
      <c r="P102" s="108">
        <v>0</v>
      </c>
      <c r="Q102" s="108">
        <v>0</v>
      </c>
      <c r="R102" s="107">
        <v>0</v>
      </c>
      <c r="S102" s="108">
        <v>0</v>
      </c>
      <c r="T102" s="108">
        <f t="shared" si="357"/>
        <v>0</v>
      </c>
      <c r="U102" s="108">
        <f t="shared" si="358"/>
        <v>0</v>
      </c>
      <c r="V102" s="108">
        <f t="shared" si="359"/>
        <v>0</v>
      </c>
      <c r="W102" s="92">
        <v>0</v>
      </c>
      <c r="X102" s="108">
        <v>0</v>
      </c>
      <c r="Y102" s="107">
        <v>0</v>
      </c>
      <c r="Z102" s="108">
        <f t="shared" si="360"/>
        <v>0</v>
      </c>
      <c r="AA102" s="108">
        <f t="shared" si="361"/>
        <v>0</v>
      </c>
      <c r="AB102" s="108">
        <f t="shared" si="362"/>
        <v>0</v>
      </c>
      <c r="AC102" s="108">
        <v>0</v>
      </c>
      <c r="AD102" s="108">
        <v>0</v>
      </c>
      <c r="AE102" s="108">
        <v>0</v>
      </c>
      <c r="AF102" s="107">
        <v>0</v>
      </c>
      <c r="AG102" s="108">
        <v>0</v>
      </c>
      <c r="AH102" s="108">
        <v>0</v>
      </c>
      <c r="AI102" s="108">
        <v>0</v>
      </c>
      <c r="AJ102" s="108">
        <v>0</v>
      </c>
      <c r="AK102" s="108">
        <v>0</v>
      </c>
      <c r="AL102" s="108">
        <v>0</v>
      </c>
      <c r="AM102" s="107">
        <v>0</v>
      </c>
      <c r="AN102" s="108">
        <f t="shared" si="282"/>
        <v>0</v>
      </c>
      <c r="AO102" s="108"/>
      <c r="AP102" s="108">
        <f t="shared" si="283"/>
        <v>0</v>
      </c>
      <c r="AQ102" s="108">
        <v>0</v>
      </c>
      <c r="AR102" s="108"/>
      <c r="AS102" s="108"/>
      <c r="AT102" s="107"/>
      <c r="AU102" s="107">
        <f t="shared" si="363"/>
        <v>0</v>
      </c>
      <c r="AV102" s="107">
        <f t="shared" si="367"/>
        <v>0</v>
      </c>
      <c r="AW102" s="107">
        <f t="shared" si="284"/>
        <v>0</v>
      </c>
      <c r="AX102" s="107"/>
      <c r="AY102" s="107"/>
      <c r="AZ102" s="107">
        <v>0</v>
      </c>
      <c r="BA102" s="107">
        <v>0</v>
      </c>
      <c r="BB102" s="107">
        <f t="shared" si="364"/>
        <v>0</v>
      </c>
      <c r="BC102" s="107">
        <f t="shared" si="365"/>
        <v>0</v>
      </c>
      <c r="BD102" s="107">
        <f t="shared" si="368"/>
        <v>0</v>
      </c>
      <c r="BE102" s="107">
        <v>0</v>
      </c>
      <c r="BF102" s="107">
        <v>0</v>
      </c>
      <c r="BG102" s="107">
        <v>0</v>
      </c>
      <c r="BH102" s="107">
        <v>0</v>
      </c>
      <c r="BI102" s="107">
        <f t="shared" si="369"/>
        <v>0</v>
      </c>
      <c r="BJ102" s="107">
        <f t="shared" si="370"/>
        <v>0</v>
      </c>
      <c r="BK102" s="107">
        <f t="shared" si="371"/>
        <v>0</v>
      </c>
      <c r="BL102" s="107">
        <v>0</v>
      </c>
      <c r="BM102" s="107">
        <v>0</v>
      </c>
      <c r="BN102" s="107">
        <v>0</v>
      </c>
      <c r="BO102" s="107">
        <v>0</v>
      </c>
      <c r="BP102" s="107">
        <f t="shared" si="372"/>
        <v>0</v>
      </c>
      <c r="BQ102" s="107">
        <f t="shared" si="373"/>
        <v>0</v>
      </c>
      <c r="BR102" s="107">
        <f t="shared" si="374"/>
        <v>0</v>
      </c>
      <c r="BS102" s="107">
        <v>0</v>
      </c>
      <c r="BT102" s="107">
        <v>0</v>
      </c>
      <c r="BU102" s="107">
        <v>0</v>
      </c>
      <c r="BV102" s="107">
        <v>0</v>
      </c>
      <c r="BW102" s="111">
        <f t="shared" si="366"/>
        <v>0</v>
      </c>
      <c r="BX102" s="107">
        <f t="shared" si="375"/>
        <v>0</v>
      </c>
      <c r="BY102" s="107">
        <f t="shared" si="376"/>
        <v>0</v>
      </c>
      <c r="BZ102" s="107">
        <v>0</v>
      </c>
      <c r="CA102" s="107">
        <v>0</v>
      </c>
      <c r="CB102" s="107">
        <v>0</v>
      </c>
      <c r="CC102" s="107">
        <v>0</v>
      </c>
      <c r="CD102" s="107">
        <f t="shared" si="377"/>
        <v>0</v>
      </c>
      <c r="CE102" s="107">
        <f t="shared" si="378"/>
        <v>0</v>
      </c>
      <c r="CF102" s="107">
        <f t="shared" si="379"/>
        <v>0</v>
      </c>
      <c r="CG102" s="107">
        <v>0</v>
      </c>
      <c r="CH102" s="107">
        <v>0</v>
      </c>
      <c r="CI102" s="107">
        <v>0</v>
      </c>
      <c r="CJ102" s="107">
        <v>0</v>
      </c>
      <c r="CK102" s="107">
        <f t="shared" si="380"/>
        <v>0</v>
      </c>
      <c r="CL102" s="107"/>
      <c r="CM102" s="107"/>
      <c r="CN102" s="107">
        <v>0</v>
      </c>
      <c r="CO102" s="107"/>
    </row>
    <row r="103" spans="1:93" s="92" customFormat="1" x14ac:dyDescent="0.25">
      <c r="A103" s="121" t="str">
        <f>Language!AA91</f>
        <v>Operação de Energia</v>
      </c>
      <c r="B103" s="108">
        <v>-2703</v>
      </c>
      <c r="C103" s="108">
        <v>-1392</v>
      </c>
      <c r="D103" s="108">
        <v>-2660</v>
      </c>
      <c r="E103" s="106">
        <v>-1278</v>
      </c>
      <c r="F103" s="108">
        <v>-1881</v>
      </c>
      <c r="G103" s="108">
        <v>-2532</v>
      </c>
      <c r="H103" s="108">
        <v>-3306</v>
      </c>
      <c r="I103" s="106">
        <v>-4912</v>
      </c>
      <c r="J103" s="108">
        <v>-7917</v>
      </c>
      <c r="K103" s="108">
        <v>-1806</v>
      </c>
      <c r="L103" s="108">
        <v>-8922</v>
      </c>
      <c r="M103" s="106">
        <v>-7498</v>
      </c>
      <c r="N103" s="108">
        <v>-5964</v>
      </c>
      <c r="O103" s="108">
        <v>-3229</v>
      </c>
      <c r="P103" s="108">
        <v>-25487</v>
      </c>
      <c r="Q103" s="108">
        <v>-30370</v>
      </c>
      <c r="R103" s="107">
        <v>-39624</v>
      </c>
      <c r="S103" s="108">
        <v>-19001</v>
      </c>
      <c r="T103" s="108">
        <f t="shared" si="357"/>
        <v>-18232</v>
      </c>
      <c r="U103" s="108">
        <f t="shared" si="358"/>
        <v>-6573</v>
      </c>
      <c r="V103" s="108">
        <f t="shared" si="359"/>
        <v>-58625</v>
      </c>
      <c r="W103" s="108">
        <v>-76857</v>
      </c>
      <c r="X103" s="108">
        <v>-83430</v>
      </c>
      <c r="Y103" s="107">
        <v>-516</v>
      </c>
      <c r="Z103" s="108">
        <f t="shared" si="360"/>
        <v>-845</v>
      </c>
      <c r="AA103" s="108">
        <f t="shared" si="361"/>
        <v>-1154</v>
      </c>
      <c r="AB103" s="108">
        <f t="shared" si="362"/>
        <v>-2037</v>
      </c>
      <c r="AC103" s="108">
        <v>-1361</v>
      </c>
      <c r="AD103" s="108">
        <v>-2515</v>
      </c>
      <c r="AE103" s="108">
        <v>-4552</v>
      </c>
      <c r="AF103" s="107">
        <v>-1139</v>
      </c>
      <c r="AG103" s="108">
        <v>-234</v>
      </c>
      <c r="AH103" s="108">
        <v>-891</v>
      </c>
      <c r="AI103" s="108">
        <v>-4284</v>
      </c>
      <c r="AJ103" s="108">
        <v>-1373</v>
      </c>
      <c r="AK103" s="108">
        <v>-2264</v>
      </c>
      <c r="AL103" s="108">
        <v>-6548</v>
      </c>
      <c r="AM103" s="107">
        <v>-1103</v>
      </c>
      <c r="AN103" s="108">
        <f t="shared" si="282"/>
        <v>-1691</v>
      </c>
      <c r="AO103" s="108"/>
      <c r="AP103" s="108">
        <f t="shared" si="283"/>
        <v>-3231</v>
      </c>
      <c r="AQ103" s="108">
        <v>-2794</v>
      </c>
      <c r="AR103" s="108">
        <v>-4407</v>
      </c>
      <c r="AS103" s="108">
        <v>-7638</v>
      </c>
      <c r="AT103" s="107">
        <v>-1811</v>
      </c>
      <c r="AU103" s="107">
        <f t="shared" si="363"/>
        <v>-1566</v>
      </c>
      <c r="AV103" s="107">
        <f t="shared" si="367"/>
        <v>-2097</v>
      </c>
      <c r="AW103" s="107">
        <f t="shared" si="284"/>
        <v>-3733</v>
      </c>
      <c r="AX103" s="107">
        <v>-3377</v>
      </c>
      <c r="AY103" s="107">
        <v>-5474</v>
      </c>
      <c r="AZ103" s="107">
        <v>-9207</v>
      </c>
      <c r="BA103" s="107">
        <v>-2337</v>
      </c>
      <c r="BB103" s="107">
        <f t="shared" si="364"/>
        <v>-1697</v>
      </c>
      <c r="BC103" s="107">
        <f t="shared" si="365"/>
        <v>-2228</v>
      </c>
      <c r="BD103" s="107">
        <f t="shared" si="368"/>
        <v>-3154</v>
      </c>
      <c r="BE103" s="107">
        <v>-4034</v>
      </c>
      <c r="BF103" s="107">
        <v>-6262</v>
      </c>
      <c r="BG103" s="107">
        <v>-9416</v>
      </c>
      <c r="BH103" s="107">
        <v>-1849</v>
      </c>
      <c r="BI103" s="107">
        <f t="shared" si="369"/>
        <v>-2108</v>
      </c>
      <c r="BJ103" s="107">
        <f t="shared" si="370"/>
        <v>-1797</v>
      </c>
      <c r="BK103" s="107">
        <f t="shared" si="371"/>
        <v>-2602</v>
      </c>
      <c r="BL103" s="107">
        <v>-3957</v>
      </c>
      <c r="BM103" s="107">
        <v>-5754</v>
      </c>
      <c r="BN103" s="107">
        <v>-8356</v>
      </c>
      <c r="BO103" s="107">
        <v>-1424</v>
      </c>
      <c r="BP103" s="107">
        <f t="shared" si="372"/>
        <v>-1445</v>
      </c>
      <c r="BQ103" s="107">
        <f t="shared" si="373"/>
        <v>-1471</v>
      </c>
      <c r="BR103" s="107">
        <f t="shared" si="374"/>
        <v>-3229</v>
      </c>
      <c r="BS103" s="107">
        <v>-2869</v>
      </c>
      <c r="BT103" s="107">
        <v>-4340</v>
      </c>
      <c r="BU103" s="107">
        <v>-7569</v>
      </c>
      <c r="BV103" s="107">
        <v>-1165</v>
      </c>
      <c r="BW103" s="111">
        <f t="shared" si="366"/>
        <v>-1483</v>
      </c>
      <c r="BX103" s="107">
        <f t="shared" si="375"/>
        <v>-1551</v>
      </c>
      <c r="BY103" s="107">
        <f t="shared" si="376"/>
        <v>-1959</v>
      </c>
      <c r="BZ103" s="107">
        <v>-2648</v>
      </c>
      <c r="CA103" s="107">
        <v>-4199</v>
      </c>
      <c r="CB103" s="107">
        <v>-6158</v>
      </c>
      <c r="CC103" s="107">
        <v>-1697</v>
      </c>
      <c r="CD103" s="107">
        <f t="shared" si="377"/>
        <v>-1855</v>
      </c>
      <c r="CE103" s="107">
        <f t="shared" si="378"/>
        <v>-1924</v>
      </c>
      <c r="CF103" s="107">
        <f t="shared" si="379"/>
        <v>-2657</v>
      </c>
      <c r="CG103" s="107">
        <v>-3552</v>
      </c>
      <c r="CH103" s="107">
        <v>-5476</v>
      </c>
      <c r="CI103" s="107">
        <v>-8133</v>
      </c>
      <c r="CJ103" s="107">
        <v>-1373</v>
      </c>
      <c r="CK103" s="107">
        <f t="shared" si="380"/>
        <v>-1880</v>
      </c>
      <c r="CL103" s="107"/>
      <c r="CM103" s="107"/>
      <c r="CN103" s="107">
        <v>-3253</v>
      </c>
      <c r="CO103" s="107"/>
    </row>
    <row r="104" spans="1:93" s="92" customFormat="1" x14ac:dyDescent="0.25">
      <c r="A104" s="121" t="str">
        <f>Language!AA92</f>
        <v>Operação Aeroportuária</v>
      </c>
      <c r="B104" s="108">
        <v>0</v>
      </c>
      <c r="C104" s="108">
        <v>0</v>
      </c>
      <c r="D104" s="108">
        <v>0</v>
      </c>
      <c r="E104" s="106">
        <v>0</v>
      </c>
      <c r="F104" s="108">
        <v>0</v>
      </c>
      <c r="G104" s="108">
        <v>0</v>
      </c>
      <c r="H104" s="108">
        <v>0</v>
      </c>
      <c r="I104" s="106">
        <v>-3985</v>
      </c>
      <c r="J104" s="108">
        <v>-7057</v>
      </c>
      <c r="K104" s="108">
        <v>-5444</v>
      </c>
      <c r="L104" s="108">
        <v>-6000</v>
      </c>
      <c r="M104" s="106">
        <v>-5866</v>
      </c>
      <c r="N104" s="108">
        <v>-4596</v>
      </c>
      <c r="O104" s="108">
        <v>-5014</v>
      </c>
      <c r="P104" s="108">
        <v>-4576</v>
      </c>
      <c r="Q104" s="108">
        <v>-5014</v>
      </c>
      <c r="R104" s="107">
        <v>-6618</v>
      </c>
      <c r="S104" s="108">
        <v>-7214</v>
      </c>
      <c r="T104" s="108">
        <f t="shared" si="357"/>
        <v>-8696</v>
      </c>
      <c r="U104" s="108">
        <f t="shared" si="358"/>
        <v>-4737</v>
      </c>
      <c r="V104" s="108">
        <f t="shared" si="359"/>
        <v>-13832</v>
      </c>
      <c r="W104" s="108">
        <v>-22528</v>
      </c>
      <c r="X104" s="108">
        <v>-27265</v>
      </c>
      <c r="Y104" s="107">
        <v>-7031</v>
      </c>
      <c r="Z104" s="108">
        <f t="shared" si="360"/>
        <v>-7151</v>
      </c>
      <c r="AA104" s="108">
        <f t="shared" si="361"/>
        <v>-7693</v>
      </c>
      <c r="AB104" s="108">
        <f t="shared" si="362"/>
        <v>-6803</v>
      </c>
      <c r="AC104" s="108">
        <v>-14182</v>
      </c>
      <c r="AD104" s="108">
        <v>-21875</v>
      </c>
      <c r="AE104" s="108">
        <v>-28678</v>
      </c>
      <c r="AF104" s="107">
        <v>-6758</v>
      </c>
      <c r="AG104" s="108">
        <v>-8308</v>
      </c>
      <c r="AH104" s="108">
        <v>15066</v>
      </c>
      <c r="AI104" s="108">
        <v>0</v>
      </c>
      <c r="AJ104" s="108">
        <v>-15066</v>
      </c>
      <c r="AK104" s="108">
        <v>0</v>
      </c>
      <c r="AL104" s="108">
        <v>0</v>
      </c>
      <c r="AM104" s="107">
        <v>0</v>
      </c>
      <c r="AN104" s="108">
        <f t="shared" si="282"/>
        <v>0</v>
      </c>
      <c r="AO104" s="108"/>
      <c r="AP104" s="108">
        <f t="shared" si="283"/>
        <v>0</v>
      </c>
      <c r="AQ104" s="108">
        <v>0</v>
      </c>
      <c r="AR104" s="108"/>
      <c r="AS104" s="108"/>
      <c r="AT104" s="107"/>
      <c r="AU104" s="107">
        <f t="shared" si="363"/>
        <v>0</v>
      </c>
      <c r="AV104" s="107">
        <f t="shared" si="367"/>
        <v>0</v>
      </c>
      <c r="AW104" s="107">
        <f t="shared" si="284"/>
        <v>0</v>
      </c>
      <c r="AX104" s="107"/>
      <c r="AY104" s="107"/>
      <c r="AZ104" s="107">
        <v>0</v>
      </c>
      <c r="BA104" s="107">
        <v>0</v>
      </c>
      <c r="BB104" s="107">
        <f t="shared" si="364"/>
        <v>0</v>
      </c>
      <c r="BC104" s="107">
        <f t="shared" si="365"/>
        <v>0</v>
      </c>
      <c r="BD104" s="107">
        <f t="shared" si="368"/>
        <v>0</v>
      </c>
      <c r="BE104" s="107">
        <v>0</v>
      </c>
      <c r="BF104" s="107">
        <v>0</v>
      </c>
      <c r="BG104" s="107">
        <v>0</v>
      </c>
      <c r="BH104" s="107">
        <v>0</v>
      </c>
      <c r="BI104" s="107">
        <f t="shared" si="369"/>
        <v>0</v>
      </c>
      <c r="BJ104" s="107">
        <f t="shared" si="370"/>
        <v>0</v>
      </c>
      <c r="BK104" s="107">
        <f t="shared" si="371"/>
        <v>0</v>
      </c>
      <c r="BL104" s="107">
        <v>0</v>
      </c>
      <c r="BM104" s="107">
        <v>0</v>
      </c>
      <c r="BN104" s="107">
        <v>0</v>
      </c>
      <c r="BO104" s="107">
        <v>0</v>
      </c>
      <c r="BP104" s="107">
        <f t="shared" si="372"/>
        <v>0</v>
      </c>
      <c r="BQ104" s="107">
        <f t="shared" si="373"/>
        <v>0</v>
      </c>
      <c r="BR104" s="107">
        <f t="shared" si="374"/>
        <v>0</v>
      </c>
      <c r="BS104" s="107">
        <v>0</v>
      </c>
      <c r="BT104" s="107">
        <v>0</v>
      </c>
      <c r="BU104" s="107">
        <v>0</v>
      </c>
      <c r="BV104" s="107">
        <v>0</v>
      </c>
      <c r="BW104" s="111">
        <f t="shared" si="366"/>
        <v>0</v>
      </c>
      <c r="BX104" s="107">
        <f t="shared" si="375"/>
        <v>0</v>
      </c>
      <c r="BY104" s="107">
        <f t="shared" si="376"/>
        <v>0</v>
      </c>
      <c r="BZ104" s="107">
        <v>0</v>
      </c>
      <c r="CA104" s="107">
        <v>0</v>
      </c>
      <c r="CB104" s="107">
        <v>0</v>
      </c>
      <c r="CC104" s="107">
        <v>0</v>
      </c>
      <c r="CD104" s="107">
        <f t="shared" si="377"/>
        <v>0</v>
      </c>
      <c r="CE104" s="107">
        <f t="shared" si="378"/>
        <v>0</v>
      </c>
      <c r="CF104" s="107">
        <f t="shared" si="379"/>
        <v>0</v>
      </c>
      <c r="CG104" s="107">
        <v>0</v>
      </c>
      <c r="CH104" s="107">
        <v>0</v>
      </c>
      <c r="CI104" s="107">
        <v>0</v>
      </c>
      <c r="CJ104" s="107">
        <v>0</v>
      </c>
      <c r="CK104" s="107">
        <f t="shared" si="380"/>
        <v>0</v>
      </c>
      <c r="CL104" s="107"/>
      <c r="CM104" s="107"/>
      <c r="CN104" s="107">
        <v>0</v>
      </c>
      <c r="CO104" s="107"/>
    </row>
    <row r="105" spans="1:93" s="92" customFormat="1" x14ac:dyDescent="0.25">
      <c r="A105" s="121" t="str">
        <f>Language!AA93</f>
        <v>Custo com Pessoal</v>
      </c>
      <c r="B105" s="108">
        <v>-9606</v>
      </c>
      <c r="C105" s="108">
        <v>-12405</v>
      </c>
      <c r="D105" s="108">
        <v>-10276</v>
      </c>
      <c r="E105" s="106">
        <v>-15123</v>
      </c>
      <c r="F105" s="108">
        <v>-16433</v>
      </c>
      <c r="G105" s="108">
        <v>-18139</v>
      </c>
      <c r="H105" s="108">
        <v>-16662</v>
      </c>
      <c r="I105" s="106">
        <v>-20671</v>
      </c>
      <c r="J105" s="108">
        <v>-19467</v>
      </c>
      <c r="K105" s="108">
        <v>-16556</v>
      </c>
      <c r="L105" s="108">
        <v>-16362</v>
      </c>
      <c r="M105" s="106">
        <v>-17108</v>
      </c>
      <c r="N105" s="108">
        <v>-18550</v>
      </c>
      <c r="O105" s="108">
        <v>-20102</v>
      </c>
      <c r="P105" s="108">
        <v>-19317</v>
      </c>
      <c r="Q105" s="108">
        <v>-25945</v>
      </c>
      <c r="R105" s="107">
        <v>-23981</v>
      </c>
      <c r="S105" s="108">
        <v>-26846</v>
      </c>
      <c r="T105" s="108">
        <f t="shared" si="357"/>
        <v>-36505</v>
      </c>
      <c r="U105" s="108">
        <f t="shared" si="358"/>
        <v>-38460</v>
      </c>
      <c r="V105" s="108">
        <f t="shared" si="359"/>
        <v>-50827</v>
      </c>
      <c r="W105" s="108">
        <v>-87332</v>
      </c>
      <c r="X105" s="108">
        <v>-125792</v>
      </c>
      <c r="Y105" s="107">
        <v>-35089</v>
      </c>
      <c r="Z105" s="108">
        <f t="shared" si="360"/>
        <v>-43051</v>
      </c>
      <c r="AA105" s="108">
        <f t="shared" si="361"/>
        <v>-37792</v>
      </c>
      <c r="AB105" s="108">
        <f t="shared" si="362"/>
        <v>-41362</v>
      </c>
      <c r="AC105" s="108">
        <v>-78140</v>
      </c>
      <c r="AD105" s="108">
        <v>-115932</v>
      </c>
      <c r="AE105" s="108">
        <v>-157294</v>
      </c>
      <c r="AF105" s="107">
        <v>-37878</v>
      </c>
      <c r="AG105" s="108">
        <v>-38377</v>
      </c>
      <c r="AH105" s="108">
        <v>-24496</v>
      </c>
      <c r="AI105" s="108">
        <v>-24538</v>
      </c>
      <c r="AJ105" s="108">
        <v>-76255</v>
      </c>
      <c r="AK105" s="108">
        <v>-100751</v>
      </c>
      <c r="AL105" s="108">
        <v>-125289</v>
      </c>
      <c r="AM105" s="107">
        <v>-29041</v>
      </c>
      <c r="AN105" s="108">
        <f t="shared" si="282"/>
        <v>-31856</v>
      </c>
      <c r="AO105" s="108"/>
      <c r="AP105" s="108">
        <f t="shared" si="283"/>
        <v>-27126</v>
      </c>
      <c r="AQ105" s="108">
        <v>-60897</v>
      </c>
      <c r="AR105" s="108">
        <v>-88530</v>
      </c>
      <c r="AS105" s="108">
        <v>-115656</v>
      </c>
      <c r="AT105" s="107">
        <v>-25512</v>
      </c>
      <c r="AU105" s="107">
        <f t="shared" si="363"/>
        <v>-25128</v>
      </c>
      <c r="AV105" s="107">
        <f t="shared" si="367"/>
        <v>-28116</v>
      </c>
      <c r="AW105" s="107">
        <f t="shared" si="284"/>
        <v>-27974</v>
      </c>
      <c r="AX105" s="107">
        <v>-50640</v>
      </c>
      <c r="AY105" s="107">
        <v>-78756</v>
      </c>
      <c r="AZ105" s="107">
        <v>-106730</v>
      </c>
      <c r="BA105" s="107">
        <v>-28087</v>
      </c>
      <c r="BB105" s="107">
        <f t="shared" si="364"/>
        <v>-24337</v>
      </c>
      <c r="BC105" s="107">
        <f t="shared" si="365"/>
        <v>-25003</v>
      </c>
      <c r="BD105" s="107">
        <f t="shared" si="368"/>
        <v>-23979</v>
      </c>
      <c r="BE105" s="107">
        <v>-52424</v>
      </c>
      <c r="BF105" s="107">
        <v>-77427</v>
      </c>
      <c r="BG105" s="107">
        <v>-101406</v>
      </c>
      <c r="BH105" s="107">
        <v>-24868</v>
      </c>
      <c r="BI105" s="107">
        <f t="shared" si="369"/>
        <v>-25401</v>
      </c>
      <c r="BJ105" s="107">
        <f t="shared" si="370"/>
        <v>-23663</v>
      </c>
      <c r="BK105" s="107">
        <f t="shared" si="371"/>
        <v>-25288</v>
      </c>
      <c r="BL105" s="107">
        <v>-50269</v>
      </c>
      <c r="BM105" s="107">
        <v>-73932</v>
      </c>
      <c r="BN105" s="107">
        <v>-99220</v>
      </c>
      <c r="BO105" s="107">
        <v>-21039</v>
      </c>
      <c r="BP105" s="107">
        <f t="shared" si="372"/>
        <v>-23010</v>
      </c>
      <c r="BQ105" s="107">
        <f t="shared" si="373"/>
        <v>-24755</v>
      </c>
      <c r="BR105" s="107">
        <f t="shared" si="374"/>
        <v>-26373</v>
      </c>
      <c r="BS105" s="107">
        <v>-44049</v>
      </c>
      <c r="BT105" s="107">
        <v>-68804</v>
      </c>
      <c r="BU105" s="107">
        <v>-95177</v>
      </c>
      <c r="BV105" s="107">
        <v>-25183</v>
      </c>
      <c r="BW105" s="111">
        <f t="shared" si="366"/>
        <v>-26377</v>
      </c>
      <c r="BX105" s="107">
        <f t="shared" si="375"/>
        <v>-25897</v>
      </c>
      <c r="BY105" s="107">
        <f t="shared" si="376"/>
        <v>-25972</v>
      </c>
      <c r="BZ105" s="107">
        <v>-51560</v>
      </c>
      <c r="CA105" s="107">
        <v>-77457</v>
      </c>
      <c r="CB105" s="107">
        <v>-103429</v>
      </c>
      <c r="CC105" s="107">
        <v>-23836</v>
      </c>
      <c r="CD105" s="107">
        <f t="shared" si="377"/>
        <v>-32254</v>
      </c>
      <c r="CE105" s="107">
        <f t="shared" si="378"/>
        <v>-27982</v>
      </c>
      <c r="CF105" s="107">
        <f t="shared" si="379"/>
        <v>-31424</v>
      </c>
      <c r="CG105" s="107">
        <v>-56090</v>
      </c>
      <c r="CH105" s="107">
        <v>-84072</v>
      </c>
      <c r="CI105" s="107">
        <v>-115496</v>
      </c>
      <c r="CJ105" s="107">
        <v>-24008</v>
      </c>
      <c r="CK105" s="107">
        <f t="shared" si="380"/>
        <v>-26824</v>
      </c>
      <c r="CL105" s="107"/>
      <c r="CM105" s="107"/>
      <c r="CN105" s="107">
        <v>-50832</v>
      </c>
      <c r="CO105" s="107"/>
    </row>
    <row r="106" spans="1:93" s="92" customFormat="1" x14ac:dyDescent="0.25">
      <c r="A106" s="121" t="str">
        <f>Language!AA94</f>
        <v>Depreciação e Amortização</v>
      </c>
      <c r="B106" s="108">
        <v>-40042</v>
      </c>
      <c r="C106" s="108">
        <v>-41351</v>
      </c>
      <c r="D106" s="108">
        <v>-38692</v>
      </c>
      <c r="E106" s="106">
        <v>-41225</v>
      </c>
      <c r="F106" s="108">
        <v>-47388</v>
      </c>
      <c r="G106" s="108">
        <v>-51506</v>
      </c>
      <c r="H106" s="108">
        <v>-45917</v>
      </c>
      <c r="I106" s="106">
        <v>-51219</v>
      </c>
      <c r="J106" s="108">
        <v>-54753</v>
      </c>
      <c r="K106" s="108">
        <v>-53917</v>
      </c>
      <c r="L106" s="108">
        <v>-56827</v>
      </c>
      <c r="M106" s="106">
        <v>-61795</v>
      </c>
      <c r="N106" s="108">
        <v>-64767</v>
      </c>
      <c r="O106" s="108">
        <v>-67113</v>
      </c>
      <c r="P106" s="108">
        <v>-66195</v>
      </c>
      <c r="Q106" s="108">
        <v>-75354</v>
      </c>
      <c r="R106" s="107">
        <v>-82989</v>
      </c>
      <c r="S106" s="108">
        <v>-83156</v>
      </c>
      <c r="T106" s="108">
        <f t="shared" si="357"/>
        <v>-85970</v>
      </c>
      <c r="U106" s="108">
        <f t="shared" si="358"/>
        <v>-76542</v>
      </c>
      <c r="V106" s="108">
        <f t="shared" si="359"/>
        <v>-166145</v>
      </c>
      <c r="W106" s="108">
        <v>-252115</v>
      </c>
      <c r="X106" s="108">
        <v>-328657</v>
      </c>
      <c r="Y106" s="107">
        <v>-86609</v>
      </c>
      <c r="Z106" s="108">
        <f t="shared" si="360"/>
        <v>-80390</v>
      </c>
      <c r="AA106" s="108">
        <f t="shared" si="361"/>
        <v>-90396</v>
      </c>
      <c r="AB106" s="108">
        <f t="shared" si="362"/>
        <v>-89341</v>
      </c>
      <c r="AC106" s="108">
        <v>-166999</v>
      </c>
      <c r="AD106" s="108">
        <v>-257395</v>
      </c>
      <c r="AE106" s="108">
        <v>-346736</v>
      </c>
      <c r="AF106" s="107">
        <v>-112446</v>
      </c>
      <c r="AG106" s="108">
        <v>-122501</v>
      </c>
      <c r="AH106" s="108">
        <v>-41254</v>
      </c>
      <c r="AI106" s="108">
        <v>-45391</v>
      </c>
      <c r="AJ106" s="108">
        <v>-234947</v>
      </c>
      <c r="AK106" s="108">
        <v>-276201</v>
      </c>
      <c r="AL106" s="108">
        <v>-321592</v>
      </c>
      <c r="AM106" s="107">
        <v>-49786</v>
      </c>
      <c r="AN106" s="108">
        <f t="shared" si="282"/>
        <v>-49412</v>
      </c>
      <c r="AO106" s="108"/>
      <c r="AP106" s="108">
        <f t="shared" si="283"/>
        <v>-74329</v>
      </c>
      <c r="AQ106" s="108">
        <v>-99198</v>
      </c>
      <c r="AR106" s="108">
        <v>-156004</v>
      </c>
      <c r="AS106" s="108">
        <v>-230333</v>
      </c>
      <c r="AT106" s="107">
        <v>-73468</v>
      </c>
      <c r="AU106" s="107">
        <f t="shared" si="363"/>
        <v>-77550</v>
      </c>
      <c r="AV106" s="107">
        <f t="shared" si="367"/>
        <v>-80744</v>
      </c>
      <c r="AW106" s="107">
        <f t="shared" si="284"/>
        <v>-106128</v>
      </c>
      <c r="AX106" s="107">
        <v>-151018</v>
      </c>
      <c r="AY106" s="107">
        <v>-231762</v>
      </c>
      <c r="AZ106" s="107">
        <v>-337890</v>
      </c>
      <c r="BA106" s="107">
        <v>-80859</v>
      </c>
      <c r="BB106" s="107">
        <f t="shared" si="364"/>
        <v>-70674</v>
      </c>
      <c r="BC106" s="107">
        <f t="shared" si="365"/>
        <v>-95449</v>
      </c>
      <c r="BD106" s="107">
        <f t="shared" si="368"/>
        <v>-111945</v>
      </c>
      <c r="BE106" s="107">
        <v>-151533</v>
      </c>
      <c r="BF106" s="107">
        <v>-246982</v>
      </c>
      <c r="BG106" s="107">
        <v>-358927</v>
      </c>
      <c r="BH106" s="107">
        <v>-108888</v>
      </c>
      <c r="BI106" s="107">
        <f t="shared" si="369"/>
        <v>-114258</v>
      </c>
      <c r="BJ106" s="107">
        <f t="shared" si="370"/>
        <v>-53921</v>
      </c>
      <c r="BK106" s="107">
        <f t="shared" si="371"/>
        <v>-87839</v>
      </c>
      <c r="BL106" s="107">
        <v>-223146</v>
      </c>
      <c r="BM106" s="107">
        <v>-277067</v>
      </c>
      <c r="BN106" s="107">
        <v>-364906</v>
      </c>
      <c r="BO106" s="107">
        <v>-42259</v>
      </c>
      <c r="BP106" s="107">
        <f t="shared" si="372"/>
        <v>-38684</v>
      </c>
      <c r="BQ106" s="107">
        <f t="shared" si="373"/>
        <v>-42027</v>
      </c>
      <c r="BR106" s="107">
        <f t="shared" si="374"/>
        <v>-23633</v>
      </c>
      <c r="BS106" s="107">
        <v>-80943</v>
      </c>
      <c r="BT106" s="107">
        <v>-122970</v>
      </c>
      <c r="BU106" s="107">
        <v>-146603</v>
      </c>
      <c r="BV106" s="107">
        <v>-34039</v>
      </c>
      <c r="BW106" s="111">
        <f t="shared" si="366"/>
        <v>-34247</v>
      </c>
      <c r="BX106" s="107">
        <f t="shared" si="375"/>
        <v>-38892</v>
      </c>
      <c r="BY106" s="107">
        <f t="shared" si="376"/>
        <v>-43425</v>
      </c>
      <c r="BZ106" s="107">
        <v>-68286</v>
      </c>
      <c r="CA106" s="107">
        <v>-107178</v>
      </c>
      <c r="CB106" s="107">
        <v>-150603</v>
      </c>
      <c r="CC106" s="107">
        <v>-36823</v>
      </c>
      <c r="CD106" s="107">
        <f t="shared" si="377"/>
        <v>-39048</v>
      </c>
      <c r="CE106" s="107">
        <f t="shared" si="378"/>
        <v>-43763</v>
      </c>
      <c r="CF106" s="107">
        <f t="shared" si="379"/>
        <v>-36604</v>
      </c>
      <c r="CG106" s="107">
        <v>-75871</v>
      </c>
      <c r="CH106" s="107">
        <v>-119634</v>
      </c>
      <c r="CI106" s="107">
        <v>-156238</v>
      </c>
      <c r="CJ106" s="107">
        <v>-41304</v>
      </c>
      <c r="CK106" s="107">
        <f t="shared" si="380"/>
        <v>-70836</v>
      </c>
      <c r="CL106" s="107"/>
      <c r="CM106" s="107"/>
      <c r="CN106" s="107">
        <v>-112140</v>
      </c>
      <c r="CO106" s="107"/>
    </row>
    <row r="107" spans="1:93" s="92" customFormat="1" x14ac:dyDescent="0.25">
      <c r="A107" s="121" t="str">
        <f>Language!AA95</f>
        <v>Obrigações da Concessão</v>
      </c>
      <c r="B107" s="108">
        <v>-5897</v>
      </c>
      <c r="C107" s="108">
        <v>-5916</v>
      </c>
      <c r="D107" s="108">
        <v>-5886</v>
      </c>
      <c r="E107" s="106">
        <v>-6152</v>
      </c>
      <c r="F107" s="108">
        <v>-6427</v>
      </c>
      <c r="G107" s="108">
        <v>-6432</v>
      </c>
      <c r="H107" s="108">
        <v>-6282</v>
      </c>
      <c r="I107" s="106">
        <v>-6979</v>
      </c>
      <c r="J107" s="108">
        <v>-8182</v>
      </c>
      <c r="K107" s="108">
        <v>-8591</v>
      </c>
      <c r="L107" s="108">
        <v>-8349</v>
      </c>
      <c r="M107" s="106">
        <v>-7469</v>
      </c>
      <c r="N107" s="108">
        <v>-10416</v>
      </c>
      <c r="O107" s="108">
        <v>-13238</v>
      </c>
      <c r="P107" s="108">
        <v>-11090</v>
      </c>
      <c r="Q107" s="108">
        <v>-18777</v>
      </c>
      <c r="R107" s="107">
        <v>-15077</v>
      </c>
      <c r="S107" s="108">
        <v>-25898</v>
      </c>
      <c r="T107" s="108">
        <f t="shared" si="357"/>
        <v>-34906</v>
      </c>
      <c r="U107" s="108">
        <f t="shared" si="358"/>
        <v>-15833</v>
      </c>
      <c r="V107" s="108">
        <f t="shared" si="359"/>
        <v>-40975</v>
      </c>
      <c r="W107" s="108">
        <v>-75881</v>
      </c>
      <c r="X107" s="108">
        <v>-91714</v>
      </c>
      <c r="Y107" s="107">
        <v>-20273</v>
      </c>
      <c r="Z107" s="108">
        <f t="shared" si="360"/>
        <v>-16453</v>
      </c>
      <c r="AA107" s="108">
        <f t="shared" si="361"/>
        <v>-16047</v>
      </c>
      <c r="AB107" s="108">
        <f t="shared" si="362"/>
        <v>-20534</v>
      </c>
      <c r="AC107" s="108">
        <v>-36726</v>
      </c>
      <c r="AD107" s="108">
        <v>-52773</v>
      </c>
      <c r="AE107" s="108">
        <v>-73307</v>
      </c>
      <c r="AF107" s="107">
        <v>-21217</v>
      </c>
      <c r="AG107" s="108">
        <v>-34834</v>
      </c>
      <c r="AH107" s="108">
        <v>-3536</v>
      </c>
      <c r="AI107" s="108">
        <v>-21015</v>
      </c>
      <c r="AJ107" s="108">
        <v>-56051</v>
      </c>
      <c r="AK107" s="108">
        <v>-59587</v>
      </c>
      <c r="AL107" s="108">
        <v>-80602</v>
      </c>
      <c r="AM107" s="107">
        <v>-20683</v>
      </c>
      <c r="AN107" s="108">
        <f t="shared" si="282"/>
        <v>-19843</v>
      </c>
      <c r="AO107" s="108"/>
      <c r="AP107" s="108">
        <f t="shared" si="283"/>
        <v>-18498</v>
      </c>
      <c r="AQ107" s="108">
        <v>-40526</v>
      </c>
      <c r="AR107" s="108">
        <v>-58480</v>
      </c>
      <c r="AS107" s="108">
        <v>-76978</v>
      </c>
      <c r="AT107" s="107">
        <v>-19345</v>
      </c>
      <c r="AU107" s="107">
        <f t="shared" si="363"/>
        <v>-19985</v>
      </c>
      <c r="AV107" s="107">
        <f t="shared" si="367"/>
        <v>-20691</v>
      </c>
      <c r="AW107" s="107">
        <f t="shared" si="284"/>
        <v>-22139</v>
      </c>
      <c r="AX107" s="107">
        <v>-39330</v>
      </c>
      <c r="AY107" s="107">
        <v>-60021</v>
      </c>
      <c r="AZ107" s="107">
        <v>-82160</v>
      </c>
      <c r="BA107" s="107">
        <v>-22069</v>
      </c>
      <c r="BB107" s="107">
        <f t="shared" si="364"/>
        <v>-20967</v>
      </c>
      <c r="BC107" s="107">
        <f t="shared" si="365"/>
        <v>-23668</v>
      </c>
      <c r="BD107" s="107">
        <f t="shared" si="368"/>
        <v>-22460</v>
      </c>
      <c r="BE107" s="107">
        <v>-43036</v>
      </c>
      <c r="BF107" s="107">
        <v>-66704</v>
      </c>
      <c r="BG107" s="107">
        <v>-89164</v>
      </c>
      <c r="BH107" s="107">
        <v>-22211</v>
      </c>
      <c r="BI107" s="107">
        <f t="shared" si="369"/>
        <v>-22512</v>
      </c>
      <c r="BJ107" s="107">
        <f t="shared" si="370"/>
        <v>-18867</v>
      </c>
      <c r="BK107" s="107">
        <f t="shared" si="371"/>
        <v>-20998</v>
      </c>
      <c r="BL107" s="107">
        <v>-44723</v>
      </c>
      <c r="BM107" s="107">
        <v>-63590</v>
      </c>
      <c r="BN107" s="107">
        <v>-84588</v>
      </c>
      <c r="BO107" s="107">
        <v>-22500</v>
      </c>
      <c r="BP107" s="107">
        <f t="shared" si="372"/>
        <v>-22497</v>
      </c>
      <c r="BQ107" s="107">
        <f t="shared" si="373"/>
        <v>-25835</v>
      </c>
      <c r="BR107" s="107">
        <f t="shared" si="374"/>
        <v>-25647</v>
      </c>
      <c r="BS107" s="107">
        <v>-44997</v>
      </c>
      <c r="BT107" s="107">
        <v>-70832</v>
      </c>
      <c r="BU107" s="107">
        <v>-96479</v>
      </c>
      <c r="BV107" s="107">
        <v>-27631</v>
      </c>
      <c r="BW107" s="111">
        <f t="shared" si="366"/>
        <v>-26767</v>
      </c>
      <c r="BX107" s="107">
        <f t="shared" si="375"/>
        <v>-28119</v>
      </c>
      <c r="BY107" s="107">
        <f t="shared" si="376"/>
        <v>-28418</v>
      </c>
      <c r="BZ107" s="107">
        <v>-54398</v>
      </c>
      <c r="CA107" s="107">
        <v>-82517</v>
      </c>
      <c r="CB107" s="107">
        <v>-110935</v>
      </c>
      <c r="CC107" s="107">
        <v>-26176</v>
      </c>
      <c r="CD107" s="107">
        <f t="shared" si="377"/>
        <v>-26066</v>
      </c>
      <c r="CE107" s="107">
        <f t="shared" si="378"/>
        <v>-25254</v>
      </c>
      <c r="CF107" s="107">
        <f t="shared" si="379"/>
        <v>-25035</v>
      </c>
      <c r="CG107" s="107">
        <v>-52242</v>
      </c>
      <c r="CH107" s="107">
        <v>-77496</v>
      </c>
      <c r="CI107" s="107">
        <v>-102531</v>
      </c>
      <c r="CJ107" s="107">
        <v>-26831</v>
      </c>
      <c r="CK107" s="107">
        <f t="shared" si="380"/>
        <v>-26239</v>
      </c>
      <c r="CL107" s="107"/>
      <c r="CM107" s="107"/>
      <c r="CN107" s="107">
        <v>-53070</v>
      </c>
      <c r="CO107" s="107"/>
    </row>
    <row r="108" spans="1:93" s="100" customFormat="1" ht="13" x14ac:dyDescent="0.3">
      <c r="A108" s="137" t="str">
        <f>Language!AA96</f>
        <v>Despesas Operacionais</v>
      </c>
      <c r="B108" s="100">
        <f>SUM(B109,B110,B111)</f>
        <v>-27653</v>
      </c>
      <c r="C108" s="100">
        <f t="shared" ref="C108:K108" si="381">SUM(C109,C110,C111)</f>
        <v>-37281</v>
      </c>
      <c r="D108" s="100">
        <f t="shared" si="381"/>
        <v>-47664</v>
      </c>
      <c r="E108" s="138">
        <f t="shared" si="381"/>
        <v>-17927</v>
      </c>
      <c r="F108" s="100">
        <f t="shared" si="381"/>
        <v>-22375</v>
      </c>
      <c r="G108" s="100">
        <f t="shared" si="381"/>
        <v>-31843</v>
      </c>
      <c r="H108" s="100">
        <f t="shared" si="381"/>
        <v>-38848</v>
      </c>
      <c r="I108" s="138">
        <f t="shared" si="381"/>
        <v>-25550</v>
      </c>
      <c r="J108" s="100">
        <f t="shared" si="381"/>
        <v>-12584</v>
      </c>
      <c r="K108" s="100">
        <f t="shared" si="381"/>
        <v>-39260.003388174999</v>
      </c>
      <c r="L108" s="100">
        <f t="shared" ref="L108:P108" si="382">SUM(L109,L110,L111)</f>
        <v>-37483.169999999984</v>
      </c>
      <c r="M108" s="138">
        <f t="shared" si="382"/>
        <v>-33891.059600000008</v>
      </c>
      <c r="N108" s="100">
        <f t="shared" si="382"/>
        <v>-34629</v>
      </c>
      <c r="O108" s="100">
        <f>SUM(O109,O110,O111)</f>
        <v>-46566</v>
      </c>
      <c r="P108" s="100">
        <f t="shared" si="382"/>
        <v>-31965</v>
      </c>
      <c r="Q108" s="100">
        <f t="shared" ref="Q108:Z108" si="383">SUM(Q109,Q110,Q111)</f>
        <v>-693185</v>
      </c>
      <c r="R108" s="139">
        <f t="shared" si="383"/>
        <v>-32850</v>
      </c>
      <c r="S108" s="100">
        <f t="shared" si="383"/>
        <v>-58250</v>
      </c>
      <c r="T108" s="100">
        <f t="shared" si="383"/>
        <v>-43308</v>
      </c>
      <c r="U108" s="100">
        <f t="shared" si="383"/>
        <v>109375</v>
      </c>
      <c r="V108" s="100">
        <f t="shared" si="383"/>
        <v>-91100</v>
      </c>
      <c r="W108" s="100">
        <f t="shared" si="383"/>
        <v>-134408</v>
      </c>
      <c r="X108" s="100">
        <f t="shared" si="383"/>
        <v>-25033</v>
      </c>
      <c r="Y108" s="139">
        <f t="shared" si="383"/>
        <v>-54154</v>
      </c>
      <c r="Z108" s="120">
        <f t="shared" si="383"/>
        <v>-43257</v>
      </c>
      <c r="AA108" s="120">
        <f t="shared" ref="AA108:AB108" si="384">SUM(AA109,AA110,AA111)</f>
        <v>-50107</v>
      </c>
      <c r="AB108" s="120">
        <f t="shared" si="384"/>
        <v>-64416</v>
      </c>
      <c r="AC108" s="120">
        <f t="shared" ref="AC108:AD108" si="385">SUM(AC109,AC110,AC111)</f>
        <v>-97411</v>
      </c>
      <c r="AD108" s="120">
        <f t="shared" si="385"/>
        <v>-147518</v>
      </c>
      <c r="AE108" s="100">
        <f t="shared" ref="AE108" si="386">SUM(AE109,AE110,AE111)</f>
        <v>-211934</v>
      </c>
      <c r="AF108" s="139">
        <v>-57898</v>
      </c>
      <c r="AG108" s="120">
        <v>-403798</v>
      </c>
      <c r="AH108" s="120">
        <v>-385874</v>
      </c>
      <c r="AI108" s="120">
        <v>800887</v>
      </c>
      <c r="AJ108" s="120">
        <v>-461696</v>
      </c>
      <c r="AK108" s="120">
        <v>-847570</v>
      </c>
      <c r="AL108" s="100">
        <v>-46683</v>
      </c>
      <c r="AM108" s="139">
        <f t="shared" ref="AM108:AQ108" si="387">SUM(AM109,AM110,AM111)</f>
        <v>-25071</v>
      </c>
      <c r="AN108" s="120">
        <f t="shared" si="282"/>
        <v>-75694</v>
      </c>
      <c r="AO108" s="120"/>
      <c r="AP108" s="120">
        <f t="shared" si="283"/>
        <v>-238800</v>
      </c>
      <c r="AQ108" s="120">
        <f t="shared" si="387"/>
        <v>-100765</v>
      </c>
      <c r="AR108" s="120">
        <f t="shared" ref="AR108:AS108" si="388">SUM(AR109,AR110,AR111)</f>
        <v>-185556</v>
      </c>
      <c r="AS108" s="100">
        <f t="shared" si="388"/>
        <v>-424356</v>
      </c>
      <c r="AT108" s="139">
        <f t="shared" ref="AT108:AU108" si="389">SUM(AT109,AT110,AT111)</f>
        <v>-30647</v>
      </c>
      <c r="AU108" s="139">
        <f t="shared" si="389"/>
        <v>-49315</v>
      </c>
      <c r="AV108" s="139">
        <f t="shared" ref="AV108:AZ108" si="390">SUM(AV109,AV110,AV111)</f>
        <v>-54419</v>
      </c>
      <c r="AW108" s="139">
        <f t="shared" si="284"/>
        <v>-20639</v>
      </c>
      <c r="AX108" s="139">
        <f t="shared" ref="AX108" si="391">SUM(AX109,AX110,AX111)</f>
        <v>-79962</v>
      </c>
      <c r="AY108" s="139">
        <f t="shared" si="390"/>
        <v>-134381</v>
      </c>
      <c r="AZ108" s="139">
        <f t="shared" si="390"/>
        <v>-155020</v>
      </c>
      <c r="BA108" s="139">
        <f t="shared" ref="BA108:BB108" si="392">SUM(BA109,BA110,BA111)</f>
        <v>-33407</v>
      </c>
      <c r="BB108" s="139">
        <f t="shared" si="392"/>
        <v>-29071</v>
      </c>
      <c r="BC108" s="139">
        <f t="shared" ref="BC108:BD108" si="393">SUM(BC109,BC110,BC111)</f>
        <v>-46064</v>
      </c>
      <c r="BD108" s="139">
        <f t="shared" si="393"/>
        <v>226018</v>
      </c>
      <c r="BE108" s="139">
        <f t="shared" ref="BE108:BG108" si="394">SUM(BE109,BE110,BE111)</f>
        <v>-62478</v>
      </c>
      <c r="BF108" s="139">
        <f t="shared" si="394"/>
        <v>-108542</v>
      </c>
      <c r="BG108" s="139">
        <f t="shared" si="394"/>
        <v>117476</v>
      </c>
      <c r="BH108" s="139">
        <f t="shared" ref="BH108:BL108" si="395">SUM(BH109,BH110,BH111)</f>
        <v>-39037</v>
      </c>
      <c r="BI108" s="139">
        <f t="shared" si="395"/>
        <v>-27359</v>
      </c>
      <c r="BJ108" s="139">
        <f t="shared" si="395"/>
        <v>-36981</v>
      </c>
      <c r="BK108" s="139">
        <f t="shared" si="395"/>
        <v>-19027</v>
      </c>
      <c r="BL108" s="139">
        <f t="shared" si="395"/>
        <v>-66396</v>
      </c>
      <c r="BM108" s="139">
        <f t="shared" ref="BM108" si="396">SUM(BM109,BM110,BM111)</f>
        <v>-103377</v>
      </c>
      <c r="BN108" s="139">
        <f>SUM(BN109,BN110,BN111)</f>
        <v>-122404</v>
      </c>
      <c r="BO108" s="139">
        <f>SUM(BO109,BO110,BO111)</f>
        <v>-29317</v>
      </c>
      <c r="BP108" s="139">
        <f>SUM(BP109,BP110,BP111)</f>
        <v>-32357</v>
      </c>
      <c r="BQ108" s="139">
        <f t="shared" ref="BQ108" si="397">SUM(BQ109,BQ110,BQ111)</f>
        <v>-37272</v>
      </c>
      <c r="BR108" s="107">
        <f t="shared" si="374"/>
        <v>-25097</v>
      </c>
      <c r="BS108" s="139">
        <f>SUM(BS109,BS110,BS111)</f>
        <v>-61674</v>
      </c>
      <c r="BT108" s="139">
        <f>SUM(BT109,BT110,BT111)</f>
        <v>-98946</v>
      </c>
      <c r="BU108" s="139">
        <f>SUM(BU109,BU110,BU111)-1</f>
        <v>-124043</v>
      </c>
      <c r="BV108" s="139">
        <f>SUM(BV109,BV110,BV111)</f>
        <v>-42431</v>
      </c>
      <c r="BW108" s="139">
        <f>SUM(BW109,BW110,BW111)</f>
        <v>-36149</v>
      </c>
      <c r="BX108" s="139">
        <f t="shared" ref="BX108:BY108" si="398">SUM(BX109,BX110,BX111)</f>
        <v>-40278</v>
      </c>
      <c r="BY108" s="139">
        <f t="shared" si="398"/>
        <v>-43476</v>
      </c>
      <c r="BZ108" s="139">
        <f t="shared" ref="BZ108:CI108" si="399">SUM(BZ109,BZ110,BZ111)</f>
        <v>-78580</v>
      </c>
      <c r="CA108" s="139">
        <f t="shared" si="399"/>
        <v>-118858</v>
      </c>
      <c r="CB108" s="139">
        <f t="shared" si="399"/>
        <v>-162334</v>
      </c>
      <c r="CC108" s="139">
        <f t="shared" si="399"/>
        <v>-36306</v>
      </c>
      <c r="CD108" s="139">
        <f t="shared" si="399"/>
        <v>-33503</v>
      </c>
      <c r="CE108" s="139">
        <f t="shared" si="399"/>
        <v>-49521</v>
      </c>
      <c r="CF108" s="139">
        <f t="shared" si="399"/>
        <v>-53517</v>
      </c>
      <c r="CG108" s="139">
        <f t="shared" si="399"/>
        <v>-69809</v>
      </c>
      <c r="CH108" s="139">
        <f t="shared" si="399"/>
        <v>-119330</v>
      </c>
      <c r="CI108" s="139">
        <f t="shared" si="399"/>
        <v>-172847</v>
      </c>
      <c r="CJ108" s="139">
        <v>-77592</v>
      </c>
      <c r="CK108" s="139">
        <f t="shared" ref="CK108:CO108" si="400">SUM(CK109,CK110,CK111)</f>
        <v>-43666</v>
      </c>
      <c r="CL108" s="139">
        <f t="shared" si="400"/>
        <v>0</v>
      </c>
      <c r="CM108" s="139">
        <f t="shared" si="400"/>
        <v>0</v>
      </c>
      <c r="CN108" s="139">
        <f t="shared" si="400"/>
        <v>-121258</v>
      </c>
      <c r="CO108" s="139">
        <f t="shared" si="400"/>
        <v>0</v>
      </c>
    </row>
    <row r="109" spans="1:93" s="92" customFormat="1" x14ac:dyDescent="0.25">
      <c r="A109" s="121" t="str">
        <f>Language!AA97</f>
        <v>Gerais e Administrativas</v>
      </c>
      <c r="B109" s="108">
        <v>-25610</v>
      </c>
      <c r="C109" s="108">
        <v>-33530</v>
      </c>
      <c r="D109" s="108">
        <v>-30964</v>
      </c>
      <c r="E109" s="106">
        <v>-25633</v>
      </c>
      <c r="F109" s="108">
        <v>-23509</v>
      </c>
      <c r="G109" s="108">
        <v>-29321</v>
      </c>
      <c r="H109" s="108">
        <v>-28332</v>
      </c>
      <c r="I109" s="106">
        <v>-31468</v>
      </c>
      <c r="J109" s="108">
        <v>-25182</v>
      </c>
      <c r="K109" s="108">
        <v>-37256.791622873003</v>
      </c>
      <c r="L109" s="108">
        <v>-32654.380399999987</v>
      </c>
      <c r="M109" s="106">
        <v>-42556.270400000001</v>
      </c>
      <c r="N109" s="108">
        <v>-37610</v>
      </c>
      <c r="O109" s="108">
        <v>-45523</v>
      </c>
      <c r="P109" s="108">
        <v>-39062</v>
      </c>
      <c r="Q109" s="108">
        <v>-41545</v>
      </c>
      <c r="R109" s="107">
        <v>-38637</v>
      </c>
      <c r="S109" s="108">
        <v>-49769</v>
      </c>
      <c r="T109" s="108">
        <f t="shared" ref="T109:T111" si="401">W109-S109-R109</f>
        <v>-42882</v>
      </c>
      <c r="U109" s="108">
        <f t="shared" ref="U109:U111" si="402">X109-W109</f>
        <v>-65325</v>
      </c>
      <c r="V109" s="108">
        <f t="shared" ref="V109:V111" si="403">R109+S109</f>
        <v>-88406</v>
      </c>
      <c r="W109" s="108">
        <v>-131288</v>
      </c>
      <c r="X109" s="108">
        <v>-196613</v>
      </c>
      <c r="Y109" s="107">
        <v>-48439</v>
      </c>
      <c r="Z109" s="108">
        <f t="shared" ref="Z109:Z111" si="404">AC109-Y109</f>
        <v>-51340</v>
      </c>
      <c r="AA109" s="108">
        <f t="shared" ref="AA109:AA111" si="405">AD109-Z109-Y109</f>
        <v>-50345</v>
      </c>
      <c r="AB109" s="108">
        <f t="shared" ref="AB109:AB111" si="406">AE109-AD109</f>
        <v>-54531</v>
      </c>
      <c r="AC109" s="108">
        <v>-99779</v>
      </c>
      <c r="AD109" s="108">
        <v>-150124</v>
      </c>
      <c r="AE109" s="108">
        <v>-204655</v>
      </c>
      <c r="AF109" s="107">
        <v>-45286</v>
      </c>
      <c r="AG109" s="108">
        <v>-52645</v>
      </c>
      <c r="AH109" s="108">
        <v>-42658</v>
      </c>
      <c r="AI109" s="108">
        <v>-74271</v>
      </c>
      <c r="AJ109" s="108">
        <v>-97931</v>
      </c>
      <c r="AK109" s="108">
        <v>-140589</v>
      </c>
      <c r="AL109" s="108">
        <v>-214860</v>
      </c>
      <c r="AM109" s="107">
        <v>-36842</v>
      </c>
      <c r="AN109" s="108">
        <f t="shared" si="282"/>
        <v>-52667</v>
      </c>
      <c r="AO109" s="108"/>
      <c r="AP109" s="108">
        <f t="shared" si="283"/>
        <v>-43027</v>
      </c>
      <c r="AQ109" s="108">
        <v>-89509</v>
      </c>
      <c r="AR109" s="108">
        <v>-132591</v>
      </c>
      <c r="AS109" s="108">
        <v>-175618</v>
      </c>
      <c r="AT109" s="107">
        <v>-26312</v>
      </c>
      <c r="AU109" s="107">
        <f t="shared" si="363"/>
        <v>-40145</v>
      </c>
      <c r="AV109" s="107">
        <f t="shared" ref="AV109:AV111" si="407">AY109-AX109</f>
        <v>-30536</v>
      </c>
      <c r="AW109" s="107">
        <f t="shared" si="284"/>
        <v>-46670</v>
      </c>
      <c r="AX109" s="107">
        <v>-66457</v>
      </c>
      <c r="AY109" s="107">
        <v>-96993</v>
      </c>
      <c r="AZ109" s="107">
        <v>-143663</v>
      </c>
      <c r="BA109" s="107">
        <v>-28011</v>
      </c>
      <c r="BB109" s="107">
        <f t="shared" si="364"/>
        <v>-22244</v>
      </c>
      <c r="BC109" s="107">
        <f t="shared" si="365"/>
        <v>-28699</v>
      </c>
      <c r="BD109" s="107">
        <f>BG109-BF109</f>
        <v>-31655</v>
      </c>
      <c r="BE109" s="107">
        <v>-50255</v>
      </c>
      <c r="BF109" s="107">
        <v>-78954</v>
      </c>
      <c r="BG109" s="107">
        <v>-110609</v>
      </c>
      <c r="BH109" s="107">
        <v>-36017</v>
      </c>
      <c r="BI109" s="107">
        <f>BL109-BH109</f>
        <v>-31553</v>
      </c>
      <c r="BJ109" s="107">
        <f>BM109-BL109</f>
        <v>-32189</v>
      </c>
      <c r="BK109" s="107">
        <f>BN109-BM109</f>
        <v>-38269</v>
      </c>
      <c r="BL109" s="107">
        <v>-67570</v>
      </c>
      <c r="BM109" s="107">
        <v>-99759</v>
      </c>
      <c r="BN109" s="107">
        <v>-138028</v>
      </c>
      <c r="BO109" s="107">
        <v>-27361</v>
      </c>
      <c r="BP109" s="107">
        <f>BS109-BO109</f>
        <v>-31495</v>
      </c>
      <c r="BQ109" s="107">
        <f>BT109-BS109</f>
        <v>-29306</v>
      </c>
      <c r="BR109" s="107">
        <f t="shared" si="374"/>
        <v>-38292</v>
      </c>
      <c r="BS109" s="107">
        <v>-58856</v>
      </c>
      <c r="BT109" s="107">
        <v>-88162</v>
      </c>
      <c r="BU109" s="107">
        <v>-126454</v>
      </c>
      <c r="BV109" s="107">
        <v>-34126</v>
      </c>
      <c r="BW109" s="111">
        <f t="shared" si="366"/>
        <v>-35542</v>
      </c>
      <c r="BX109" s="107">
        <f>CA109-BZ109</f>
        <v>-35754</v>
      </c>
      <c r="BY109" s="107">
        <f>CB109-CA109</f>
        <v>-46302</v>
      </c>
      <c r="BZ109" s="107">
        <v>-69668</v>
      </c>
      <c r="CA109" s="107">
        <v>-105422</v>
      </c>
      <c r="CB109" s="107">
        <v>-151724</v>
      </c>
      <c r="CC109" s="107">
        <v>-33699</v>
      </c>
      <c r="CD109" s="107">
        <f>CG109-CC109</f>
        <v>-42412</v>
      </c>
      <c r="CE109" s="107">
        <f>CH109-CG109</f>
        <v>-62256</v>
      </c>
      <c r="CF109" s="107">
        <f>CI109-CH109</f>
        <v>-54568</v>
      </c>
      <c r="CG109" s="107">
        <v>-76111</v>
      </c>
      <c r="CH109" s="107">
        <v>-138367</v>
      </c>
      <c r="CI109" s="107">
        <v>-192935</v>
      </c>
      <c r="CJ109" s="107">
        <v>-74281</v>
      </c>
      <c r="CK109" s="107">
        <f>CN109-CJ109</f>
        <v>-43338</v>
      </c>
      <c r="CL109" s="107"/>
      <c r="CM109" s="107"/>
      <c r="CN109" s="107">
        <v>-117619</v>
      </c>
      <c r="CO109" s="107"/>
    </row>
    <row r="110" spans="1:93" s="92" customFormat="1" x14ac:dyDescent="0.25">
      <c r="A110" s="121" t="str">
        <f>Language!AA98</f>
        <v>Depreciação e Amortização</v>
      </c>
      <c r="B110" s="108">
        <v>-2672</v>
      </c>
      <c r="C110" s="108">
        <v>-3713</v>
      </c>
      <c r="D110" s="108">
        <v>-4108</v>
      </c>
      <c r="E110" s="106">
        <v>-5743</v>
      </c>
      <c r="F110" s="108">
        <v>-3155</v>
      </c>
      <c r="G110" s="108">
        <v>-3769</v>
      </c>
      <c r="H110" s="108">
        <v>-3448</v>
      </c>
      <c r="I110" s="106">
        <v>-3563</v>
      </c>
      <c r="J110" s="108">
        <v>-3570</v>
      </c>
      <c r="K110" s="108">
        <v>-3219.2117653019995</v>
      </c>
      <c r="L110" s="108">
        <v>-3277.8422</v>
      </c>
      <c r="M110" s="106">
        <v>-3379.7366000000011</v>
      </c>
      <c r="N110" s="108">
        <v>-3612</v>
      </c>
      <c r="O110" s="108">
        <v>-3875</v>
      </c>
      <c r="P110" s="108">
        <v>-3935</v>
      </c>
      <c r="Q110" s="108">
        <v>-736</v>
      </c>
      <c r="R110" s="107">
        <v>-3579</v>
      </c>
      <c r="S110" s="108">
        <v>-3965</v>
      </c>
      <c r="T110" s="108">
        <f t="shared" si="401"/>
        <v>-4899</v>
      </c>
      <c r="U110" s="108">
        <f t="shared" si="402"/>
        <v>-5487</v>
      </c>
      <c r="V110" s="108">
        <f t="shared" si="403"/>
        <v>-7544</v>
      </c>
      <c r="W110" s="108">
        <v>-12443</v>
      </c>
      <c r="X110" s="108">
        <v>-17930</v>
      </c>
      <c r="Y110" s="107">
        <v>-5353</v>
      </c>
      <c r="Z110" s="108">
        <f t="shared" si="404"/>
        <v>-5609</v>
      </c>
      <c r="AA110" s="108">
        <f t="shared" si="405"/>
        <v>-5393</v>
      </c>
      <c r="AB110" s="108">
        <f t="shared" si="406"/>
        <v>-3966</v>
      </c>
      <c r="AC110" s="108">
        <v>-10962</v>
      </c>
      <c r="AD110" s="108">
        <v>-16355</v>
      </c>
      <c r="AE110" s="108">
        <v>-20321</v>
      </c>
      <c r="AF110" s="107">
        <v>-6410</v>
      </c>
      <c r="AG110" s="108">
        <v>-4087</v>
      </c>
      <c r="AH110" s="108">
        <v>-5560</v>
      </c>
      <c r="AI110" s="108">
        <v>-3016</v>
      </c>
      <c r="AJ110" s="108">
        <v>-10497</v>
      </c>
      <c r="AK110" s="108">
        <v>-16057</v>
      </c>
      <c r="AL110" s="108">
        <v>-19073</v>
      </c>
      <c r="AM110" s="107">
        <v>-2816</v>
      </c>
      <c r="AN110" s="108">
        <f t="shared" si="282"/>
        <v>-2801</v>
      </c>
      <c r="AO110" s="108"/>
      <c r="AP110" s="108">
        <f t="shared" si="283"/>
        <v>-1046</v>
      </c>
      <c r="AQ110" s="108">
        <v>-5617</v>
      </c>
      <c r="AR110" s="108">
        <v>-9287</v>
      </c>
      <c r="AS110" s="108">
        <v>-10333</v>
      </c>
      <c r="AT110" s="107">
        <v>-4278</v>
      </c>
      <c r="AU110" s="107">
        <f t="shared" si="363"/>
        <v>-5001</v>
      </c>
      <c r="AV110" s="107">
        <f t="shared" si="407"/>
        <v>-3218</v>
      </c>
      <c r="AW110" s="107">
        <f t="shared" si="284"/>
        <v>-3624</v>
      </c>
      <c r="AX110" s="107">
        <v>-9279</v>
      </c>
      <c r="AY110" s="107">
        <v>-12497</v>
      </c>
      <c r="AZ110" s="107">
        <v>-16121</v>
      </c>
      <c r="BA110" s="107">
        <v>-4504</v>
      </c>
      <c r="BB110" s="107">
        <f t="shared" si="364"/>
        <v>-2818</v>
      </c>
      <c r="BC110" s="107">
        <f t="shared" si="365"/>
        <v>-5566</v>
      </c>
      <c r="BD110" s="107">
        <f t="shared" ref="BD110:BD111" si="408">BG110-BF110</f>
        <v>-5516</v>
      </c>
      <c r="BE110" s="107">
        <v>-7322</v>
      </c>
      <c r="BF110" s="107">
        <v>-12888</v>
      </c>
      <c r="BG110" s="107">
        <v>-18404</v>
      </c>
      <c r="BH110" s="107">
        <v>-2670</v>
      </c>
      <c r="BI110" s="107">
        <f t="shared" ref="BI110:BI111" si="409">BL110-BH110</f>
        <v>-2961</v>
      </c>
      <c r="BJ110" s="107">
        <f t="shared" ref="BJ110:BJ111" si="410">BM110-BL110</f>
        <v>-3118</v>
      </c>
      <c r="BK110" s="107">
        <f t="shared" ref="BK110:BK111" si="411">BN110-BM110</f>
        <v>-3094</v>
      </c>
      <c r="BL110" s="107">
        <v>-5631</v>
      </c>
      <c r="BM110" s="107">
        <v>-8749</v>
      </c>
      <c r="BN110" s="107">
        <v>-11843</v>
      </c>
      <c r="BO110" s="107">
        <v>-2360</v>
      </c>
      <c r="BP110" s="107">
        <f t="shared" ref="BP110:BP111" si="412">BS110-BO110</f>
        <v>-2997</v>
      </c>
      <c r="BQ110" s="107">
        <f t="shared" ref="BQ110:BQ111" si="413">BT110-BS110</f>
        <v>-3218</v>
      </c>
      <c r="BR110" s="107">
        <f t="shared" si="374"/>
        <v>-2831</v>
      </c>
      <c r="BS110" s="107">
        <v>-5357</v>
      </c>
      <c r="BT110" s="107">
        <v>-8575</v>
      </c>
      <c r="BU110" s="107">
        <v>-11406</v>
      </c>
      <c r="BV110" s="107">
        <v>-3179</v>
      </c>
      <c r="BW110" s="111">
        <f t="shared" si="366"/>
        <v>-2855</v>
      </c>
      <c r="BX110" s="107">
        <f t="shared" ref="BX110:BX111" si="414">CA110-BZ110</f>
        <v>-2481</v>
      </c>
      <c r="BY110" s="107">
        <f t="shared" ref="BY110:BY111" si="415">CB110-CA110</f>
        <v>-2610</v>
      </c>
      <c r="BZ110" s="107">
        <v>-6034</v>
      </c>
      <c r="CA110" s="107">
        <v>-8515</v>
      </c>
      <c r="CB110" s="107">
        <v>-11125</v>
      </c>
      <c r="CC110" s="107">
        <v>-2759</v>
      </c>
      <c r="CD110" s="107">
        <f t="shared" ref="CD110:CD111" si="416">CG110-CC110</f>
        <v>-3753</v>
      </c>
      <c r="CE110" s="107">
        <f t="shared" ref="CE110:CE111" si="417">CH110-CG110</f>
        <v>-3064</v>
      </c>
      <c r="CF110" s="107">
        <f t="shared" ref="CF110:CF111" si="418">CI110-CH110</f>
        <v>-1431</v>
      </c>
      <c r="CG110" s="107">
        <v>-6512</v>
      </c>
      <c r="CH110" s="107">
        <v>-9576</v>
      </c>
      <c r="CI110" s="107">
        <v>-11007</v>
      </c>
      <c r="CJ110" s="107">
        <v>-1849</v>
      </c>
      <c r="CK110" s="107">
        <f t="shared" ref="CK110:CK111" si="419">CN110-CJ110</f>
        <v>-1790</v>
      </c>
      <c r="CL110" s="107"/>
      <c r="CM110" s="107"/>
      <c r="CN110" s="107">
        <v>-3639</v>
      </c>
      <c r="CO110" s="107"/>
    </row>
    <row r="111" spans="1:93" s="92" customFormat="1" x14ac:dyDescent="0.25">
      <c r="A111" s="121" t="str">
        <f>Language!AA99</f>
        <v>Outras Receitas (Despesas) Operacionais</v>
      </c>
      <c r="B111" s="108">
        <v>629</v>
      </c>
      <c r="C111" s="108">
        <v>-38</v>
      </c>
      <c r="D111" s="108">
        <v>-12592</v>
      </c>
      <c r="E111" s="106">
        <v>13449</v>
      </c>
      <c r="F111" s="108">
        <v>4289</v>
      </c>
      <c r="G111" s="108">
        <v>1247</v>
      </c>
      <c r="H111" s="108">
        <v>-7068</v>
      </c>
      <c r="I111" s="106">
        <v>9481</v>
      </c>
      <c r="J111" s="108">
        <v>16168</v>
      </c>
      <c r="K111" s="108">
        <v>1216</v>
      </c>
      <c r="L111" s="108">
        <v>-1550.9473999999991</v>
      </c>
      <c r="M111" s="106">
        <v>12044.947399999997</v>
      </c>
      <c r="N111" s="108">
        <v>6593</v>
      </c>
      <c r="O111" s="108">
        <v>2832</v>
      </c>
      <c r="P111" s="108">
        <v>11032</v>
      </c>
      <c r="Q111" s="108">
        <v>-650904</v>
      </c>
      <c r="R111" s="107">
        <v>9366</v>
      </c>
      <c r="S111" s="108">
        <v>-4516</v>
      </c>
      <c r="T111" s="108">
        <f t="shared" si="401"/>
        <v>4473</v>
      </c>
      <c r="U111" s="108">
        <f t="shared" si="402"/>
        <v>180187</v>
      </c>
      <c r="V111" s="108">
        <f t="shared" si="403"/>
        <v>4850</v>
      </c>
      <c r="W111" s="108">
        <v>9323</v>
      </c>
      <c r="X111" s="108">
        <v>189510</v>
      </c>
      <c r="Y111" s="107">
        <v>-362</v>
      </c>
      <c r="Z111" s="108">
        <f t="shared" si="404"/>
        <v>13692</v>
      </c>
      <c r="AA111" s="108">
        <f t="shared" si="405"/>
        <v>5631</v>
      </c>
      <c r="AB111" s="108">
        <f t="shared" si="406"/>
        <v>-5919</v>
      </c>
      <c r="AC111" s="108">
        <v>13330</v>
      </c>
      <c r="AD111" s="108">
        <v>18961</v>
      </c>
      <c r="AE111" s="108">
        <v>13042</v>
      </c>
      <c r="AF111" s="107">
        <v>-6202</v>
      </c>
      <c r="AG111" s="108">
        <v>-347066</v>
      </c>
      <c r="AH111" s="108">
        <v>-337656</v>
      </c>
      <c r="AI111" s="108">
        <v>878174</v>
      </c>
      <c r="AJ111" s="108">
        <v>-353268</v>
      </c>
      <c r="AK111" s="108">
        <v>-690924</v>
      </c>
      <c r="AL111" s="108">
        <v>187250</v>
      </c>
      <c r="AM111" s="107">
        <v>14587</v>
      </c>
      <c r="AN111" s="108">
        <f t="shared" si="282"/>
        <v>-20226</v>
      </c>
      <c r="AO111" s="108"/>
      <c r="AP111" s="108">
        <f t="shared" si="283"/>
        <v>-194727</v>
      </c>
      <c r="AQ111" s="108">
        <v>-5639</v>
      </c>
      <c r="AR111" s="108">
        <v>-43678</v>
      </c>
      <c r="AS111" s="108">
        <v>-238405</v>
      </c>
      <c r="AT111" s="107">
        <v>-57</v>
      </c>
      <c r="AU111" s="107">
        <f t="shared" si="363"/>
        <v>-4169</v>
      </c>
      <c r="AV111" s="107">
        <f t="shared" si="407"/>
        <v>-20665</v>
      </c>
      <c r="AW111" s="107">
        <f t="shared" si="284"/>
        <v>29655</v>
      </c>
      <c r="AX111" s="107">
        <v>-4226</v>
      </c>
      <c r="AY111" s="107">
        <v>-24891</v>
      </c>
      <c r="AZ111" s="107">
        <v>4764</v>
      </c>
      <c r="BA111" s="107">
        <v>-892</v>
      </c>
      <c r="BB111" s="107">
        <f t="shared" si="364"/>
        <v>-4009</v>
      </c>
      <c r="BC111" s="107">
        <f t="shared" si="365"/>
        <v>-11799</v>
      </c>
      <c r="BD111" s="107">
        <f t="shared" si="408"/>
        <v>263189</v>
      </c>
      <c r="BE111" s="107">
        <v>-4901</v>
      </c>
      <c r="BF111" s="107">
        <v>-16700</v>
      </c>
      <c r="BG111" s="107">
        <v>246489</v>
      </c>
      <c r="BH111" s="107">
        <v>-350</v>
      </c>
      <c r="BI111" s="107">
        <f t="shared" si="409"/>
        <v>7155</v>
      </c>
      <c r="BJ111" s="107">
        <f t="shared" si="410"/>
        <v>-1674</v>
      </c>
      <c r="BK111" s="107">
        <f t="shared" si="411"/>
        <v>22336</v>
      </c>
      <c r="BL111" s="107">
        <v>6805</v>
      </c>
      <c r="BM111" s="107">
        <v>5131</v>
      </c>
      <c r="BN111" s="107">
        <v>27467</v>
      </c>
      <c r="BO111" s="107">
        <v>404</v>
      </c>
      <c r="BP111" s="107">
        <f t="shared" si="412"/>
        <v>2135</v>
      </c>
      <c r="BQ111" s="107">
        <f t="shared" si="413"/>
        <v>-4748</v>
      </c>
      <c r="BR111" s="107">
        <f t="shared" si="374"/>
        <v>16027</v>
      </c>
      <c r="BS111" s="107">
        <v>2539</v>
      </c>
      <c r="BT111" s="107">
        <v>-2209</v>
      </c>
      <c r="BU111" s="107">
        <v>13818</v>
      </c>
      <c r="BV111" s="107">
        <v>-5126</v>
      </c>
      <c r="BW111" s="111">
        <f t="shared" si="366"/>
        <v>2248</v>
      </c>
      <c r="BX111" s="107">
        <f t="shared" si="414"/>
        <v>-2043</v>
      </c>
      <c r="BY111" s="107">
        <f t="shared" si="415"/>
        <v>5436</v>
      </c>
      <c r="BZ111" s="107">
        <v>-2878</v>
      </c>
      <c r="CA111" s="107">
        <v>-4921</v>
      </c>
      <c r="CB111" s="107">
        <v>515</v>
      </c>
      <c r="CC111" s="107">
        <v>152</v>
      </c>
      <c r="CD111" s="107">
        <f t="shared" si="416"/>
        <v>12662</v>
      </c>
      <c r="CE111" s="107">
        <f t="shared" si="417"/>
        <v>15799</v>
      </c>
      <c r="CF111" s="107">
        <f t="shared" si="418"/>
        <v>2482</v>
      </c>
      <c r="CG111" s="107">
        <v>12814</v>
      </c>
      <c r="CH111" s="107">
        <v>28613</v>
      </c>
      <c r="CI111" s="107">
        <v>31095</v>
      </c>
      <c r="CJ111" s="107">
        <v>-1462</v>
      </c>
      <c r="CK111" s="107">
        <f t="shared" si="419"/>
        <v>1462</v>
      </c>
      <c r="CL111" s="107"/>
      <c r="CM111" s="107"/>
      <c r="CN111" s="107">
        <v>0</v>
      </c>
      <c r="CO111" s="107"/>
    </row>
    <row r="112" spans="1:93" s="92" customFormat="1" ht="13" x14ac:dyDescent="0.3">
      <c r="A112" s="126" t="str">
        <f>Language!AA100</f>
        <v>EBIT - Lucro Operacional</v>
      </c>
      <c r="B112" s="127">
        <f t="shared" ref="B112:M112" si="420">SUM(B96,B97,B108)</f>
        <v>46750</v>
      </c>
      <c r="C112" s="127">
        <f t="shared" si="420"/>
        <v>23776</v>
      </c>
      <c r="D112" s="127">
        <f t="shared" si="420"/>
        <v>28233</v>
      </c>
      <c r="E112" s="128">
        <f t="shared" si="420"/>
        <v>75585</v>
      </c>
      <c r="F112" s="127">
        <f t="shared" si="420"/>
        <v>57564</v>
      </c>
      <c r="G112" s="127">
        <f t="shared" si="420"/>
        <v>33420</v>
      </c>
      <c r="H112" s="127">
        <f t="shared" si="420"/>
        <v>47878</v>
      </c>
      <c r="I112" s="128">
        <f t="shared" si="420"/>
        <v>68625</v>
      </c>
      <c r="J112" s="127">
        <f t="shared" si="420"/>
        <v>96186</v>
      </c>
      <c r="K112" s="127">
        <f t="shared" si="420"/>
        <v>60464.996611825001</v>
      </c>
      <c r="L112" s="127">
        <f t="shared" si="420"/>
        <v>71341.830000000016</v>
      </c>
      <c r="M112" s="128">
        <f t="shared" si="420"/>
        <v>108956.94039999999</v>
      </c>
      <c r="N112" s="127">
        <f t="shared" ref="N112:S112" si="421">SUM(N96,N97,N108)</f>
        <v>297841</v>
      </c>
      <c r="O112" s="127">
        <f>SUM(O96,O97,O108)</f>
        <v>89655</v>
      </c>
      <c r="P112" s="127">
        <f t="shared" si="421"/>
        <v>128331</v>
      </c>
      <c r="Q112" s="127">
        <f t="shared" si="421"/>
        <v>-555542</v>
      </c>
      <c r="R112" s="129">
        <f t="shared" si="421"/>
        <v>300233</v>
      </c>
      <c r="S112" s="127">
        <f t="shared" si="421"/>
        <v>87762</v>
      </c>
      <c r="T112" s="127">
        <f t="shared" ref="T112:V112" si="422">SUM(T96,T97,T108)</f>
        <v>145131</v>
      </c>
      <c r="U112" s="127">
        <f t="shared" si="422"/>
        <v>281622</v>
      </c>
      <c r="V112" s="127">
        <f t="shared" si="422"/>
        <v>387995</v>
      </c>
      <c r="W112" s="127">
        <f>SUM(W96,W97,W108)</f>
        <v>533126</v>
      </c>
      <c r="X112" s="127">
        <f>SUM(X96,X97,X108)</f>
        <v>814748</v>
      </c>
      <c r="Y112" s="129">
        <f>SUM(Y96,Y97,Y108)</f>
        <v>113361</v>
      </c>
      <c r="Z112" s="127">
        <f>SUM(Z96,Z97,Z108)</f>
        <v>100783</v>
      </c>
      <c r="AA112" s="127">
        <f t="shared" ref="AA112:AB112" si="423">SUM(AA96,AA97,AA108)</f>
        <v>106679</v>
      </c>
      <c r="AB112" s="127">
        <f t="shared" si="423"/>
        <v>124853</v>
      </c>
      <c r="AC112" s="127">
        <f t="shared" ref="AC112:AE112" si="424">SUM(AC96,AC97,AC108)</f>
        <v>214144</v>
      </c>
      <c r="AD112" s="127">
        <f t="shared" si="424"/>
        <v>320823</v>
      </c>
      <c r="AE112" s="127">
        <f t="shared" si="424"/>
        <v>445676</v>
      </c>
      <c r="AF112" s="129">
        <v>95101</v>
      </c>
      <c r="AG112" s="127">
        <v>-304816</v>
      </c>
      <c r="AH112" s="127">
        <v>-205110</v>
      </c>
      <c r="AI112" s="127">
        <v>943538</v>
      </c>
      <c r="AJ112" s="127">
        <v>-209715</v>
      </c>
      <c r="AK112" s="127">
        <v>-414825</v>
      </c>
      <c r="AL112" s="127">
        <v>528713</v>
      </c>
      <c r="AM112" s="129">
        <f t="shared" ref="AM112:AQ112" si="425">SUM(AM96,AM97,AM108)</f>
        <v>93003</v>
      </c>
      <c r="AN112" s="127">
        <f t="shared" si="282"/>
        <v>20175</v>
      </c>
      <c r="AO112" s="127"/>
      <c r="AP112" s="127">
        <f t="shared" si="283"/>
        <v>-180465</v>
      </c>
      <c r="AQ112" s="127">
        <f t="shared" si="425"/>
        <v>113178</v>
      </c>
      <c r="AR112" s="127">
        <f t="shared" ref="AR112:AS112" si="426">SUM(AR96,AR97,AR108)</f>
        <v>129352</v>
      </c>
      <c r="AS112" s="127">
        <f t="shared" si="426"/>
        <v>-51113</v>
      </c>
      <c r="AT112" s="129">
        <f t="shared" ref="AT112:AU112" si="427">SUM(AT96,AT97,AT108)</f>
        <v>312</v>
      </c>
      <c r="AU112" s="750">
        <f t="shared" si="427"/>
        <v>-10474</v>
      </c>
      <c r="AV112" s="129">
        <f>SUM(AV96,AV97,AV108)</f>
        <v>6159</v>
      </c>
      <c r="AW112" s="129">
        <f t="shared" si="284"/>
        <v>30748</v>
      </c>
      <c r="AX112" s="750">
        <f t="shared" ref="AX112:BE112" si="428">SUM(AX96,AX97,AX108)</f>
        <v>-10162</v>
      </c>
      <c r="AY112" s="129">
        <f t="shared" si="428"/>
        <v>-4003</v>
      </c>
      <c r="AZ112" s="129">
        <f t="shared" si="428"/>
        <v>26745</v>
      </c>
      <c r="BA112" s="129">
        <f t="shared" si="428"/>
        <v>27789</v>
      </c>
      <c r="BB112" s="129">
        <f t="shared" si="428"/>
        <v>6977</v>
      </c>
      <c r="BC112" s="129">
        <f t="shared" si="428"/>
        <v>-18976</v>
      </c>
      <c r="BD112" s="129">
        <f t="shared" si="428"/>
        <v>260564</v>
      </c>
      <c r="BE112" s="750">
        <f t="shared" si="428"/>
        <v>34766</v>
      </c>
      <c r="BF112" s="750">
        <f t="shared" ref="BF112:BG112" si="429">SUM(BF96,BF97,BF108)</f>
        <v>15790</v>
      </c>
      <c r="BG112" s="750">
        <f t="shared" si="429"/>
        <v>276354</v>
      </c>
      <c r="BH112" s="750">
        <f t="shared" ref="BH112:BL112" si="430">SUM(BH96,BH97,BH108)</f>
        <v>-13852</v>
      </c>
      <c r="BI112" s="750">
        <f t="shared" si="430"/>
        <v>-11040</v>
      </c>
      <c r="BJ112" s="750">
        <f t="shared" si="430"/>
        <v>72953</v>
      </c>
      <c r="BK112" s="750">
        <f t="shared" si="430"/>
        <v>21145</v>
      </c>
      <c r="BL112" s="750">
        <f t="shared" si="430"/>
        <v>-24892</v>
      </c>
      <c r="BM112" s="750">
        <f t="shared" ref="BM112" si="431">SUM(BM96,BM97,BM108)</f>
        <v>48061</v>
      </c>
      <c r="BN112" s="750">
        <f>SUM(BN96,BN97,BN108)</f>
        <v>69206</v>
      </c>
      <c r="BO112" s="750">
        <f>SUM(BO96,BO97,BO108)</f>
        <v>10601</v>
      </c>
      <c r="BP112" s="750">
        <f>SUM(BP96,BP97,BP108)</f>
        <v>291876</v>
      </c>
      <c r="BQ112" s="750">
        <f>SUM(BQ96,BQ97,BQ108)</f>
        <v>-44552</v>
      </c>
      <c r="BR112" s="750">
        <f t="shared" ref="BR112" si="432">SUM(BR96,BR97,BR108)</f>
        <v>6494</v>
      </c>
      <c r="BS112" s="750">
        <f t="shared" ref="BS112:BX112" si="433">SUM(BS96,BS97,BS108)</f>
        <v>302477</v>
      </c>
      <c r="BT112" s="750">
        <f t="shared" si="433"/>
        <v>257925</v>
      </c>
      <c r="BU112" s="750">
        <f t="shared" si="433"/>
        <v>264419</v>
      </c>
      <c r="BV112" s="750">
        <f t="shared" si="433"/>
        <v>-19607</v>
      </c>
      <c r="BW112" s="750">
        <f t="shared" si="433"/>
        <v>-10656</v>
      </c>
      <c r="BX112" s="750">
        <f t="shared" si="433"/>
        <v>73734</v>
      </c>
      <c r="BY112" s="750">
        <f t="shared" ref="BY112:CI112" si="434">SUM(BY96,BY97,BY108)</f>
        <v>49287</v>
      </c>
      <c r="BZ112" s="750">
        <f t="shared" si="434"/>
        <v>-30263</v>
      </c>
      <c r="CA112" s="750">
        <f t="shared" si="434"/>
        <v>43471</v>
      </c>
      <c r="CB112" s="750">
        <f t="shared" si="434"/>
        <v>92758</v>
      </c>
      <c r="CC112" s="750">
        <f t="shared" si="434"/>
        <v>35833</v>
      </c>
      <c r="CD112" s="750">
        <f>SUM(CD96,CD97,CD108)</f>
        <v>56748</v>
      </c>
      <c r="CE112" s="750">
        <f t="shared" si="434"/>
        <v>143294</v>
      </c>
      <c r="CF112" s="750">
        <f t="shared" si="434"/>
        <v>93034</v>
      </c>
      <c r="CG112" s="750">
        <f t="shared" si="434"/>
        <v>92581</v>
      </c>
      <c r="CH112" s="750">
        <f t="shared" si="434"/>
        <v>235875</v>
      </c>
      <c r="CI112" s="750">
        <f t="shared" si="434"/>
        <v>328909</v>
      </c>
      <c r="CJ112" s="750">
        <v>29898</v>
      </c>
      <c r="CK112" s="750">
        <f t="shared" ref="CK112:CO112" si="435">SUM(CK96,CK97,CK108)</f>
        <v>25286</v>
      </c>
      <c r="CL112" s="750">
        <f t="shared" si="435"/>
        <v>0</v>
      </c>
      <c r="CM112" s="750">
        <f t="shared" si="435"/>
        <v>0</v>
      </c>
      <c r="CN112" s="750">
        <f t="shared" si="435"/>
        <v>55184</v>
      </c>
      <c r="CO112" s="750">
        <f t="shared" si="435"/>
        <v>0</v>
      </c>
    </row>
    <row r="113" spans="1:93" s="100" customFormat="1" ht="13" x14ac:dyDescent="0.3">
      <c r="A113" s="137" t="str">
        <f>Language!AA101</f>
        <v>Resultado de Equivalência Patrimonial</v>
      </c>
      <c r="B113" s="140">
        <v>0</v>
      </c>
      <c r="C113" s="140">
        <v>0</v>
      </c>
      <c r="D113" s="140">
        <v>0</v>
      </c>
      <c r="E113" s="131">
        <v>0</v>
      </c>
      <c r="F113" s="140">
        <v>0</v>
      </c>
      <c r="G113" s="140">
        <v>0</v>
      </c>
      <c r="H113" s="140">
        <v>0</v>
      </c>
      <c r="I113" s="131">
        <v>0</v>
      </c>
      <c r="J113" s="140">
        <v>5878</v>
      </c>
      <c r="K113" s="140">
        <v>-460.26850257000024</v>
      </c>
      <c r="L113" s="140">
        <v>490.00190000000111</v>
      </c>
      <c r="M113" s="131">
        <v>-3063.0009</v>
      </c>
      <c r="N113" s="140">
        <v>-1372</v>
      </c>
      <c r="O113" s="140">
        <v>1482</v>
      </c>
      <c r="P113" s="140">
        <v>-2082</v>
      </c>
      <c r="Q113" s="140">
        <v>-228</v>
      </c>
      <c r="R113" s="132">
        <v>0</v>
      </c>
      <c r="S113" s="140">
        <v>0</v>
      </c>
      <c r="T113" s="140">
        <f>W113-S113-R113</f>
        <v>0</v>
      </c>
      <c r="U113" s="140">
        <f>X113-W113</f>
        <v>0</v>
      </c>
      <c r="V113" s="140">
        <v>0</v>
      </c>
      <c r="W113" s="140">
        <v>0</v>
      </c>
      <c r="X113" s="140">
        <v>0</v>
      </c>
      <c r="Y113" s="132">
        <v>0</v>
      </c>
      <c r="Z113" s="108">
        <f>AC113-Y113</f>
        <v>0</v>
      </c>
      <c r="AA113" s="130">
        <f>AD113-Z113-Y113</f>
        <v>0</v>
      </c>
      <c r="AB113" s="130">
        <f>AE113-AD113</f>
        <v>0</v>
      </c>
      <c r="AC113" s="130">
        <v>0</v>
      </c>
      <c r="AD113" s="130">
        <v>0</v>
      </c>
      <c r="AE113" s="140">
        <v>0</v>
      </c>
      <c r="AF113" s="132">
        <v>0</v>
      </c>
      <c r="AG113" s="108">
        <v>0</v>
      </c>
      <c r="AH113" s="108">
        <v>0</v>
      </c>
      <c r="AI113" s="130">
        <v>-234</v>
      </c>
      <c r="AJ113" s="130">
        <v>0</v>
      </c>
      <c r="AK113" s="130">
        <v>0</v>
      </c>
      <c r="AL113" s="140">
        <v>-234</v>
      </c>
      <c r="AM113" s="132">
        <v>0</v>
      </c>
      <c r="AN113" s="130">
        <f t="shared" si="282"/>
        <v>0</v>
      </c>
      <c r="AO113" s="130"/>
      <c r="AP113" s="130">
        <f t="shared" si="283"/>
        <v>0</v>
      </c>
      <c r="AQ113" s="130">
        <v>0</v>
      </c>
      <c r="AR113" s="130"/>
      <c r="AS113" s="140"/>
      <c r="AT113" s="132"/>
      <c r="AU113" s="132"/>
      <c r="AV113" s="132"/>
      <c r="AW113" s="132">
        <f t="shared" si="284"/>
        <v>0</v>
      </c>
      <c r="AX113" s="132"/>
      <c r="AY113" s="132"/>
      <c r="AZ113" s="132">
        <v>0</v>
      </c>
      <c r="BA113" s="132">
        <v>0</v>
      </c>
      <c r="BB113" s="132">
        <f>BE113</f>
        <v>0</v>
      </c>
      <c r="BC113" s="132"/>
      <c r="BD113" s="132"/>
      <c r="BE113" s="132">
        <v>0</v>
      </c>
      <c r="BF113" s="132">
        <v>0</v>
      </c>
      <c r="BG113" s="132"/>
      <c r="BH113" s="132"/>
      <c r="BI113" s="132"/>
      <c r="BJ113" s="132"/>
      <c r="BK113" s="132"/>
      <c r="BL113" s="132"/>
      <c r="BM113" s="132"/>
      <c r="BN113" s="132"/>
      <c r="BO113" s="132"/>
      <c r="BP113" s="132"/>
      <c r="BQ113" s="132"/>
      <c r="BR113" s="132"/>
      <c r="BS113" s="132"/>
      <c r="BT113" s="132"/>
      <c r="BU113" s="132"/>
      <c r="BV113" s="132"/>
      <c r="BW113" s="132"/>
      <c r="BX113" s="132"/>
      <c r="BY113" s="132"/>
      <c r="BZ113" s="132"/>
      <c r="CA113" s="132"/>
      <c r="CB113" s="132"/>
      <c r="CC113" s="132"/>
      <c r="CD113" s="132"/>
      <c r="CE113" s="132"/>
      <c r="CF113" s="132"/>
      <c r="CG113" s="132"/>
      <c r="CH113" s="132"/>
      <c r="CI113" s="132"/>
      <c r="CJ113" s="132"/>
      <c r="CK113" s="132"/>
      <c r="CL113" s="132"/>
      <c r="CM113" s="132"/>
      <c r="CN113" s="132"/>
      <c r="CO113" s="132"/>
    </row>
    <row r="114" spans="1:93" s="100" customFormat="1" ht="13" x14ac:dyDescent="0.3">
      <c r="A114" s="137" t="str">
        <f>Language!AA102</f>
        <v>Resultado Financeiro</v>
      </c>
      <c r="B114" s="100">
        <f>B171</f>
        <v>-33193</v>
      </c>
      <c r="C114" s="100">
        <f t="shared" ref="C114:K114" si="436">C171</f>
        <v>-30662</v>
      </c>
      <c r="D114" s="100">
        <f t="shared" si="436"/>
        <v>-52472</v>
      </c>
      <c r="E114" s="138">
        <f t="shared" si="436"/>
        <v>-39524</v>
      </c>
      <c r="F114" s="100">
        <f t="shared" si="436"/>
        <v>-34144</v>
      </c>
      <c r="G114" s="100">
        <f t="shared" si="436"/>
        <v>-46036</v>
      </c>
      <c r="H114" s="100">
        <f t="shared" si="436"/>
        <v>-42368</v>
      </c>
      <c r="I114" s="138">
        <f t="shared" si="436"/>
        <v>-58273</v>
      </c>
      <c r="J114" s="100">
        <f t="shared" si="436"/>
        <v>-53063.500490745006</v>
      </c>
      <c r="K114" s="100">
        <f t="shared" si="436"/>
        <v>-54214.728109254982</v>
      </c>
      <c r="L114" s="100">
        <f>L171</f>
        <v>-37765.00440000002</v>
      </c>
      <c r="M114" s="138">
        <f>M171</f>
        <v>-77708.767000000007</v>
      </c>
      <c r="N114" s="100">
        <f>N171</f>
        <v>-74893</v>
      </c>
      <c r="O114" s="100">
        <v>-75979</v>
      </c>
      <c r="P114" s="100">
        <f t="shared" ref="P114:R114" si="437">P171</f>
        <v>-87920</v>
      </c>
      <c r="Q114" s="100">
        <f t="shared" si="437"/>
        <v>-54276</v>
      </c>
      <c r="R114" s="139">
        <f t="shared" si="437"/>
        <v>-134391</v>
      </c>
      <c r="S114" s="100">
        <f t="shared" ref="S114:U114" si="438">S171</f>
        <v>-150695</v>
      </c>
      <c r="T114" s="100">
        <f t="shared" si="438"/>
        <v>-139554</v>
      </c>
      <c r="U114" s="100">
        <f t="shared" si="438"/>
        <v>-234682</v>
      </c>
      <c r="V114" s="100">
        <f t="shared" ref="V114" si="439">V171</f>
        <v>-285086</v>
      </c>
      <c r="W114" s="100">
        <f t="shared" ref="W114:X114" si="440">W171</f>
        <v>-424640</v>
      </c>
      <c r="X114" s="100">
        <f t="shared" si="440"/>
        <v>-659322</v>
      </c>
      <c r="Y114" s="139">
        <f t="shared" ref="Y114:AB114" si="441">Y171</f>
        <v>-138125</v>
      </c>
      <c r="Z114" s="120">
        <f t="shared" si="441"/>
        <v>-161631</v>
      </c>
      <c r="AA114" s="120">
        <f t="shared" si="441"/>
        <v>-165587</v>
      </c>
      <c r="AB114" s="120">
        <f t="shared" si="441"/>
        <v>-216046</v>
      </c>
      <c r="AC114" s="120">
        <f t="shared" ref="AC114:AD114" si="442">AC171</f>
        <v>-299756</v>
      </c>
      <c r="AD114" s="120">
        <f t="shared" si="442"/>
        <v>-465343</v>
      </c>
      <c r="AE114" s="100">
        <f t="shared" ref="AE114" si="443">AE171</f>
        <v>-681389</v>
      </c>
      <c r="AF114" s="139">
        <v>-217683</v>
      </c>
      <c r="AG114" s="120">
        <v>-174676</v>
      </c>
      <c r="AH114" s="120">
        <v>-37509</v>
      </c>
      <c r="AI114" s="120">
        <v>-253504</v>
      </c>
      <c r="AJ114" s="120">
        <v>-392359</v>
      </c>
      <c r="AK114" s="120">
        <v>-429868</v>
      </c>
      <c r="AL114" s="100">
        <v>-683372</v>
      </c>
      <c r="AM114" s="139">
        <v>-61883</v>
      </c>
      <c r="AN114" s="120">
        <f t="shared" si="282"/>
        <v>-73980</v>
      </c>
      <c r="AO114" s="120"/>
      <c r="AP114" s="120">
        <f t="shared" si="283"/>
        <v>-119548</v>
      </c>
      <c r="AQ114" s="120">
        <v>-135863</v>
      </c>
      <c r="AR114" s="120">
        <v>-211115</v>
      </c>
      <c r="AS114" s="100">
        <v>-330663</v>
      </c>
      <c r="AT114" s="139">
        <v>-75909</v>
      </c>
      <c r="AU114" s="139">
        <f>AX114-AT114</f>
        <v>-83996</v>
      </c>
      <c r="AV114" s="139">
        <f>AY114-AX114</f>
        <v>-85959</v>
      </c>
      <c r="AW114" s="139">
        <f t="shared" si="284"/>
        <v>-57439</v>
      </c>
      <c r="AX114" s="139">
        <v>-159905</v>
      </c>
      <c r="AY114" s="139">
        <v>-245864</v>
      </c>
      <c r="AZ114" s="139">
        <v>-303303</v>
      </c>
      <c r="BA114" s="139">
        <v>-34919</v>
      </c>
      <c r="BB114" s="139">
        <f>BE114-BA114</f>
        <v>-7492</v>
      </c>
      <c r="BC114" s="139">
        <f>BF114-BE114</f>
        <v>-43375</v>
      </c>
      <c r="BD114" s="139">
        <f>BG114-BF114</f>
        <v>67629</v>
      </c>
      <c r="BE114" s="139">
        <v>-42411</v>
      </c>
      <c r="BF114" s="139">
        <v>-85786</v>
      </c>
      <c r="BG114" s="139">
        <v>-18157</v>
      </c>
      <c r="BH114" s="139">
        <v>-46595</v>
      </c>
      <c r="BI114" s="139">
        <f>BL114-BH114</f>
        <v>-8192</v>
      </c>
      <c r="BJ114" s="139">
        <f>BM114-BL114</f>
        <v>33855</v>
      </c>
      <c r="BK114" s="139">
        <f>BN114-BM114</f>
        <v>-53477</v>
      </c>
      <c r="BL114" s="139">
        <v>-54787</v>
      </c>
      <c r="BM114" s="139">
        <v>-20932</v>
      </c>
      <c r="BN114" s="139">
        <v>-74409</v>
      </c>
      <c r="BO114" s="787">
        <v>-42913</v>
      </c>
      <c r="BP114" s="787">
        <f>BS114-BO114</f>
        <v>-75096</v>
      </c>
      <c r="BQ114" s="787">
        <f>BT114-BS114</f>
        <v>-13535</v>
      </c>
      <c r="BR114" s="787">
        <f>BU114-BT114</f>
        <v>-13119</v>
      </c>
      <c r="BS114" s="787">
        <v>-118009</v>
      </c>
      <c r="BT114" s="787">
        <v>-131544</v>
      </c>
      <c r="BU114" s="787">
        <v>-144663</v>
      </c>
      <c r="BV114" s="787">
        <v>-52054</v>
      </c>
      <c r="BW114" s="787">
        <f>BZ114-BV114</f>
        <v>-45175</v>
      </c>
      <c r="BX114" s="787">
        <f>CA114-BZ114</f>
        <v>-29366</v>
      </c>
      <c r="BY114" s="787">
        <f>CB114-CA114</f>
        <v>-33409</v>
      </c>
      <c r="BZ114" s="787">
        <v>-97229</v>
      </c>
      <c r="CA114" s="787">
        <v>-126595</v>
      </c>
      <c r="CB114" s="787">
        <v>-160004</v>
      </c>
      <c r="CC114" s="787">
        <v>-38354</v>
      </c>
      <c r="CD114" s="787">
        <f>CG114-CC114</f>
        <v>-33647</v>
      </c>
      <c r="CE114" s="787">
        <f>CH114-CG114</f>
        <v>-71019</v>
      </c>
      <c r="CF114" s="787">
        <f>CI114-CH114</f>
        <v>-49165</v>
      </c>
      <c r="CG114" s="787">
        <v>-72001</v>
      </c>
      <c r="CH114" s="787">
        <v>-143020</v>
      </c>
      <c r="CI114" s="787">
        <v>-192185</v>
      </c>
      <c r="CJ114" s="787">
        <v>-43784</v>
      </c>
      <c r="CK114" s="787">
        <f>CN114-CJ114</f>
        <v>-47187</v>
      </c>
      <c r="CL114" s="787"/>
      <c r="CM114" s="787"/>
      <c r="CN114" s="787">
        <v>-90971</v>
      </c>
      <c r="CO114" s="787"/>
    </row>
    <row r="115" spans="1:93" s="100" customFormat="1" ht="13" x14ac:dyDescent="0.3">
      <c r="A115" s="137" t="str">
        <f>Language!AA103</f>
        <v>Imposto sobre o Lucro</v>
      </c>
      <c r="B115" s="100">
        <f>SUM(B116,B117)</f>
        <v>-7259</v>
      </c>
      <c r="C115" s="100">
        <f t="shared" ref="C115:K115" si="444">SUM(C116,C117)</f>
        <v>4199</v>
      </c>
      <c r="D115" s="100">
        <f t="shared" si="444"/>
        <v>4858</v>
      </c>
      <c r="E115" s="138">
        <f t="shared" si="444"/>
        <v>-9404</v>
      </c>
      <c r="F115" s="100">
        <f t="shared" si="444"/>
        <v>-8430</v>
      </c>
      <c r="G115" s="100">
        <f t="shared" si="444"/>
        <v>2235</v>
      </c>
      <c r="H115" s="100">
        <f t="shared" si="444"/>
        <v>-9291</v>
      </c>
      <c r="I115" s="138">
        <f t="shared" si="444"/>
        <v>-1842</v>
      </c>
      <c r="J115" s="100">
        <f t="shared" si="444"/>
        <v>-18367</v>
      </c>
      <c r="K115" s="100">
        <f t="shared" si="444"/>
        <v>-11343</v>
      </c>
      <c r="L115" s="100">
        <f t="shared" ref="L115:R115" si="445">SUM(L116,L117)</f>
        <v>-8552</v>
      </c>
      <c r="M115" s="138">
        <f t="shared" si="445"/>
        <v>-10571</v>
      </c>
      <c r="N115" s="100">
        <f t="shared" si="445"/>
        <v>-31875</v>
      </c>
      <c r="O115" s="100">
        <f t="shared" si="445"/>
        <v>-16325</v>
      </c>
      <c r="P115" s="100">
        <f t="shared" si="445"/>
        <v>-21932</v>
      </c>
      <c r="Q115" s="100">
        <f t="shared" si="445"/>
        <v>-31237</v>
      </c>
      <c r="R115" s="139">
        <f t="shared" si="445"/>
        <v>-77777</v>
      </c>
      <c r="S115" s="100">
        <f t="shared" ref="S115:U115" si="446">SUM(S116,S117)</f>
        <v>-7559</v>
      </c>
      <c r="T115" s="100">
        <f t="shared" si="446"/>
        <v>-15131</v>
      </c>
      <c r="U115" s="100">
        <f t="shared" si="446"/>
        <v>12727</v>
      </c>
      <c r="V115" s="100">
        <f t="shared" ref="V115" si="447">SUM(V116,V117)</f>
        <v>-85336</v>
      </c>
      <c r="W115" s="100">
        <f t="shared" ref="W115:X115" si="448">SUM(W116,W117)</f>
        <v>-100467</v>
      </c>
      <c r="X115" s="100">
        <f t="shared" si="448"/>
        <v>-87740</v>
      </c>
      <c r="Y115" s="139">
        <f t="shared" ref="Y115:AB115" si="449">SUM(Y116,Y117)</f>
        <v>-333</v>
      </c>
      <c r="Z115" s="120">
        <f t="shared" si="449"/>
        <v>16855</v>
      </c>
      <c r="AA115" s="120">
        <f t="shared" si="449"/>
        <v>3501</v>
      </c>
      <c r="AB115" s="120">
        <f t="shared" si="449"/>
        <v>-102918</v>
      </c>
      <c r="AC115" s="120">
        <f t="shared" ref="AC115:AD115" si="450">SUM(AC116,AC117)</f>
        <v>16522</v>
      </c>
      <c r="AD115" s="120">
        <f t="shared" si="450"/>
        <v>20023</v>
      </c>
      <c r="AE115" s="100">
        <f t="shared" ref="AE115" si="451">SUM(AE116,AE117)</f>
        <v>-82895</v>
      </c>
      <c r="AF115" s="139">
        <v>21618</v>
      </c>
      <c r="AG115" s="120">
        <v>15077</v>
      </c>
      <c r="AH115" s="120">
        <v>24287</v>
      </c>
      <c r="AI115" s="120">
        <v>123880</v>
      </c>
      <c r="AJ115" s="120">
        <v>36695</v>
      </c>
      <c r="AK115" s="120">
        <v>60982</v>
      </c>
      <c r="AL115" s="100">
        <v>184862</v>
      </c>
      <c r="AM115" s="139">
        <f t="shared" ref="AM115:AQ115" si="452">SUM(AM116,AM117)</f>
        <v>-5325</v>
      </c>
      <c r="AN115" s="120">
        <f t="shared" si="282"/>
        <v>13207</v>
      </c>
      <c r="AO115" s="120"/>
      <c r="AP115" s="120">
        <f t="shared" si="283"/>
        <v>6825</v>
      </c>
      <c r="AQ115" s="120">
        <f t="shared" si="452"/>
        <v>7882</v>
      </c>
      <c r="AR115" s="120">
        <f t="shared" ref="AR115:AS115" si="453">SUM(AR116,AR117)</f>
        <v>10433</v>
      </c>
      <c r="AS115" s="100">
        <f t="shared" si="453"/>
        <v>17258</v>
      </c>
      <c r="AT115" s="139">
        <f t="shared" ref="AT115:AU115" si="454">SUM(AT116,AT117)</f>
        <v>8372</v>
      </c>
      <c r="AU115" s="139">
        <f t="shared" si="454"/>
        <v>8869</v>
      </c>
      <c r="AV115" s="139">
        <f t="shared" ref="AV115:AZ115" si="455">SUM(AV116,AV117)</f>
        <v>9391</v>
      </c>
      <c r="AW115" s="139">
        <f t="shared" si="284"/>
        <v>57301</v>
      </c>
      <c r="AX115" s="139">
        <f t="shared" ref="AX115" si="456">SUM(AX116,AX117)</f>
        <v>17241</v>
      </c>
      <c r="AY115" s="139">
        <f t="shared" si="455"/>
        <v>26632</v>
      </c>
      <c r="AZ115" s="139">
        <f t="shared" si="455"/>
        <v>83933</v>
      </c>
      <c r="BA115" s="139">
        <f t="shared" ref="BA115:BB115" si="457">SUM(BA116,BA117)</f>
        <v>-7813</v>
      </c>
      <c r="BB115" s="139">
        <f t="shared" si="457"/>
        <v>1620</v>
      </c>
      <c r="BC115" s="139">
        <f t="shared" ref="BC115:BD115" si="458">SUM(BC116,BC117)</f>
        <v>9442</v>
      </c>
      <c r="BD115" s="139">
        <f t="shared" si="458"/>
        <v>-72094</v>
      </c>
      <c r="BE115" s="139">
        <f t="shared" ref="BE115:BG115" si="459">SUM(BE116,BE117)</f>
        <v>-6193</v>
      </c>
      <c r="BF115" s="139">
        <f t="shared" si="459"/>
        <v>3249</v>
      </c>
      <c r="BG115" s="139">
        <f t="shared" si="459"/>
        <v>-68845</v>
      </c>
      <c r="BH115" s="139">
        <f t="shared" ref="BH115:BM115" si="460">SUM(BH116,BH117)</f>
        <v>11424</v>
      </c>
      <c r="BI115" s="139">
        <f t="shared" si="460"/>
        <v>14260</v>
      </c>
      <c r="BJ115" s="139">
        <f t="shared" si="460"/>
        <v>-18045</v>
      </c>
      <c r="BK115" s="139">
        <f t="shared" si="460"/>
        <v>8116</v>
      </c>
      <c r="BL115" s="139">
        <f t="shared" si="460"/>
        <v>25684</v>
      </c>
      <c r="BM115" s="139">
        <f t="shared" si="460"/>
        <v>7639</v>
      </c>
      <c r="BN115" s="139">
        <f t="shared" ref="BN115:BQ115" si="461">SUM(BN116,BN117)</f>
        <v>15755</v>
      </c>
      <c r="BO115" s="139">
        <f t="shared" si="461"/>
        <v>-427</v>
      </c>
      <c r="BP115" s="139">
        <f t="shared" si="461"/>
        <v>-105844</v>
      </c>
      <c r="BQ115" s="139">
        <f t="shared" si="461"/>
        <v>1375</v>
      </c>
      <c r="BR115" s="787">
        <f>BU115-BT115</f>
        <v>-6478</v>
      </c>
      <c r="BS115" s="139">
        <f t="shared" ref="BS115:BT115" si="462">SUM(BS116,BS117)</f>
        <v>-106271</v>
      </c>
      <c r="BT115" s="139">
        <f t="shared" si="462"/>
        <v>-104896</v>
      </c>
      <c r="BU115" s="139">
        <f t="shared" ref="BU115:BV115" si="463">SUM(BU116,BU117)</f>
        <v>-111374</v>
      </c>
      <c r="BV115" s="139">
        <f t="shared" si="463"/>
        <v>2816</v>
      </c>
      <c r="BW115" s="139">
        <f t="shared" ref="BW115:CB115" si="464">SUM(BW116,BW117)</f>
        <v>803</v>
      </c>
      <c r="BX115" s="139">
        <f t="shared" si="464"/>
        <v>63855</v>
      </c>
      <c r="BY115" s="139">
        <f t="shared" si="464"/>
        <v>-8249</v>
      </c>
      <c r="BZ115" s="139">
        <f t="shared" si="464"/>
        <v>3619</v>
      </c>
      <c r="CA115" s="139">
        <f t="shared" si="464"/>
        <v>67474</v>
      </c>
      <c r="CB115" s="139">
        <f t="shared" si="464"/>
        <v>59225</v>
      </c>
      <c r="CC115" s="139">
        <f t="shared" ref="CC115:CD115" si="465">SUM(CC116,CC117)</f>
        <v>-7200</v>
      </c>
      <c r="CD115" s="139">
        <f t="shared" si="465"/>
        <v>-13979</v>
      </c>
      <c r="CE115" s="139">
        <f t="shared" ref="CE115:CG115" si="466">SUM(CE116,CE117)</f>
        <v>-25805</v>
      </c>
      <c r="CF115" s="139">
        <f t="shared" si="466"/>
        <v>-54152</v>
      </c>
      <c r="CG115" s="139">
        <f t="shared" si="466"/>
        <v>-21179</v>
      </c>
      <c r="CH115" s="139">
        <f t="shared" ref="CH115:CI115" si="467">SUM(CH116,CH117)</f>
        <v>-46984</v>
      </c>
      <c r="CI115" s="139">
        <f t="shared" si="467"/>
        <v>-101136</v>
      </c>
      <c r="CJ115" s="139">
        <v>-5786</v>
      </c>
      <c r="CK115" s="139">
        <f t="shared" ref="CK115:CO115" si="468">SUM(CK116,CK117)</f>
        <v>-11604</v>
      </c>
      <c r="CL115" s="139">
        <f t="shared" si="468"/>
        <v>0</v>
      </c>
      <c r="CM115" s="139">
        <f t="shared" si="468"/>
        <v>0</v>
      </c>
      <c r="CN115" s="139">
        <f t="shared" si="468"/>
        <v>-17390</v>
      </c>
      <c r="CO115" s="139">
        <f t="shared" si="468"/>
        <v>0</v>
      </c>
    </row>
    <row r="116" spans="1:93" s="92" customFormat="1" x14ac:dyDescent="0.25">
      <c r="A116" s="141" t="str">
        <f>Language!AA104</f>
        <v>Corrente</v>
      </c>
      <c r="B116" s="105">
        <v>-12818</v>
      </c>
      <c r="C116" s="105">
        <v>-10750</v>
      </c>
      <c r="D116" s="105">
        <v>-13278</v>
      </c>
      <c r="E116" s="106">
        <v>-21297</v>
      </c>
      <c r="F116" s="105">
        <v>-19900</v>
      </c>
      <c r="G116" s="105">
        <v>-17433</v>
      </c>
      <c r="H116" s="105">
        <v>-22160</v>
      </c>
      <c r="I116" s="106">
        <v>-15061</v>
      </c>
      <c r="J116" s="105">
        <v>-27558</v>
      </c>
      <c r="K116" s="105">
        <v>-18527</v>
      </c>
      <c r="L116" s="105">
        <v>-16008</v>
      </c>
      <c r="M116" s="106">
        <v>-14952</v>
      </c>
      <c r="N116" s="105">
        <v>-34106</v>
      </c>
      <c r="O116" s="105">
        <v>-13114</v>
      </c>
      <c r="P116" s="105">
        <v>-11421</v>
      </c>
      <c r="Q116" s="105">
        <v>-14312</v>
      </c>
      <c r="R116" s="107">
        <v>-27983</v>
      </c>
      <c r="S116" s="105">
        <v>-13508</v>
      </c>
      <c r="T116" s="105">
        <f>W116-S116-R116</f>
        <v>-10047</v>
      </c>
      <c r="U116" s="105">
        <f t="shared" ref="U116:U118" si="469">X116-W116</f>
        <v>-23108</v>
      </c>
      <c r="V116" s="105">
        <f t="shared" ref="V116:V118" si="470">R116+S116</f>
        <v>-41491</v>
      </c>
      <c r="W116" s="105">
        <v>-51538</v>
      </c>
      <c r="X116" s="105">
        <v>-74646</v>
      </c>
      <c r="Y116" s="107">
        <v>-16416</v>
      </c>
      <c r="Z116" s="108">
        <f>AC116-Y116</f>
        <v>-20989</v>
      </c>
      <c r="AA116" s="108">
        <f>AD116-Z116-Y116</f>
        <v>-20382</v>
      </c>
      <c r="AB116" s="108">
        <f t="shared" ref="AB116:AB118" si="471">AE116-AD116</f>
        <v>-9377</v>
      </c>
      <c r="AC116" s="108">
        <v>-37405</v>
      </c>
      <c r="AD116" s="108">
        <v>-57787</v>
      </c>
      <c r="AE116" s="105">
        <v>-67164</v>
      </c>
      <c r="AF116" s="107">
        <v>-18099</v>
      </c>
      <c r="AG116" s="108">
        <v>-10211</v>
      </c>
      <c r="AH116" s="108">
        <v>-26823</v>
      </c>
      <c r="AI116" s="108">
        <v>-25103</v>
      </c>
      <c r="AJ116" s="108">
        <v>-28310</v>
      </c>
      <c r="AK116" s="108">
        <v>-55133</v>
      </c>
      <c r="AL116" s="105">
        <v>-80236</v>
      </c>
      <c r="AM116" s="107">
        <v>-17310</v>
      </c>
      <c r="AN116" s="108">
        <f t="shared" si="282"/>
        <v>-7250</v>
      </c>
      <c r="AO116" s="108"/>
      <c r="AP116" s="108">
        <f t="shared" si="283"/>
        <v>675</v>
      </c>
      <c r="AQ116" s="108">
        <v>-24560</v>
      </c>
      <c r="AR116" s="108">
        <v>-33088</v>
      </c>
      <c r="AS116" s="105">
        <v>-32413</v>
      </c>
      <c r="AT116" s="107">
        <v>-4607</v>
      </c>
      <c r="AU116" s="107">
        <f t="shared" ref="AU116:AU117" si="472">AX116-AT116</f>
        <v>-3204</v>
      </c>
      <c r="AV116" s="107">
        <f>AY116-AX116</f>
        <v>-4308</v>
      </c>
      <c r="AW116" s="107">
        <f t="shared" si="284"/>
        <v>-7003</v>
      </c>
      <c r="AX116" s="107">
        <v>-7811</v>
      </c>
      <c r="AY116" s="107">
        <v>-12119</v>
      </c>
      <c r="AZ116" s="107">
        <v>-19122</v>
      </c>
      <c r="BA116" s="107">
        <v>-8491</v>
      </c>
      <c r="BB116" s="107">
        <f t="shared" ref="BB116:BB118" si="473">BE116-BA116</f>
        <v>-2836</v>
      </c>
      <c r="BC116" s="107">
        <f t="shared" ref="BC116:BC118" si="474">BF116-BE116</f>
        <v>-6899</v>
      </c>
      <c r="BD116" s="107">
        <f>BG116-BF116</f>
        <v>-10993</v>
      </c>
      <c r="BE116" s="107">
        <v>-11327</v>
      </c>
      <c r="BF116" s="107">
        <v>-18226</v>
      </c>
      <c r="BG116" s="107">
        <v>-29219</v>
      </c>
      <c r="BH116" s="107">
        <v>-4967</v>
      </c>
      <c r="BI116" s="107">
        <f>BL116-BH116</f>
        <v>-5579</v>
      </c>
      <c r="BJ116" s="107">
        <f>BM116-BL116</f>
        <v>-14865</v>
      </c>
      <c r="BK116" s="107">
        <f>BN116-BM116</f>
        <v>-4255</v>
      </c>
      <c r="BL116" s="107">
        <v>-10546</v>
      </c>
      <c r="BM116" s="107">
        <v>-25411</v>
      </c>
      <c r="BN116" s="107">
        <v>-29666</v>
      </c>
      <c r="BO116" s="107">
        <v>-6214</v>
      </c>
      <c r="BP116" s="107">
        <f>BS116-BO116</f>
        <v>-4814</v>
      </c>
      <c r="BQ116" s="107">
        <f>BT116-BS116</f>
        <v>-97985</v>
      </c>
      <c r="BR116" s="107">
        <f>BU116-BT116</f>
        <v>87057</v>
      </c>
      <c r="BS116" s="107">
        <v>-11028</v>
      </c>
      <c r="BT116" s="107">
        <v>-109013</v>
      </c>
      <c r="BU116" s="107">
        <v>-21956</v>
      </c>
      <c r="BV116" s="107">
        <v>-7138</v>
      </c>
      <c r="BW116" s="111">
        <f t="shared" ref="BW116:BW117" si="475">BZ116-BV116</f>
        <v>-7054</v>
      </c>
      <c r="BX116" s="107">
        <f>CA116-BZ116</f>
        <v>-8694</v>
      </c>
      <c r="BY116" s="107">
        <f>CB116-CA116</f>
        <v>-11177</v>
      </c>
      <c r="BZ116" s="107">
        <v>-14192</v>
      </c>
      <c r="CA116" s="107">
        <v>-22886</v>
      </c>
      <c r="CB116" s="107">
        <v>-34063</v>
      </c>
      <c r="CC116" s="107">
        <v>-10040</v>
      </c>
      <c r="CD116" s="107">
        <f>CG116-CC116</f>
        <v>-7308</v>
      </c>
      <c r="CE116" s="107">
        <f>CH116-CG116</f>
        <v>-10836</v>
      </c>
      <c r="CF116" s="107">
        <f>CI116-CH116</f>
        <v>-13667</v>
      </c>
      <c r="CG116" s="107">
        <v>-17348</v>
      </c>
      <c r="CH116" s="107">
        <v>-28184</v>
      </c>
      <c r="CI116" s="107">
        <v>-41851</v>
      </c>
      <c r="CJ116" s="107">
        <v>-6628</v>
      </c>
      <c r="CK116" s="107">
        <f>CN116-CJ116</f>
        <v>-5981</v>
      </c>
      <c r="CL116" s="107"/>
      <c r="CM116" s="107"/>
      <c r="CN116" s="107">
        <v>-12609</v>
      </c>
      <c r="CO116" s="107"/>
    </row>
    <row r="117" spans="1:93" s="92" customFormat="1" x14ac:dyDescent="0.25">
      <c r="A117" s="141" t="str">
        <f>Language!AA105</f>
        <v>Diferido</v>
      </c>
      <c r="B117" s="105">
        <v>5559</v>
      </c>
      <c r="C117" s="105">
        <v>14949</v>
      </c>
      <c r="D117" s="105">
        <v>18136</v>
      </c>
      <c r="E117" s="106">
        <v>11893</v>
      </c>
      <c r="F117" s="105">
        <v>11470</v>
      </c>
      <c r="G117" s="105">
        <v>19668</v>
      </c>
      <c r="H117" s="105">
        <v>12869</v>
      </c>
      <c r="I117" s="106">
        <v>13219</v>
      </c>
      <c r="J117" s="105">
        <v>9191</v>
      </c>
      <c r="K117" s="105">
        <v>7184</v>
      </c>
      <c r="L117" s="105">
        <v>7456</v>
      </c>
      <c r="M117" s="106">
        <v>4381</v>
      </c>
      <c r="N117" s="105">
        <v>2231</v>
      </c>
      <c r="O117" s="105">
        <v>-3211</v>
      </c>
      <c r="P117" s="105">
        <v>-10511</v>
      </c>
      <c r="Q117" s="105">
        <v>-16925</v>
      </c>
      <c r="R117" s="107">
        <v>-49794</v>
      </c>
      <c r="S117" s="105">
        <v>5949</v>
      </c>
      <c r="T117" s="105">
        <f t="shared" ref="T117:T118" si="476">W117-S117-R117</f>
        <v>-5084</v>
      </c>
      <c r="U117" s="105">
        <f t="shared" si="469"/>
        <v>35835</v>
      </c>
      <c r="V117" s="105">
        <f t="shared" si="470"/>
        <v>-43845</v>
      </c>
      <c r="W117" s="105">
        <v>-48929</v>
      </c>
      <c r="X117" s="105">
        <v>-13094</v>
      </c>
      <c r="Y117" s="107">
        <v>16083</v>
      </c>
      <c r="Z117" s="108">
        <f t="shared" ref="Z117:Z118" si="477">AC117-Y117</f>
        <v>37844</v>
      </c>
      <c r="AA117" s="108">
        <f t="shared" ref="AA117:AA118" si="478">AD117-Z117-Y117</f>
        <v>23883</v>
      </c>
      <c r="AB117" s="108">
        <f t="shared" si="471"/>
        <v>-93541</v>
      </c>
      <c r="AC117" s="108">
        <v>53927</v>
      </c>
      <c r="AD117" s="108">
        <v>77810</v>
      </c>
      <c r="AE117" s="105">
        <v>-15731</v>
      </c>
      <c r="AF117" s="107">
        <v>39717</v>
      </c>
      <c r="AG117" s="108">
        <v>25288</v>
      </c>
      <c r="AH117" s="108">
        <v>51110</v>
      </c>
      <c r="AI117" s="108">
        <v>148983</v>
      </c>
      <c r="AJ117" s="108">
        <v>65005</v>
      </c>
      <c r="AK117" s="108">
        <v>116115</v>
      </c>
      <c r="AL117" s="105">
        <v>265098</v>
      </c>
      <c r="AM117" s="107">
        <v>11985</v>
      </c>
      <c r="AN117" s="108">
        <f t="shared" si="282"/>
        <v>20457</v>
      </c>
      <c r="AO117" s="108"/>
      <c r="AP117" s="108">
        <f t="shared" si="283"/>
        <v>6150</v>
      </c>
      <c r="AQ117" s="108">
        <v>32442</v>
      </c>
      <c r="AR117" s="108">
        <v>43521</v>
      </c>
      <c r="AS117" s="105">
        <v>49671</v>
      </c>
      <c r="AT117" s="107">
        <v>12979</v>
      </c>
      <c r="AU117" s="107">
        <f t="shared" si="472"/>
        <v>12073</v>
      </c>
      <c r="AV117" s="107">
        <f>AY117-AX117</f>
        <v>13699</v>
      </c>
      <c r="AW117" s="107">
        <f t="shared" si="284"/>
        <v>64304</v>
      </c>
      <c r="AX117" s="107">
        <v>25052</v>
      </c>
      <c r="AY117" s="107">
        <v>38751</v>
      </c>
      <c r="AZ117" s="107">
        <v>103055</v>
      </c>
      <c r="BA117" s="107">
        <v>678</v>
      </c>
      <c r="BB117" s="107">
        <f t="shared" si="473"/>
        <v>4456</v>
      </c>
      <c r="BC117" s="107">
        <f t="shared" si="474"/>
        <v>16341</v>
      </c>
      <c r="BD117" s="107">
        <f>BG117-BF117</f>
        <v>-61101</v>
      </c>
      <c r="BE117" s="107">
        <v>5134</v>
      </c>
      <c r="BF117" s="107">
        <v>21475</v>
      </c>
      <c r="BG117" s="107">
        <v>-39626</v>
      </c>
      <c r="BH117" s="107">
        <v>16391</v>
      </c>
      <c r="BI117" s="107">
        <f>BL117-BH117</f>
        <v>19839</v>
      </c>
      <c r="BJ117" s="107">
        <f>BM117-BL117</f>
        <v>-3180</v>
      </c>
      <c r="BK117" s="107">
        <f>BN117-BM117</f>
        <v>12371</v>
      </c>
      <c r="BL117" s="107">
        <v>36230</v>
      </c>
      <c r="BM117" s="107">
        <v>33050</v>
      </c>
      <c r="BN117" s="107">
        <v>45421</v>
      </c>
      <c r="BO117" s="107">
        <v>5787</v>
      </c>
      <c r="BP117" s="107">
        <f>BS117-BO117</f>
        <v>-101030</v>
      </c>
      <c r="BQ117" s="107">
        <f>BT117-BS117</f>
        <v>99360</v>
      </c>
      <c r="BR117" s="107">
        <f>BU117-BT117</f>
        <v>-93535</v>
      </c>
      <c r="BS117" s="107">
        <v>-95243</v>
      </c>
      <c r="BT117" s="107">
        <v>4117</v>
      </c>
      <c r="BU117" s="107">
        <v>-89418</v>
      </c>
      <c r="BV117" s="107">
        <v>9954</v>
      </c>
      <c r="BW117" s="111">
        <f t="shared" si="475"/>
        <v>7857</v>
      </c>
      <c r="BX117" s="107">
        <f>CA117-BZ117</f>
        <v>72549</v>
      </c>
      <c r="BY117" s="107">
        <f>CB117-CA117</f>
        <v>2928</v>
      </c>
      <c r="BZ117" s="107">
        <v>17811</v>
      </c>
      <c r="CA117" s="107">
        <v>90360</v>
      </c>
      <c r="CB117" s="107">
        <v>93288</v>
      </c>
      <c r="CC117" s="107">
        <v>2840</v>
      </c>
      <c r="CD117" s="107">
        <f>CG117-CC117</f>
        <v>-6671</v>
      </c>
      <c r="CE117" s="107">
        <f>CH117-CG117</f>
        <v>-14969</v>
      </c>
      <c r="CF117" s="107">
        <f>CI117-CH117</f>
        <v>-40485</v>
      </c>
      <c r="CG117" s="107">
        <v>-3831</v>
      </c>
      <c r="CH117" s="107">
        <v>-18800</v>
      </c>
      <c r="CI117" s="107">
        <v>-59285</v>
      </c>
      <c r="CJ117" s="107">
        <v>842</v>
      </c>
      <c r="CK117" s="107">
        <f>CN117-CJ117</f>
        <v>-5623</v>
      </c>
      <c r="CL117" s="107"/>
      <c r="CM117" s="107"/>
      <c r="CN117" s="107">
        <v>-4781</v>
      </c>
      <c r="CO117" s="107"/>
    </row>
    <row r="118" spans="1:93" s="92" customFormat="1" ht="13" x14ac:dyDescent="0.3">
      <c r="A118" s="137" t="str">
        <f>Language!AA106</f>
        <v>Participação de Acionistas Minoritários</v>
      </c>
      <c r="B118" s="105">
        <v>2287</v>
      </c>
      <c r="C118" s="105">
        <v>2354</v>
      </c>
      <c r="D118" s="105">
        <v>4550</v>
      </c>
      <c r="E118" s="106">
        <v>2284</v>
      </c>
      <c r="F118" s="105">
        <v>-9</v>
      </c>
      <c r="G118" s="105">
        <v>-10</v>
      </c>
      <c r="H118" s="105">
        <v>-22</v>
      </c>
      <c r="I118" s="106">
        <v>-25</v>
      </c>
      <c r="J118" s="105">
        <v>-2</v>
      </c>
      <c r="K118" s="105">
        <v>0</v>
      </c>
      <c r="L118" s="105">
        <v>1</v>
      </c>
      <c r="M118" s="106">
        <v>8</v>
      </c>
      <c r="N118" s="105">
        <v>0</v>
      </c>
      <c r="O118" s="105">
        <v>0</v>
      </c>
      <c r="P118" s="105">
        <v>0</v>
      </c>
      <c r="Q118" s="105">
        <v>0</v>
      </c>
      <c r="R118" s="107">
        <v>0</v>
      </c>
      <c r="S118" s="105">
        <v>0</v>
      </c>
      <c r="T118" s="105">
        <f t="shared" si="476"/>
        <v>0</v>
      </c>
      <c r="U118" s="105">
        <f t="shared" si="469"/>
        <v>0</v>
      </c>
      <c r="V118" s="105">
        <f t="shared" si="470"/>
        <v>0</v>
      </c>
      <c r="W118" s="105">
        <v>0</v>
      </c>
      <c r="X118" s="105">
        <v>0</v>
      </c>
      <c r="Y118" s="107">
        <v>0</v>
      </c>
      <c r="Z118" s="108">
        <f t="shared" si="477"/>
        <v>0</v>
      </c>
      <c r="AA118" s="108">
        <f t="shared" si="478"/>
        <v>0</v>
      </c>
      <c r="AB118" s="108">
        <f t="shared" si="471"/>
        <v>0</v>
      </c>
      <c r="AC118" s="108">
        <v>0</v>
      </c>
      <c r="AD118" s="108">
        <v>0</v>
      </c>
      <c r="AE118" s="105">
        <v>0</v>
      </c>
      <c r="AF118" s="107">
        <v>0</v>
      </c>
      <c r="AG118" s="108">
        <v>0</v>
      </c>
      <c r="AH118" s="108">
        <v>0</v>
      </c>
      <c r="AI118" s="108">
        <v>0</v>
      </c>
      <c r="AJ118" s="108">
        <v>0</v>
      </c>
      <c r="AK118" s="108">
        <v>0</v>
      </c>
      <c r="AL118" s="105">
        <v>0</v>
      </c>
      <c r="AM118" s="107">
        <v>0</v>
      </c>
      <c r="AN118" s="108">
        <f t="shared" si="282"/>
        <v>0</v>
      </c>
      <c r="AO118" s="108"/>
      <c r="AP118" s="108">
        <f t="shared" si="283"/>
        <v>0</v>
      </c>
      <c r="AQ118" s="108">
        <v>0</v>
      </c>
      <c r="AR118" s="108"/>
      <c r="AS118" s="105"/>
      <c r="AT118" s="107"/>
      <c r="AU118" s="107"/>
      <c r="AV118" s="107"/>
      <c r="AW118" s="107">
        <f t="shared" si="284"/>
        <v>0</v>
      </c>
      <c r="AX118" s="107"/>
      <c r="AY118" s="107"/>
      <c r="AZ118" s="107">
        <v>0</v>
      </c>
      <c r="BA118" s="107">
        <v>0</v>
      </c>
      <c r="BB118" s="107">
        <f t="shared" si="473"/>
        <v>0</v>
      </c>
      <c r="BC118" s="107">
        <f t="shared" si="474"/>
        <v>0</v>
      </c>
      <c r="BD118" s="107"/>
      <c r="BE118" s="107">
        <v>0</v>
      </c>
      <c r="BF118" s="107"/>
      <c r="BG118" s="107"/>
      <c r="BH118" s="107"/>
      <c r="BI118" s="107"/>
      <c r="BJ118" s="107"/>
      <c r="BK118" s="107"/>
      <c r="BL118" s="107"/>
      <c r="BM118" s="107"/>
      <c r="BN118" s="107"/>
      <c r="BO118" s="107"/>
      <c r="BP118" s="107"/>
      <c r="BQ118" s="107"/>
      <c r="BR118" s="107"/>
      <c r="BS118" s="107"/>
      <c r="BT118" s="107"/>
      <c r="BU118" s="107"/>
      <c r="BV118" s="107"/>
      <c r="BW118" s="107"/>
      <c r="BX118" s="107"/>
      <c r="BY118" s="107"/>
      <c r="BZ118" s="107"/>
      <c r="CA118" s="107"/>
      <c r="CB118" s="107"/>
      <c r="CC118" s="107"/>
      <c r="CD118" s="107"/>
      <c r="CE118" s="107"/>
      <c r="CF118" s="107"/>
      <c r="CG118" s="107"/>
      <c r="CH118" s="107"/>
      <c r="CI118" s="107"/>
      <c r="CJ118" s="107"/>
      <c r="CK118" s="107"/>
      <c r="CL118" s="107"/>
      <c r="CM118" s="107"/>
      <c r="CN118" s="107"/>
      <c r="CO118" s="107"/>
    </row>
    <row r="119" spans="1:93" s="100" customFormat="1" ht="13" x14ac:dyDescent="0.3">
      <c r="A119" s="142" t="str">
        <f>Language!AA107</f>
        <v>Lucro de Operações em Continuidade</v>
      </c>
      <c r="B119" s="143">
        <f t="shared" ref="B119:K119" si="479">SUM(B112,B113,B114,B115,B118)</f>
        <v>8585</v>
      </c>
      <c r="C119" s="143">
        <f t="shared" si="479"/>
        <v>-333</v>
      </c>
      <c r="D119" s="143">
        <f t="shared" si="479"/>
        <v>-14831</v>
      </c>
      <c r="E119" s="144">
        <f t="shared" si="479"/>
        <v>28941</v>
      </c>
      <c r="F119" s="143">
        <f t="shared" si="479"/>
        <v>14981</v>
      </c>
      <c r="G119" s="143">
        <f t="shared" si="479"/>
        <v>-10391</v>
      </c>
      <c r="H119" s="143">
        <f t="shared" si="479"/>
        <v>-3803</v>
      </c>
      <c r="I119" s="144">
        <f t="shared" si="479"/>
        <v>8485</v>
      </c>
      <c r="J119" s="143">
        <f t="shared" si="479"/>
        <v>30631.499509254994</v>
      </c>
      <c r="K119" s="143">
        <f t="shared" si="479"/>
        <v>-5552.9999999999782</v>
      </c>
      <c r="L119" s="143">
        <f t="shared" ref="L119" si="480">SUM(L112,L113,L114,L115,L118)</f>
        <v>25515.827499999999</v>
      </c>
      <c r="M119" s="144">
        <f t="shared" ref="M119:N119" si="481">SUM(M112,M113,M114,M115,M118)</f>
        <v>17622.172499999986</v>
      </c>
      <c r="N119" s="143">
        <f t="shared" si="481"/>
        <v>189701</v>
      </c>
      <c r="O119" s="143">
        <f t="shared" ref="O119:V119" si="482">SUM(O112,O113,O114,O115,O118)</f>
        <v>-1167</v>
      </c>
      <c r="P119" s="143">
        <f t="shared" si="482"/>
        <v>16397</v>
      </c>
      <c r="Q119" s="143">
        <f t="shared" si="482"/>
        <v>-641283</v>
      </c>
      <c r="R119" s="145">
        <f t="shared" si="482"/>
        <v>88065</v>
      </c>
      <c r="S119" s="143">
        <f t="shared" si="482"/>
        <v>-70492</v>
      </c>
      <c r="T119" s="143">
        <f t="shared" si="482"/>
        <v>-9554</v>
      </c>
      <c r="U119" s="143">
        <f t="shared" si="482"/>
        <v>59667</v>
      </c>
      <c r="V119" s="143">
        <f t="shared" si="482"/>
        <v>17573</v>
      </c>
      <c r="W119" s="143">
        <f t="shared" ref="W119:Y119" si="483">SUM(W112,W113,W114,W115,W118)</f>
        <v>8019</v>
      </c>
      <c r="X119" s="143">
        <f t="shared" si="483"/>
        <v>67686</v>
      </c>
      <c r="Y119" s="145">
        <f t="shared" si="483"/>
        <v>-25097</v>
      </c>
      <c r="Z119" s="143">
        <f>SUM(Z112,Z113,Z114,Z115,Z118)</f>
        <v>-43993</v>
      </c>
      <c r="AA119" s="143">
        <f t="shared" ref="AA119:AB119" si="484">SUM(AA112,AA113,AA114,AA115,AA118)</f>
        <v>-55407</v>
      </c>
      <c r="AB119" s="143">
        <f t="shared" si="484"/>
        <v>-194111</v>
      </c>
      <c r="AC119" s="143">
        <f t="shared" ref="AC119:AD119" si="485">SUM(AC112,AC113,AC114,AC115,AC118)</f>
        <v>-69090</v>
      </c>
      <c r="AD119" s="143">
        <f t="shared" si="485"/>
        <v>-124497</v>
      </c>
      <c r="AE119" s="143">
        <f t="shared" ref="AE119" si="486">SUM(AE112,AE113,AE114,AE115,AE118)</f>
        <v>-318608</v>
      </c>
      <c r="AF119" s="145">
        <v>-100964</v>
      </c>
      <c r="AG119" s="143">
        <v>-464415</v>
      </c>
      <c r="AH119" s="143">
        <v>-218332</v>
      </c>
      <c r="AI119" s="143">
        <v>813680</v>
      </c>
      <c r="AJ119" s="143">
        <v>-565379</v>
      </c>
      <c r="AK119" s="143">
        <v>-783711</v>
      </c>
      <c r="AL119" s="143">
        <v>29969</v>
      </c>
      <c r="AM119" s="145">
        <f>SUM(AM112,AM113,AM114,AM115,AM118)</f>
        <v>25795</v>
      </c>
      <c r="AN119" s="143">
        <f t="shared" si="282"/>
        <v>-40598</v>
      </c>
      <c r="AO119" s="143"/>
      <c r="AP119" s="143">
        <f t="shared" si="283"/>
        <v>-293188</v>
      </c>
      <c r="AQ119" s="143">
        <f>SUM(AQ112,AQ113,AQ114,AQ115,AQ118)</f>
        <v>-14803</v>
      </c>
      <c r="AR119" s="143">
        <f>SUM(AR112,AR113,AR114,AR115,AR118)</f>
        <v>-71330</v>
      </c>
      <c r="AS119" s="143">
        <f>SUM(AS112,AS113,AS114,AS115,AS118)</f>
        <v>-364518</v>
      </c>
      <c r="AT119" s="145">
        <f>SUM(AT112,AT113,AT114,AT115,AT118)</f>
        <v>-67225</v>
      </c>
      <c r="AU119" s="145">
        <f t="shared" ref="AU119" si="487">SUM(AU112,AU113,AU114,AU115,AU118)</f>
        <v>-85601</v>
      </c>
      <c r="AV119" s="145">
        <f>SUM(AV112,AV113,AV114,AV115,AV118)</f>
        <v>-70409</v>
      </c>
      <c r="AW119" s="145">
        <f t="shared" si="284"/>
        <v>30610</v>
      </c>
      <c r="AX119" s="145">
        <f t="shared" ref="AX119:BE119" si="488">SUM(AX112,AX113,AX114,AX115,AX118)</f>
        <v>-152826</v>
      </c>
      <c r="AY119" s="145">
        <f t="shared" si="488"/>
        <v>-223235</v>
      </c>
      <c r="AZ119" s="145">
        <f t="shared" si="488"/>
        <v>-192625</v>
      </c>
      <c r="BA119" s="145">
        <f t="shared" si="488"/>
        <v>-14943</v>
      </c>
      <c r="BB119" s="145">
        <f>SUM(BB112,BB113,BB114,BB115,BB118)</f>
        <v>1105</v>
      </c>
      <c r="BC119" s="145">
        <f t="shared" si="488"/>
        <v>-52909</v>
      </c>
      <c r="BD119" s="145">
        <f t="shared" si="488"/>
        <v>256099</v>
      </c>
      <c r="BE119" s="145">
        <f t="shared" si="488"/>
        <v>-13838</v>
      </c>
      <c r="BF119" s="145">
        <f t="shared" ref="BF119:BG119" si="489">SUM(BF112,BF113,BF114,BF115,BF118)</f>
        <v>-66747</v>
      </c>
      <c r="BG119" s="145">
        <f t="shared" si="489"/>
        <v>189352</v>
      </c>
      <c r="BH119" s="145">
        <f t="shared" ref="BH119:BL119" si="490">SUM(BH112,BH113,BH114,BH115,BH118)</f>
        <v>-49023</v>
      </c>
      <c r="BI119" s="145">
        <f t="shared" si="490"/>
        <v>-4972</v>
      </c>
      <c r="BJ119" s="145">
        <f t="shared" si="490"/>
        <v>88763</v>
      </c>
      <c r="BK119" s="145">
        <f t="shared" si="490"/>
        <v>-24216</v>
      </c>
      <c r="BL119" s="145">
        <f t="shared" si="490"/>
        <v>-53995</v>
      </c>
      <c r="BM119" s="145">
        <f t="shared" ref="BM119:BN119" si="491">SUM(BM112,BM113,BM114,BM115,BM118)</f>
        <v>34768</v>
      </c>
      <c r="BN119" s="145">
        <f t="shared" si="491"/>
        <v>10552</v>
      </c>
      <c r="BO119" s="145">
        <f t="shared" ref="BO119:BP119" si="492">SUM(BO112,BO113,BO114,BO115,BO118)</f>
        <v>-32739</v>
      </c>
      <c r="BP119" s="145">
        <f t="shared" si="492"/>
        <v>110936</v>
      </c>
      <c r="BQ119" s="145">
        <f>SUM(BQ112,BQ113,BQ114,BQ115,BQ118)</f>
        <v>-56712</v>
      </c>
      <c r="BR119" s="145">
        <f t="shared" ref="BR119:BS119" si="493">SUM(BR112,BR113,BR114,BR115,BR118)</f>
        <v>-13103</v>
      </c>
      <c r="BS119" s="145">
        <f t="shared" si="493"/>
        <v>78197</v>
      </c>
      <c r="BT119" s="145">
        <f t="shared" ref="BT119:BU119" si="494">SUM(BT112,BT113,BT114,BT115,BT118)</f>
        <v>21485</v>
      </c>
      <c r="BU119" s="145">
        <f t="shared" si="494"/>
        <v>8382</v>
      </c>
      <c r="BV119" s="145">
        <f t="shared" ref="BV119" si="495">SUM(BV112,BV113,BV114,BV115,BV118)</f>
        <v>-68845</v>
      </c>
      <c r="BW119" s="145">
        <f t="shared" ref="BW119:CB119" si="496">SUM(BW112,BW113,BW114,BW115,BW118)</f>
        <v>-55028</v>
      </c>
      <c r="BX119" s="145">
        <f t="shared" si="496"/>
        <v>108223</v>
      </c>
      <c r="BY119" s="145">
        <f t="shared" si="496"/>
        <v>7629</v>
      </c>
      <c r="BZ119" s="145">
        <f t="shared" si="496"/>
        <v>-123873</v>
      </c>
      <c r="CA119" s="145">
        <f t="shared" si="496"/>
        <v>-15650</v>
      </c>
      <c r="CB119" s="145">
        <f t="shared" si="496"/>
        <v>-8021</v>
      </c>
      <c r="CC119" s="145">
        <f>SUM(CC112,CC113,CC114,CC115,CC118,CC120)</f>
        <v>5094</v>
      </c>
      <c r="CD119" s="145">
        <f>SUM(CD112,CD113,CD114,CD115,CD118)-1</f>
        <v>9121</v>
      </c>
      <c r="CE119" s="145">
        <f>SUM(CE112,CE113,CE114,CE115,CE118)+1</f>
        <v>46471</v>
      </c>
      <c r="CF119" s="145">
        <f>SUM(CF112,CF113,CF114,CF115,CF118)-1</f>
        <v>-10284</v>
      </c>
      <c r="CG119" s="145">
        <f t="shared" ref="CG119" si="497">SUM(CG112,CG113,CG114,CG115,CG118,CG120)</f>
        <v>31087</v>
      </c>
      <c r="CH119" s="145">
        <f>SUM(CH112,CH113,CH114,CH115,CH118)+1</f>
        <v>45872</v>
      </c>
      <c r="CI119" s="145">
        <f t="shared" ref="CI119" si="498">SUM(CI112,CI113,CI114,CI115,CI118)</f>
        <v>35588</v>
      </c>
      <c r="CJ119" s="145">
        <v>-10308</v>
      </c>
      <c r="CK119" s="145">
        <f t="shared" ref="CK119:CO119" si="499">SUM(CK112,CK113,CK114,CK115,CK118,CK120)</f>
        <v>-36821</v>
      </c>
      <c r="CL119" s="145">
        <f t="shared" si="499"/>
        <v>0</v>
      </c>
      <c r="CM119" s="145">
        <f t="shared" si="499"/>
        <v>0</v>
      </c>
      <c r="CN119" s="145">
        <f t="shared" si="499"/>
        <v>-47129</v>
      </c>
      <c r="CO119" s="145">
        <f t="shared" si="499"/>
        <v>0</v>
      </c>
    </row>
    <row r="120" spans="1:93" s="100" customFormat="1" ht="13" x14ac:dyDescent="0.3">
      <c r="A120" s="146" t="str">
        <f>Language!AA108</f>
        <v>Resultado de Operações Descontinuadas</v>
      </c>
      <c r="B120" s="147">
        <v>0</v>
      </c>
      <c r="C120" s="147">
        <v>0</v>
      </c>
      <c r="D120" s="147">
        <v>0</v>
      </c>
      <c r="E120" s="148">
        <v>0</v>
      </c>
      <c r="F120" s="147">
        <v>0</v>
      </c>
      <c r="G120" s="147">
        <v>0</v>
      </c>
      <c r="H120" s="147">
        <v>0</v>
      </c>
      <c r="I120" s="148">
        <v>0</v>
      </c>
      <c r="J120" s="147">
        <v>-15899</v>
      </c>
      <c r="K120" s="147">
        <v>-17000</v>
      </c>
      <c r="L120" s="147">
        <v>-20966</v>
      </c>
      <c r="M120" s="148">
        <v>-116601</v>
      </c>
      <c r="N120" s="147">
        <v>-22671</v>
      </c>
      <c r="O120" s="147">
        <v>-34084</v>
      </c>
      <c r="P120" s="147">
        <v>-17727</v>
      </c>
      <c r="Q120" s="147">
        <v>100864</v>
      </c>
      <c r="R120" s="149">
        <v>0</v>
      </c>
      <c r="S120" s="147">
        <v>0</v>
      </c>
      <c r="T120" s="147">
        <v>0</v>
      </c>
      <c r="U120" s="147">
        <f>X120-W120</f>
        <v>0</v>
      </c>
      <c r="V120" s="147">
        <v>0</v>
      </c>
      <c r="W120" s="147">
        <v>0</v>
      </c>
      <c r="X120" s="147">
        <v>0</v>
      </c>
      <c r="Y120" s="149">
        <v>0</v>
      </c>
      <c r="Z120" s="147">
        <v>0</v>
      </c>
      <c r="AA120" s="147">
        <v>0</v>
      </c>
      <c r="AB120" s="147">
        <f>AE120-AD120</f>
        <v>0</v>
      </c>
      <c r="AC120" s="147">
        <v>0</v>
      </c>
      <c r="AD120" s="147">
        <v>0</v>
      </c>
      <c r="AE120" s="147">
        <v>0</v>
      </c>
      <c r="AF120" s="149">
        <v>0</v>
      </c>
      <c r="AG120" s="147">
        <v>0</v>
      </c>
      <c r="AH120" s="147">
        <v>0</v>
      </c>
      <c r="AI120" s="147">
        <v>-36605</v>
      </c>
      <c r="AJ120" s="147"/>
      <c r="AK120" s="147"/>
      <c r="AL120" s="147">
        <v>-36605</v>
      </c>
      <c r="AM120" s="149">
        <v>0</v>
      </c>
      <c r="AN120" s="147">
        <f t="shared" si="282"/>
        <v>0</v>
      </c>
      <c r="AO120" s="147"/>
      <c r="AP120" s="147">
        <f t="shared" si="283"/>
        <v>0</v>
      </c>
      <c r="AQ120" s="147">
        <v>0</v>
      </c>
      <c r="AR120" s="147"/>
      <c r="AS120" s="147"/>
      <c r="AT120" s="149"/>
      <c r="AU120" s="149"/>
      <c r="AV120" s="149"/>
      <c r="AW120" s="149">
        <f t="shared" si="284"/>
        <v>0</v>
      </c>
      <c r="AX120" s="149"/>
      <c r="AY120" s="149"/>
      <c r="AZ120" s="149"/>
      <c r="BA120" s="149"/>
      <c r="BB120" s="149"/>
      <c r="BC120" s="149"/>
      <c r="BD120" s="149"/>
      <c r="BE120" s="149"/>
      <c r="BF120" s="149"/>
      <c r="BG120" s="149"/>
      <c r="BH120" s="149"/>
      <c r="BI120" s="149"/>
      <c r="BJ120" s="149"/>
      <c r="BK120" s="149"/>
      <c r="BL120" s="149"/>
      <c r="BM120" s="149"/>
      <c r="BN120" s="149"/>
      <c r="BO120" s="149"/>
      <c r="BP120" s="149"/>
      <c r="BQ120" s="149"/>
      <c r="BR120" s="149"/>
      <c r="BS120" s="149"/>
      <c r="BT120" s="149"/>
      <c r="BU120" s="149"/>
      <c r="BV120" s="149"/>
      <c r="BW120" s="149"/>
      <c r="BX120" s="149"/>
      <c r="BY120" s="149"/>
      <c r="BZ120" s="149"/>
      <c r="CA120" s="149"/>
      <c r="CB120" s="149"/>
      <c r="CC120" s="149">
        <v>14815</v>
      </c>
      <c r="CD120" s="149"/>
      <c r="CE120" s="149"/>
      <c r="CF120" s="149"/>
      <c r="CG120" s="149">
        <v>31686</v>
      </c>
      <c r="CH120" s="149"/>
      <c r="CI120" s="149"/>
      <c r="CJ120" s="149">
        <v>9364</v>
      </c>
      <c r="CK120" s="149">
        <f>CN120-CJ120</f>
        <v>-3316</v>
      </c>
      <c r="CL120" s="149"/>
      <c r="CM120" s="149"/>
      <c r="CN120" s="149">
        <v>6048</v>
      </c>
      <c r="CO120" s="149"/>
    </row>
    <row r="121" spans="1:93" s="100" customFormat="1" ht="13" x14ac:dyDescent="0.3">
      <c r="A121" s="142" t="str">
        <f>Language!AA109</f>
        <v>Lucro Líquido</v>
      </c>
      <c r="B121" s="143">
        <f>B119+B120</f>
        <v>8585</v>
      </c>
      <c r="C121" s="143">
        <f t="shared" ref="C121:L121" si="500">C119+C120</f>
        <v>-333</v>
      </c>
      <c r="D121" s="143">
        <f t="shared" si="500"/>
        <v>-14831</v>
      </c>
      <c r="E121" s="144">
        <f t="shared" si="500"/>
        <v>28941</v>
      </c>
      <c r="F121" s="143">
        <f t="shared" si="500"/>
        <v>14981</v>
      </c>
      <c r="G121" s="143">
        <f t="shared" si="500"/>
        <v>-10391</v>
      </c>
      <c r="H121" s="143">
        <f t="shared" si="500"/>
        <v>-3803</v>
      </c>
      <c r="I121" s="144">
        <f t="shared" si="500"/>
        <v>8485</v>
      </c>
      <c r="J121" s="143">
        <f t="shared" si="500"/>
        <v>14732.499509254994</v>
      </c>
      <c r="K121" s="143">
        <f t="shared" si="500"/>
        <v>-22552.999999999978</v>
      </c>
      <c r="L121" s="143">
        <f t="shared" si="500"/>
        <v>4549.8274999999994</v>
      </c>
      <c r="M121" s="144">
        <f t="shared" ref="M121:R121" si="501">M119+M120</f>
        <v>-98978.827500000014</v>
      </c>
      <c r="N121" s="143">
        <f t="shared" si="501"/>
        <v>167030</v>
      </c>
      <c r="O121" s="143">
        <f t="shared" si="501"/>
        <v>-35251</v>
      </c>
      <c r="P121" s="143">
        <f t="shared" si="501"/>
        <v>-1330</v>
      </c>
      <c r="Q121" s="143">
        <f t="shared" si="501"/>
        <v>-540419</v>
      </c>
      <c r="R121" s="145">
        <f t="shared" si="501"/>
        <v>88065</v>
      </c>
      <c r="S121" s="143">
        <f t="shared" ref="S121:U121" si="502">S119+S120</f>
        <v>-70492</v>
      </c>
      <c r="T121" s="143">
        <f t="shared" si="502"/>
        <v>-9554</v>
      </c>
      <c r="U121" s="143">
        <f t="shared" si="502"/>
        <v>59667</v>
      </c>
      <c r="V121" s="143">
        <f>V119+V120</f>
        <v>17573</v>
      </c>
      <c r="W121" s="143">
        <f t="shared" ref="W121:X121" si="503">W119+W120</f>
        <v>8019</v>
      </c>
      <c r="X121" s="143">
        <f t="shared" si="503"/>
        <v>67686</v>
      </c>
      <c r="Y121" s="145">
        <f t="shared" ref="Y121" si="504">Y119+Y120</f>
        <v>-25097</v>
      </c>
      <c r="Z121" s="143">
        <f>Z119+Z120</f>
        <v>-43993</v>
      </c>
      <c r="AA121" s="143">
        <f t="shared" ref="AA121:AB121" si="505">AA119+AA120</f>
        <v>-55407</v>
      </c>
      <c r="AB121" s="143">
        <f t="shared" si="505"/>
        <v>-194111</v>
      </c>
      <c r="AC121" s="143">
        <f t="shared" ref="AC121:AD121" si="506">AC119+AC120</f>
        <v>-69090</v>
      </c>
      <c r="AD121" s="143">
        <f t="shared" si="506"/>
        <v>-124497</v>
      </c>
      <c r="AE121" s="143">
        <f t="shared" ref="AE121" si="507">AE119+AE120</f>
        <v>-318608</v>
      </c>
      <c r="AF121" s="145">
        <v>-100964</v>
      </c>
      <c r="AG121" s="143">
        <v>-464415</v>
      </c>
      <c r="AH121" s="143">
        <v>-218332</v>
      </c>
      <c r="AI121" s="143">
        <v>777075</v>
      </c>
      <c r="AJ121" s="143">
        <v>-565379</v>
      </c>
      <c r="AK121" s="143">
        <v>-783711</v>
      </c>
      <c r="AL121" s="143">
        <v>-6636</v>
      </c>
      <c r="AM121" s="145">
        <v>25795</v>
      </c>
      <c r="AN121" s="143">
        <f t="shared" si="282"/>
        <v>-40598</v>
      </c>
      <c r="AO121" s="143"/>
      <c r="AP121" s="143">
        <f t="shared" si="283"/>
        <v>-293188</v>
      </c>
      <c r="AQ121" s="143">
        <f>AQ119</f>
        <v>-14803</v>
      </c>
      <c r="AR121" s="143">
        <f>AR119</f>
        <v>-71330</v>
      </c>
      <c r="AS121" s="143">
        <f>AS119</f>
        <v>-364518</v>
      </c>
      <c r="AT121" s="145">
        <f>AT119</f>
        <v>-67225</v>
      </c>
      <c r="AU121" s="145">
        <f t="shared" ref="AU121" si="508">AU119</f>
        <v>-85601</v>
      </c>
      <c r="AV121" s="145">
        <f>AV119</f>
        <v>-70409</v>
      </c>
      <c r="AW121" s="145">
        <f t="shared" si="284"/>
        <v>30610</v>
      </c>
      <c r="AX121" s="145">
        <f t="shared" ref="AX121:BE121" si="509">AX119</f>
        <v>-152826</v>
      </c>
      <c r="AY121" s="145">
        <f t="shared" si="509"/>
        <v>-223235</v>
      </c>
      <c r="AZ121" s="145">
        <f t="shared" si="509"/>
        <v>-192625</v>
      </c>
      <c r="BA121" s="145">
        <f t="shared" si="509"/>
        <v>-14943</v>
      </c>
      <c r="BB121" s="145">
        <f t="shared" si="509"/>
        <v>1105</v>
      </c>
      <c r="BC121" s="145">
        <f t="shared" si="509"/>
        <v>-52909</v>
      </c>
      <c r="BD121" s="145">
        <f t="shared" si="509"/>
        <v>256099</v>
      </c>
      <c r="BE121" s="145">
        <f t="shared" si="509"/>
        <v>-13838</v>
      </c>
      <c r="BF121" s="145">
        <f t="shared" ref="BF121:BG121" si="510">BF119</f>
        <v>-66747</v>
      </c>
      <c r="BG121" s="145">
        <f t="shared" si="510"/>
        <v>189352</v>
      </c>
      <c r="BH121" s="145">
        <f t="shared" ref="BH121:BL121" si="511">BH119</f>
        <v>-49023</v>
      </c>
      <c r="BI121" s="145">
        <f t="shared" si="511"/>
        <v>-4972</v>
      </c>
      <c r="BJ121" s="145">
        <f t="shared" si="511"/>
        <v>88763</v>
      </c>
      <c r="BK121" s="145">
        <f>BK119-2</f>
        <v>-24218</v>
      </c>
      <c r="BL121" s="145">
        <f t="shared" si="511"/>
        <v>-53995</v>
      </c>
      <c r="BM121" s="145">
        <f t="shared" ref="BM121:BN121" si="512">BM119</f>
        <v>34768</v>
      </c>
      <c r="BN121" s="145">
        <f t="shared" si="512"/>
        <v>10552</v>
      </c>
      <c r="BO121" s="145">
        <f t="shared" ref="BO121" si="513">BO119</f>
        <v>-32739</v>
      </c>
      <c r="BP121" s="145">
        <f>BS121-BO121</f>
        <v>110936</v>
      </c>
      <c r="BQ121" s="145">
        <f>BT121-BS121</f>
        <v>-56712</v>
      </c>
      <c r="BR121" s="145">
        <f>BU121-BT121</f>
        <v>-13103</v>
      </c>
      <c r="BS121" s="145">
        <f t="shared" ref="BS121" si="514">BS119</f>
        <v>78197</v>
      </c>
      <c r="BT121" s="145">
        <f t="shared" ref="BT121:BU121" si="515">BT119</f>
        <v>21485</v>
      </c>
      <c r="BU121" s="145">
        <f t="shared" si="515"/>
        <v>8382</v>
      </c>
      <c r="BV121" s="145">
        <f t="shared" ref="BV121" si="516">BV119</f>
        <v>-68845</v>
      </c>
      <c r="BW121" s="145">
        <f t="shared" ref="BW121:CB121" si="517">BW119</f>
        <v>-55028</v>
      </c>
      <c r="BX121" s="145">
        <f t="shared" si="517"/>
        <v>108223</v>
      </c>
      <c r="BY121" s="145">
        <f t="shared" si="517"/>
        <v>7629</v>
      </c>
      <c r="BZ121" s="145">
        <f t="shared" si="517"/>
        <v>-123873</v>
      </c>
      <c r="CA121" s="145">
        <f t="shared" si="517"/>
        <v>-15650</v>
      </c>
      <c r="CB121" s="145">
        <f t="shared" si="517"/>
        <v>-8021</v>
      </c>
      <c r="CC121" s="145">
        <f t="shared" ref="CC121" si="518">CC119</f>
        <v>5094</v>
      </c>
      <c r="CD121" s="145">
        <f>CD119</f>
        <v>9121</v>
      </c>
      <c r="CE121" s="145">
        <f t="shared" ref="CE121:CG121" si="519">CE119</f>
        <v>46471</v>
      </c>
      <c r="CF121" s="145">
        <f t="shared" si="519"/>
        <v>-10284</v>
      </c>
      <c r="CG121" s="145">
        <f t="shared" si="519"/>
        <v>31087</v>
      </c>
      <c r="CH121" s="145">
        <f t="shared" ref="CH121:CI121" si="520">CH119</f>
        <v>45872</v>
      </c>
      <c r="CI121" s="145">
        <f t="shared" si="520"/>
        <v>35588</v>
      </c>
      <c r="CJ121" s="145">
        <v>-10308</v>
      </c>
      <c r="CK121" s="145">
        <f t="shared" ref="CK121:CO121" si="521">CK119</f>
        <v>-36821</v>
      </c>
      <c r="CL121" s="145">
        <f t="shared" si="521"/>
        <v>0</v>
      </c>
      <c r="CM121" s="145">
        <f t="shared" si="521"/>
        <v>0</v>
      </c>
      <c r="CN121" s="145">
        <f t="shared" si="521"/>
        <v>-47129</v>
      </c>
      <c r="CO121" s="145">
        <f t="shared" si="521"/>
        <v>0</v>
      </c>
    </row>
    <row r="122" spans="1:93" s="154" customFormat="1" ht="13" x14ac:dyDescent="0.3">
      <c r="A122" s="150" t="str">
        <f>Language!AA110</f>
        <v>EBITDA Ajustado</v>
      </c>
      <c r="B122" s="151">
        <f t="shared" ref="B122:I122" si="522">B204</f>
        <v>89989</v>
      </c>
      <c r="C122" s="151">
        <f t="shared" si="522"/>
        <v>71591</v>
      </c>
      <c r="D122" s="151">
        <f t="shared" si="522"/>
        <v>73380</v>
      </c>
      <c r="E122" s="152">
        <f t="shared" si="522"/>
        <v>116990</v>
      </c>
      <c r="F122" s="151">
        <f t="shared" si="522"/>
        <v>109929</v>
      </c>
      <c r="G122" s="151">
        <f t="shared" si="522"/>
        <v>88720</v>
      </c>
      <c r="H122" s="151">
        <f t="shared" si="522"/>
        <v>101111</v>
      </c>
      <c r="I122" s="152">
        <f t="shared" si="522"/>
        <v>123609</v>
      </c>
      <c r="J122" s="151">
        <f t="shared" ref="J122:N122" si="523">J204</f>
        <v>141678</v>
      </c>
      <c r="K122" s="151">
        <f t="shared" si="523"/>
        <v>102526.208377127</v>
      </c>
      <c r="L122" s="151">
        <f t="shared" si="523"/>
        <v>119079.67220000003</v>
      </c>
      <c r="M122" s="152">
        <f>M204</f>
        <v>152875.677</v>
      </c>
      <c r="N122" s="151">
        <f t="shared" si="523"/>
        <v>354127</v>
      </c>
      <c r="O122" s="151" t="e">
        <f t="shared" ref="O122:U122" si="524">O204</f>
        <v>#REF!</v>
      </c>
      <c r="P122" s="151" t="e">
        <f t="shared" si="524"/>
        <v>#REF!</v>
      </c>
      <c r="Q122" s="151" t="e">
        <f t="shared" si="524"/>
        <v>#REF!</v>
      </c>
      <c r="R122" s="153" t="e">
        <f t="shared" si="524"/>
        <v>#REF!</v>
      </c>
      <c r="S122" s="151" t="e">
        <f t="shared" si="524"/>
        <v>#REF!</v>
      </c>
      <c r="T122" s="151" t="e">
        <f t="shared" si="524"/>
        <v>#REF!</v>
      </c>
      <c r="U122" s="151" t="e">
        <f t="shared" si="524"/>
        <v>#REF!</v>
      </c>
      <c r="V122" s="151" t="e">
        <f>V204</f>
        <v>#REF!</v>
      </c>
      <c r="W122" s="151" t="e">
        <f t="shared" ref="W122:X122" si="525">W204</f>
        <v>#REF!</v>
      </c>
      <c r="X122" s="151" t="e">
        <f t="shared" si="525"/>
        <v>#REF!</v>
      </c>
      <c r="Y122" s="153" t="e">
        <f t="shared" ref="Y122:AB122" si="526">Y204</f>
        <v>#REF!</v>
      </c>
      <c r="Z122" s="151" t="e">
        <f t="shared" si="526"/>
        <v>#REF!</v>
      </c>
      <c r="AA122" s="151" t="e">
        <f t="shared" si="526"/>
        <v>#REF!</v>
      </c>
      <c r="AB122" s="151" t="e">
        <f t="shared" si="526"/>
        <v>#REF!</v>
      </c>
      <c r="AC122" s="151" t="e">
        <f t="shared" ref="AC122:AD122" si="527">AC204</f>
        <v>#REF!</v>
      </c>
      <c r="AD122" s="151" t="e">
        <f t="shared" si="527"/>
        <v>#REF!</v>
      </c>
      <c r="AE122" s="151" t="e">
        <f>AE204</f>
        <v>#REF!</v>
      </c>
      <c r="AF122" s="153">
        <v>224093</v>
      </c>
      <c r="AG122" s="151">
        <v>186399</v>
      </c>
      <c r="AH122" s="151">
        <v>199180</v>
      </c>
      <c r="AI122" s="151">
        <v>919408</v>
      </c>
      <c r="AJ122" s="151">
        <v>410492</v>
      </c>
      <c r="AK122" s="151">
        <v>600010</v>
      </c>
      <c r="AL122" s="151">
        <v>1558396</v>
      </c>
      <c r="AM122" s="153">
        <f>AM204</f>
        <v>142288</v>
      </c>
      <c r="AN122" s="151">
        <f t="shared" si="282"/>
        <v>87628</v>
      </c>
      <c r="AO122" s="151"/>
      <c r="AP122" s="151">
        <f t="shared" si="283"/>
        <v>130583</v>
      </c>
      <c r="AQ122" s="151">
        <f>AQ204</f>
        <v>229916</v>
      </c>
      <c r="AR122" s="151">
        <f>AR204</f>
        <v>341543</v>
      </c>
      <c r="AS122" s="151">
        <f>AS204</f>
        <v>472126</v>
      </c>
      <c r="AT122" s="153">
        <f>AT204</f>
        <v>90385</v>
      </c>
      <c r="AU122" s="153">
        <f t="shared" ref="AU122" si="528">AU204</f>
        <v>86053</v>
      </c>
      <c r="AV122" s="153">
        <f>AV204</f>
        <v>122021</v>
      </c>
      <c r="AW122" s="153">
        <f t="shared" si="284"/>
        <v>123497</v>
      </c>
      <c r="AX122" s="153">
        <f t="shared" ref="AX122:BE122" si="529">AX204</f>
        <v>176438</v>
      </c>
      <c r="AY122" s="153">
        <f t="shared" si="529"/>
        <v>298459</v>
      </c>
      <c r="AZ122" s="153">
        <f t="shared" si="529"/>
        <v>421956</v>
      </c>
      <c r="BA122" s="153">
        <f t="shared" si="529"/>
        <v>117235</v>
      </c>
      <c r="BB122" s="153">
        <f t="shared" si="529"/>
        <v>89533</v>
      </c>
      <c r="BC122" s="153">
        <f t="shared" si="529"/>
        <v>100071</v>
      </c>
      <c r="BD122" s="153">
        <f t="shared" si="529"/>
        <v>116194</v>
      </c>
      <c r="BE122" s="153">
        <f t="shared" si="529"/>
        <v>206768</v>
      </c>
      <c r="BF122" s="153">
        <f t="shared" ref="BF122:BG122" si="530">BF204</f>
        <v>306839</v>
      </c>
      <c r="BG122" s="153">
        <f t="shared" si="530"/>
        <v>423033</v>
      </c>
      <c r="BH122" s="153">
        <f t="shared" ref="BH122:BL122" si="531">BH204</f>
        <v>91915</v>
      </c>
      <c r="BI122" s="153">
        <f t="shared" si="531"/>
        <v>94767</v>
      </c>
      <c r="BJ122" s="153">
        <f t="shared" si="531"/>
        <v>158102</v>
      </c>
      <c r="BK122" s="153">
        <f t="shared" si="531"/>
        <v>92711</v>
      </c>
      <c r="BL122" s="153">
        <f t="shared" si="531"/>
        <v>186682</v>
      </c>
      <c r="BM122" s="153">
        <f t="shared" ref="BM122:BN122" si="532">BM204</f>
        <v>344784</v>
      </c>
      <c r="BN122" s="153">
        <f t="shared" si="532"/>
        <v>437495</v>
      </c>
      <c r="BO122" s="153">
        <f t="shared" ref="BO122:BP122" si="533">BO204</f>
        <v>56784</v>
      </c>
      <c r="BP122" s="153">
        <f t="shared" si="533"/>
        <v>112268</v>
      </c>
      <c r="BQ122" s="153">
        <f t="shared" ref="BQ122:BS122" si="534">BQ204</f>
        <v>-3226</v>
      </c>
      <c r="BR122" s="153">
        <f>BR204</f>
        <v>78006</v>
      </c>
      <c r="BS122" s="153">
        <f t="shared" si="534"/>
        <v>169052</v>
      </c>
      <c r="BT122" s="153">
        <f>BT204</f>
        <v>274920</v>
      </c>
      <c r="BU122" s="153">
        <f t="shared" ref="BU122" si="535">BU204</f>
        <v>352926</v>
      </c>
      <c r="BV122" s="153">
        <f t="shared" ref="BV122" si="536">BV204</f>
        <v>85425</v>
      </c>
      <c r="BW122" s="153">
        <f t="shared" ref="BW122:CB122" si="537">BW204</f>
        <v>116272</v>
      </c>
      <c r="BX122" s="153">
        <f>BX204</f>
        <v>201721</v>
      </c>
      <c r="BY122" s="153">
        <f t="shared" si="537"/>
        <v>155363</v>
      </c>
      <c r="BZ122" s="153">
        <f t="shared" si="537"/>
        <v>201697</v>
      </c>
      <c r="CA122" s="153">
        <f t="shared" si="537"/>
        <v>403418</v>
      </c>
      <c r="CB122" s="153">
        <f t="shared" si="537"/>
        <v>558781</v>
      </c>
      <c r="CC122" s="153">
        <f t="shared" ref="CC122:CD122" si="538">CC204</f>
        <v>75405</v>
      </c>
      <c r="CD122" s="153">
        <f t="shared" si="538"/>
        <v>96578</v>
      </c>
      <c r="CE122" s="153">
        <f>CE204</f>
        <v>206712</v>
      </c>
      <c r="CF122" s="153">
        <f t="shared" ref="CF122:CG122" si="539">CF204</f>
        <v>136180</v>
      </c>
      <c r="CG122" s="153">
        <f t="shared" si="539"/>
        <v>171984</v>
      </c>
      <c r="CH122" s="153">
        <f t="shared" ref="CH122:CI122" si="540">CH204</f>
        <v>378696</v>
      </c>
      <c r="CI122" s="153">
        <f t="shared" si="540"/>
        <v>518979</v>
      </c>
      <c r="CJ122" s="153">
        <v>79693</v>
      </c>
      <c r="CK122" s="153">
        <f t="shared" ref="CK122:CO122" si="541">CK204</f>
        <v>96348</v>
      </c>
      <c r="CL122" s="153">
        <f t="shared" si="541"/>
        <v>0</v>
      </c>
      <c r="CM122" s="153">
        <f t="shared" si="541"/>
        <v>0</v>
      </c>
      <c r="CN122" s="153">
        <f t="shared" si="541"/>
        <v>176041</v>
      </c>
      <c r="CO122" s="153">
        <f t="shared" si="541"/>
        <v>0</v>
      </c>
    </row>
    <row r="124" spans="1:93" ht="14" x14ac:dyDescent="0.3">
      <c r="O124" s="156"/>
    </row>
    <row r="126" spans="1:93" s="92" customFormat="1" ht="13" hidden="1" x14ac:dyDescent="0.3">
      <c r="A126" s="142" t="str">
        <f>Language!AA114</f>
        <v>Volumes</v>
      </c>
      <c r="B126" s="157"/>
      <c r="C126" s="157"/>
      <c r="D126" s="157"/>
      <c r="E126" s="158"/>
      <c r="F126" s="157"/>
      <c r="G126" s="157"/>
      <c r="H126" s="157"/>
      <c r="I126" s="158"/>
      <c r="J126" s="157"/>
      <c r="K126" s="157"/>
      <c r="L126" s="157"/>
      <c r="M126" s="158"/>
      <c r="N126" s="157"/>
      <c r="O126" s="157"/>
      <c r="P126" s="157"/>
      <c r="Q126" s="157"/>
      <c r="R126" s="159"/>
      <c r="S126" s="157"/>
      <c r="T126" s="157"/>
      <c r="U126" s="157"/>
      <c r="V126" s="157"/>
      <c r="W126" s="157"/>
      <c r="X126" s="157"/>
      <c r="Y126" s="159"/>
      <c r="Z126" s="157"/>
      <c r="AA126" s="157"/>
      <c r="AB126" s="157"/>
      <c r="AC126" s="157"/>
      <c r="AD126" s="157"/>
      <c r="AE126" s="157"/>
      <c r="AF126" s="159"/>
      <c r="AG126" s="157"/>
      <c r="AH126" s="157"/>
      <c r="AI126" s="157"/>
      <c r="AJ126" s="157"/>
      <c r="AK126" s="157"/>
      <c r="AL126" s="157"/>
      <c r="AM126" s="159"/>
      <c r="AN126" s="157"/>
      <c r="AO126" s="157"/>
      <c r="AP126" s="157"/>
      <c r="AQ126" s="157"/>
      <c r="AR126" s="157"/>
      <c r="AS126" s="157"/>
      <c r="AT126" s="159"/>
      <c r="AU126" s="159"/>
      <c r="AV126" s="159"/>
      <c r="AW126" s="159"/>
      <c r="AX126" s="159"/>
      <c r="AY126" s="159"/>
      <c r="AZ126" s="159"/>
    </row>
    <row r="127" spans="1:93" s="100" customFormat="1" ht="13" hidden="1" x14ac:dyDescent="0.3">
      <c r="A127" s="160" t="str">
        <f>Language!AA115</f>
        <v>Concessões Rodoviárias (Veículos Equivalentes)</v>
      </c>
      <c r="B127" s="161">
        <f>SUM(B128,B129,B130)</f>
        <v>19792.911</v>
      </c>
      <c r="C127" s="161">
        <f t="shared" ref="C127:K127" si="542">SUM(C128,C129,C130)</f>
        <v>17970.089</v>
      </c>
      <c r="D127" s="161">
        <f t="shared" si="542"/>
        <v>18823</v>
      </c>
      <c r="E127" s="162">
        <f t="shared" si="542"/>
        <v>20354</v>
      </c>
      <c r="F127" s="161">
        <f t="shared" si="542"/>
        <v>21290.019</v>
      </c>
      <c r="G127" s="161">
        <f t="shared" si="542"/>
        <v>18900.2045</v>
      </c>
      <c r="H127" s="161">
        <f t="shared" si="542"/>
        <v>20154.171499999997</v>
      </c>
      <c r="I127" s="162">
        <f t="shared" si="542"/>
        <v>21651.773500000003</v>
      </c>
      <c r="J127" s="161">
        <f t="shared" si="542"/>
        <v>21972.0285</v>
      </c>
      <c r="K127" s="161">
        <f t="shared" si="542"/>
        <v>19958.1855</v>
      </c>
      <c r="L127" s="161">
        <f t="shared" ref="L127:M127" si="543">SUM(L128,L129,L130)</f>
        <v>21312.879000000001</v>
      </c>
      <c r="M127" s="162">
        <f t="shared" si="543"/>
        <v>22785.966</v>
      </c>
      <c r="N127" s="161">
        <f t="shared" ref="N127:Q127" si="544">SUM(N128,N129,N130)</f>
        <v>22424.887307453413</v>
      </c>
      <c r="O127" s="161">
        <f t="shared" si="544"/>
        <v>20826.468000000001</v>
      </c>
      <c r="P127" s="161">
        <f t="shared" si="544"/>
        <v>20873.234</v>
      </c>
      <c r="Q127" s="161">
        <f t="shared" si="544"/>
        <v>21584.068972049688</v>
      </c>
      <c r="R127" s="163">
        <f t="shared" ref="R127:S127" si="545">SUM(R128,R129,R130)</f>
        <v>21283.107835403727</v>
      </c>
      <c r="S127" s="161">
        <f t="shared" si="545"/>
        <v>18411.222434782609</v>
      </c>
      <c r="T127" s="161">
        <f t="shared" ref="T127:W127" si="546">SUM(T128,T129,T130)</f>
        <v>58406.506413043477</v>
      </c>
      <c r="U127" s="161">
        <f t="shared" ref="U127" si="547">SUM(U128,U129,U130)</f>
        <v>78075.3641352657</v>
      </c>
      <c r="V127" s="161"/>
      <c r="W127" s="161">
        <f t="shared" si="546"/>
        <v>78075.3641352657</v>
      </c>
      <c r="X127" s="161" t="e">
        <f t="shared" ref="X127" si="548">SUM(X128,X129,X130)</f>
        <v>#REF!</v>
      </c>
      <c r="Y127" s="163"/>
      <c r="Z127" s="161"/>
      <c r="AA127" s="161">
        <f t="shared" ref="AA127:AB127" si="549">SUM(AA128,AA129,AA130)</f>
        <v>54814.641584795318</v>
      </c>
      <c r="AB127" s="161">
        <f t="shared" si="549"/>
        <v>73231</v>
      </c>
      <c r="AC127" s="161"/>
      <c r="AD127" s="161"/>
      <c r="AE127" s="161"/>
      <c r="AF127" s="163"/>
      <c r="AG127" s="161"/>
      <c r="AH127" s="161"/>
      <c r="AI127" s="161">
        <f t="shared" ref="AI127" si="550">SUM(AI128,AI129,AI130)</f>
        <v>37199.119599999998</v>
      </c>
      <c r="AJ127" s="161"/>
      <c r="AK127" s="161"/>
      <c r="AL127" s="161"/>
      <c r="AM127" s="163"/>
      <c r="AN127" s="161"/>
      <c r="AO127" s="161"/>
      <c r="AP127" s="161"/>
      <c r="AQ127" s="161"/>
      <c r="AR127" s="161"/>
      <c r="AS127" s="161"/>
      <c r="AT127" s="163"/>
      <c r="AU127" s="163"/>
      <c r="AV127" s="163"/>
      <c r="AW127" s="163"/>
      <c r="AX127" s="163"/>
      <c r="AY127" s="163"/>
      <c r="AZ127" s="163"/>
    </row>
    <row r="128" spans="1:93" s="92" customFormat="1" hidden="1" x14ac:dyDescent="0.25">
      <c r="A128" s="164" t="str">
        <f>Language!AA116</f>
        <v>Concepa</v>
      </c>
      <c r="B128" s="165">
        <f>'Toll Roads'!B304</f>
        <v>9263.3284999999996</v>
      </c>
      <c r="C128" s="165">
        <f>'Toll Roads'!C304</f>
        <v>7266.6714999999995</v>
      </c>
      <c r="D128" s="165">
        <f>'Toll Roads'!D304</f>
        <v>7494</v>
      </c>
      <c r="E128" s="166">
        <f>'Toll Roads'!E304</f>
        <v>8877</v>
      </c>
      <c r="F128" s="165">
        <f>'Toll Roads'!F304</f>
        <v>9993.8975000000009</v>
      </c>
      <c r="G128" s="165">
        <f>'Toll Roads'!G304</f>
        <v>7801.9364999999989</v>
      </c>
      <c r="H128" s="165">
        <f>'Toll Roads'!H304</f>
        <v>8220.4219999999987</v>
      </c>
      <c r="I128" s="166">
        <f>'Toll Roads'!I304</f>
        <v>9539.5875000000015</v>
      </c>
      <c r="J128" s="165">
        <f>'Toll Roads'!J304</f>
        <v>10400.333999999999</v>
      </c>
      <c r="K128" s="165">
        <f>'Toll Roads'!K304</f>
        <v>8408.7095000000008</v>
      </c>
      <c r="L128" s="165">
        <f>'Toll Roads'!L304</f>
        <v>8852.0280000000002</v>
      </c>
      <c r="M128" s="166">
        <f>'Toll Roads'!M304</f>
        <v>10285.646000000001</v>
      </c>
      <c r="N128" s="165">
        <f>'Toll Roads'!N304</f>
        <v>11087.084999999999</v>
      </c>
      <c r="O128" s="165">
        <v>8888</v>
      </c>
      <c r="P128" s="165">
        <v>9447.2340000000004</v>
      </c>
      <c r="Q128" s="165">
        <f>'Toll Roads'!Q304</f>
        <v>10543.139499999999</v>
      </c>
      <c r="R128" s="167">
        <f>'Toll Roads'!R304</f>
        <v>11052.321</v>
      </c>
      <c r="S128" s="165">
        <f>'Toll Roads'!S304</f>
        <v>8507.43</v>
      </c>
      <c r="T128" s="165">
        <f>'Toll Roads'!W304</f>
        <v>28163.804499999998</v>
      </c>
      <c r="U128" s="165">
        <f>'Toll Roads'!X304</f>
        <v>37765.466999999997</v>
      </c>
      <c r="V128" s="165"/>
      <c r="W128" s="165">
        <f>'Toll Roads'!X304</f>
        <v>37765.466999999997</v>
      </c>
      <c r="X128" s="165" t="e">
        <f>'Toll Roads'!#REF!</f>
        <v>#REF!</v>
      </c>
      <c r="Y128" s="167"/>
      <c r="Z128" s="165"/>
      <c r="AA128" s="165">
        <f>'Toll Roads'!AD304</f>
        <v>26940.221499999996</v>
      </c>
      <c r="AB128" s="165">
        <f>'Toll Roads'!AE304</f>
        <v>36192</v>
      </c>
      <c r="AC128" s="165"/>
      <c r="AD128" s="165"/>
      <c r="AE128" s="165"/>
      <c r="AF128" s="167"/>
      <c r="AG128" s="165"/>
      <c r="AH128" s="165"/>
      <c r="AI128" s="165">
        <f>'Toll Roads'!AQ304</f>
        <v>20485.776599999997</v>
      </c>
      <c r="AJ128" s="165"/>
      <c r="AK128" s="165"/>
      <c r="AL128" s="165"/>
      <c r="AM128" s="167"/>
      <c r="AN128" s="165"/>
      <c r="AO128" s="165"/>
      <c r="AP128" s="165"/>
      <c r="AQ128" s="165"/>
      <c r="AR128" s="165"/>
      <c r="AS128" s="165"/>
      <c r="AT128" s="167"/>
      <c r="AU128" s="167"/>
      <c r="AV128" s="167"/>
      <c r="AW128" s="167"/>
      <c r="AX128" s="167"/>
      <c r="AY128" s="167"/>
      <c r="AZ128" s="167"/>
    </row>
    <row r="129" spans="1:52" s="92" customFormat="1" hidden="1" x14ac:dyDescent="0.25">
      <c r="A129" s="164" t="str">
        <f>Language!AA117</f>
        <v>Concer</v>
      </c>
      <c r="B129" s="165">
        <f>'Toll Roads'!B305</f>
        <v>7090.5825000000004</v>
      </c>
      <c r="C129" s="165">
        <f>'Toll Roads'!C305</f>
        <v>7140.4174999999996</v>
      </c>
      <c r="D129" s="165">
        <f>'Toll Roads'!D305</f>
        <v>7561</v>
      </c>
      <c r="E129" s="166">
        <f>'Toll Roads'!E305</f>
        <v>7668</v>
      </c>
      <c r="F129" s="165">
        <f>'Toll Roads'!F305</f>
        <v>7686.1215000000002</v>
      </c>
      <c r="G129" s="165">
        <f>'Toll Roads'!G305</f>
        <v>7502.2679999999991</v>
      </c>
      <c r="H129" s="165">
        <f>'Toll Roads'!H305</f>
        <v>7955.749499999999</v>
      </c>
      <c r="I129" s="166">
        <f>'Toll Roads'!I305</f>
        <v>8096.1860000000033</v>
      </c>
      <c r="J129" s="165">
        <f>'Toll Roads'!J305</f>
        <v>7757.6945000000005</v>
      </c>
      <c r="K129" s="165">
        <f>'Toll Roads'!K305</f>
        <v>7755.4760000000006</v>
      </c>
      <c r="L129" s="165">
        <f>'Toll Roads'!L305</f>
        <v>8400.8510000000006</v>
      </c>
      <c r="M129" s="166">
        <f>'Toll Roads'!M305</f>
        <v>8359.32</v>
      </c>
      <c r="N129" s="165">
        <f>'Toll Roads'!N305</f>
        <v>7727.8349999999991</v>
      </c>
      <c r="O129" s="165">
        <v>8135.4679999999998</v>
      </c>
      <c r="P129" s="165">
        <v>7485</v>
      </c>
      <c r="Q129" s="165">
        <f>'Toll Roads'!Q305</f>
        <v>7262.0254999999997</v>
      </c>
      <c r="R129" s="167">
        <f>'Toll Roads'!R305</f>
        <v>6775.393</v>
      </c>
      <c r="S129" s="165">
        <f>'Toll Roads'!S305</f>
        <v>6517.3450000000003</v>
      </c>
      <c r="T129" s="165">
        <f>'Toll Roads'!W305</f>
        <v>19815.285500000002</v>
      </c>
      <c r="U129" s="165">
        <f>'Toll Roads'!X305</f>
        <v>26236.686500000003</v>
      </c>
      <c r="V129" s="165"/>
      <c r="W129" s="165">
        <f>'Toll Roads'!X305</f>
        <v>26236.686500000003</v>
      </c>
      <c r="X129" s="165" t="e">
        <f>'Toll Roads'!#REF!</f>
        <v>#REF!</v>
      </c>
      <c r="Y129" s="167"/>
      <c r="Z129" s="165"/>
      <c r="AA129" s="165">
        <f>'Toll Roads'!AD305</f>
        <v>17859.845000000001</v>
      </c>
      <c r="AB129" s="165">
        <f>'Toll Roads'!AE305</f>
        <v>23753</v>
      </c>
      <c r="AC129" s="165"/>
      <c r="AD129" s="165"/>
      <c r="AE129" s="165"/>
      <c r="AF129" s="167"/>
      <c r="AG129" s="165"/>
      <c r="AH129" s="165"/>
      <c r="AI129" s="165">
        <f>'Toll Roads'!AQ305</f>
        <v>10844.343000000001</v>
      </c>
      <c r="AJ129" s="165"/>
      <c r="AK129" s="165"/>
      <c r="AL129" s="165"/>
      <c r="AM129" s="167"/>
      <c r="AN129" s="165"/>
      <c r="AO129" s="165"/>
      <c r="AP129" s="165"/>
      <c r="AQ129" s="165"/>
      <c r="AR129" s="165"/>
      <c r="AS129" s="165"/>
      <c r="AT129" s="167"/>
      <c r="AU129" s="167"/>
      <c r="AV129" s="167"/>
      <c r="AW129" s="167"/>
      <c r="AX129" s="167"/>
      <c r="AY129" s="167"/>
      <c r="AZ129" s="167"/>
    </row>
    <row r="130" spans="1:52" s="92" customFormat="1" hidden="1" x14ac:dyDescent="0.25">
      <c r="A130" s="164" t="str">
        <f>Language!AA118</f>
        <v>Econorte</v>
      </c>
      <c r="B130" s="165">
        <f>'Toll Roads'!B306</f>
        <v>3439</v>
      </c>
      <c r="C130" s="165">
        <f>'Toll Roads'!C306</f>
        <v>3563</v>
      </c>
      <c r="D130" s="165">
        <f>'Toll Roads'!D306</f>
        <v>3768</v>
      </c>
      <c r="E130" s="166">
        <f>'Toll Roads'!E306</f>
        <v>3809</v>
      </c>
      <c r="F130" s="165">
        <f>'Toll Roads'!F306</f>
        <v>3610</v>
      </c>
      <c r="G130" s="165">
        <f>'Toll Roads'!G306</f>
        <v>3596</v>
      </c>
      <c r="H130" s="165">
        <f>'Toll Roads'!H306</f>
        <v>3978</v>
      </c>
      <c r="I130" s="166">
        <f>'Toll Roads'!I306</f>
        <v>4016</v>
      </c>
      <c r="J130" s="165">
        <f>'Toll Roads'!J306</f>
        <v>3814</v>
      </c>
      <c r="K130" s="165">
        <f>'Toll Roads'!K306</f>
        <v>3794</v>
      </c>
      <c r="L130" s="165">
        <f>'Toll Roads'!L306</f>
        <v>4060</v>
      </c>
      <c r="M130" s="166">
        <f>'Toll Roads'!M306</f>
        <v>4141</v>
      </c>
      <c r="N130" s="165">
        <f>'Toll Roads'!N306</f>
        <v>3609.9673074534157</v>
      </c>
      <c r="O130" s="165">
        <v>3803</v>
      </c>
      <c r="P130" s="165">
        <v>3941</v>
      </c>
      <c r="Q130" s="165">
        <f>'Toll Roads'!Q306</f>
        <v>3778.9039720496894</v>
      </c>
      <c r="R130" s="167">
        <f>'Toll Roads'!R306</f>
        <v>3455.3938354037264</v>
      </c>
      <c r="S130" s="165">
        <f>'Toll Roads'!S306</f>
        <v>3386.4474347826085</v>
      </c>
      <c r="T130" s="165">
        <f>'Toll Roads'!W306</f>
        <v>10427.416413043476</v>
      </c>
      <c r="U130" s="165">
        <f>'Toll Roads'!X306</f>
        <v>14073.210635265699</v>
      </c>
      <c r="V130" s="165"/>
      <c r="W130" s="165">
        <f>'Toll Roads'!X306</f>
        <v>14073.210635265699</v>
      </c>
      <c r="X130" s="165" t="e">
        <f>'Toll Roads'!#REF!</f>
        <v>#REF!</v>
      </c>
      <c r="Y130" s="167"/>
      <c r="Z130" s="165"/>
      <c r="AA130" s="165">
        <f>'Toll Roads'!AD306</f>
        <v>10014.57508479532</v>
      </c>
      <c r="AB130" s="165">
        <f>'Toll Roads'!AE306</f>
        <v>13286</v>
      </c>
      <c r="AC130" s="165"/>
      <c r="AD130" s="165"/>
      <c r="AE130" s="165"/>
      <c r="AF130" s="167"/>
      <c r="AG130" s="165"/>
      <c r="AH130" s="165"/>
      <c r="AI130" s="165">
        <f>'Toll Roads'!AQ306</f>
        <v>5869</v>
      </c>
      <c r="AJ130" s="165"/>
      <c r="AK130" s="165"/>
      <c r="AL130" s="165"/>
      <c r="AM130" s="167"/>
      <c r="AN130" s="165"/>
      <c r="AO130" s="165"/>
      <c r="AP130" s="165"/>
      <c r="AQ130" s="165"/>
      <c r="AR130" s="165"/>
      <c r="AS130" s="165"/>
      <c r="AT130" s="167"/>
      <c r="AU130" s="167"/>
      <c r="AV130" s="167"/>
      <c r="AW130" s="167"/>
      <c r="AX130" s="167"/>
      <c r="AY130" s="167"/>
      <c r="AZ130" s="167"/>
    </row>
    <row r="131" spans="1:52" s="100" customFormat="1" ht="13" hidden="1" x14ac:dyDescent="0.3">
      <c r="A131" s="160" t="str">
        <f>Language!AA121</f>
        <v>Energia (MWh)</v>
      </c>
      <c r="B131" s="161" t="e">
        <f>SUM(B132,B133)</f>
        <v>#REF!</v>
      </c>
      <c r="C131" s="161" t="e">
        <f t="shared" ref="C131:K131" si="551">SUM(C132,C133)</f>
        <v>#REF!</v>
      </c>
      <c r="D131" s="161" t="e">
        <f t="shared" si="551"/>
        <v>#REF!</v>
      </c>
      <c r="E131" s="162" t="e">
        <f t="shared" si="551"/>
        <v>#REF!</v>
      </c>
      <c r="F131" s="161" t="e">
        <f t="shared" si="551"/>
        <v>#REF!</v>
      </c>
      <c r="G131" s="161" t="e">
        <f t="shared" si="551"/>
        <v>#REF!</v>
      </c>
      <c r="H131" s="161" t="e">
        <f t="shared" si="551"/>
        <v>#REF!</v>
      </c>
      <c r="I131" s="162" t="e">
        <f t="shared" si="551"/>
        <v>#REF!</v>
      </c>
      <c r="J131" s="161" t="e">
        <f t="shared" si="551"/>
        <v>#REF!</v>
      </c>
      <c r="K131" s="161" t="e">
        <f t="shared" si="551"/>
        <v>#REF!</v>
      </c>
      <c r="L131" s="161" t="e">
        <f t="shared" ref="L131:M131" si="552">SUM(L132,L133)</f>
        <v>#REF!</v>
      </c>
      <c r="M131" s="162" t="e">
        <f t="shared" si="552"/>
        <v>#REF!</v>
      </c>
      <c r="N131" s="161" t="e">
        <f t="shared" ref="N131:Q131" si="553">SUM(N132,N133)</f>
        <v>#REF!</v>
      </c>
      <c r="O131" s="161" t="e">
        <f t="shared" si="553"/>
        <v>#REF!</v>
      </c>
      <c r="P131" s="161">
        <f t="shared" si="553"/>
        <v>230807.67600000001</v>
      </c>
      <c r="Q131" s="161" t="e">
        <f t="shared" si="553"/>
        <v>#REF!</v>
      </c>
      <c r="R131" s="163" t="e">
        <f t="shared" ref="R131:S131" si="554">SUM(R132,R133)</f>
        <v>#REF!</v>
      </c>
      <c r="S131" s="161" t="e">
        <f t="shared" si="554"/>
        <v>#REF!</v>
      </c>
      <c r="T131" s="161" t="e">
        <f t="shared" ref="T131:W131" si="555">SUM(T132,T133)</f>
        <v>#REF!</v>
      </c>
      <c r="U131" s="161" t="e">
        <f t="shared" ref="U131" si="556">SUM(U132,U133)</f>
        <v>#REF!</v>
      </c>
      <c r="V131" s="161"/>
      <c r="W131" s="161" t="e">
        <f t="shared" si="555"/>
        <v>#REF!</v>
      </c>
      <c r="X131" s="161" t="e">
        <f t="shared" ref="X131" si="557">SUM(X132,X133)</f>
        <v>#REF!</v>
      </c>
      <c r="Y131" s="163"/>
      <c r="Z131" s="161"/>
      <c r="AA131" s="161" t="e">
        <f t="shared" ref="AA131:AB131" si="558">SUM(AA132,AA133)</f>
        <v>#REF!</v>
      </c>
      <c r="AB131" s="161" t="e">
        <f t="shared" si="558"/>
        <v>#REF!</v>
      </c>
      <c r="AC131" s="161"/>
      <c r="AD131" s="161"/>
      <c r="AE131" s="161"/>
      <c r="AF131" s="163"/>
      <c r="AG131" s="161"/>
      <c r="AH131" s="161"/>
      <c r="AI131" s="161" t="e">
        <f t="shared" ref="AI131" si="559">SUM(AI132,AI133)</f>
        <v>#REF!</v>
      </c>
      <c r="AJ131" s="161"/>
      <c r="AK131" s="161"/>
      <c r="AL131" s="161"/>
      <c r="AM131" s="163"/>
      <c r="AN131" s="161"/>
      <c r="AO131" s="161"/>
      <c r="AP131" s="161"/>
      <c r="AQ131" s="161"/>
      <c r="AR131" s="161"/>
      <c r="AS131" s="161"/>
      <c r="AT131" s="163"/>
      <c r="AU131" s="163"/>
      <c r="AV131" s="163"/>
      <c r="AW131" s="163"/>
      <c r="AX131" s="163"/>
      <c r="AY131" s="163"/>
      <c r="AZ131" s="163"/>
    </row>
    <row r="132" spans="1:52" s="92" customFormat="1" hidden="1" x14ac:dyDescent="0.25">
      <c r="A132" s="164" t="str">
        <f>Language!AA122</f>
        <v>Rio Verde</v>
      </c>
      <c r="B132" s="165" t="e">
        <f>Energy!#REF!</f>
        <v>#REF!</v>
      </c>
      <c r="C132" s="165" t="e">
        <f>Energy!#REF!</f>
        <v>#REF!</v>
      </c>
      <c r="D132" s="165" t="e">
        <f>Energy!#REF!</f>
        <v>#REF!</v>
      </c>
      <c r="E132" s="166" t="e">
        <f>Energy!#REF!</f>
        <v>#REF!</v>
      </c>
      <c r="F132" s="165" t="e">
        <f>Energy!#REF!</f>
        <v>#REF!</v>
      </c>
      <c r="G132" s="165" t="e">
        <f>Energy!#REF!</f>
        <v>#REF!</v>
      </c>
      <c r="H132" s="165" t="e">
        <f>Energy!#REF!</f>
        <v>#REF!</v>
      </c>
      <c r="I132" s="166" t="e">
        <f>Energy!#REF!</f>
        <v>#REF!</v>
      </c>
      <c r="J132" s="165" t="e">
        <f>Energy!#REF!</f>
        <v>#REF!</v>
      </c>
      <c r="K132" s="165" t="e">
        <f>Energy!#REF!</f>
        <v>#REF!</v>
      </c>
      <c r="L132" s="165" t="e">
        <f>Energy!#REF!</f>
        <v>#REF!</v>
      </c>
      <c r="M132" s="166" t="e">
        <f>Energy!#REF!</f>
        <v>#REF!</v>
      </c>
      <c r="N132" s="165" t="e">
        <f>Energy!#REF!</f>
        <v>#REF!</v>
      </c>
      <c r="O132" s="165">
        <v>148075</v>
      </c>
      <c r="P132" s="165">
        <v>149702.20000000001</v>
      </c>
      <c r="Q132" s="165" t="e">
        <f>Energy!#REF!</f>
        <v>#REF!</v>
      </c>
      <c r="R132" s="167" t="e">
        <f>Energy!#REF!</f>
        <v>#REF!</v>
      </c>
      <c r="S132" s="165" t="e">
        <f>Energy!#REF!</f>
        <v>#REF!</v>
      </c>
      <c r="T132" s="165" t="e">
        <f>Energy!#REF!</f>
        <v>#REF!</v>
      </c>
      <c r="U132" s="165" t="e">
        <f>Energy!#REF!</f>
        <v>#REF!</v>
      </c>
      <c r="V132" s="165"/>
      <c r="W132" s="165" t="e">
        <f>Energy!#REF!</f>
        <v>#REF!</v>
      </c>
      <c r="X132" s="165" t="e">
        <f>Energy!#REF!</f>
        <v>#REF!</v>
      </c>
      <c r="Y132" s="167"/>
      <c r="Z132" s="165"/>
      <c r="AA132" s="165" t="e">
        <f>Energy!#REF!</f>
        <v>#REF!</v>
      </c>
      <c r="AB132" s="165" t="e">
        <f>Energy!#REF!</f>
        <v>#REF!</v>
      </c>
      <c r="AC132" s="165"/>
      <c r="AD132" s="165"/>
      <c r="AE132" s="165"/>
      <c r="AF132" s="167"/>
      <c r="AG132" s="165"/>
      <c r="AH132" s="165"/>
      <c r="AI132" s="165" t="e">
        <f>Energy!#REF!</f>
        <v>#REF!</v>
      </c>
      <c r="AJ132" s="165"/>
      <c r="AK132" s="165"/>
      <c r="AL132" s="165"/>
      <c r="AM132" s="167"/>
      <c r="AN132" s="165"/>
      <c r="AO132" s="165"/>
      <c r="AP132" s="165"/>
      <c r="AQ132" s="165"/>
      <c r="AR132" s="165"/>
      <c r="AS132" s="165"/>
      <c r="AT132" s="167"/>
      <c r="AU132" s="167"/>
      <c r="AV132" s="167"/>
      <c r="AW132" s="167"/>
      <c r="AX132" s="167"/>
      <c r="AY132" s="167"/>
      <c r="AZ132" s="167"/>
    </row>
    <row r="133" spans="1:52" s="92" customFormat="1" hidden="1" x14ac:dyDescent="0.25">
      <c r="A133" s="164" t="str">
        <f>Language!AA123</f>
        <v>Rio Canoas</v>
      </c>
      <c r="B133" s="165" t="e">
        <f>Energy!#REF!</f>
        <v>#REF!</v>
      </c>
      <c r="C133" s="165" t="e">
        <f>Energy!#REF!</f>
        <v>#REF!</v>
      </c>
      <c r="D133" s="165" t="e">
        <f>Energy!#REF!</f>
        <v>#REF!</v>
      </c>
      <c r="E133" s="166" t="e">
        <f>Energy!#REF!</f>
        <v>#REF!</v>
      </c>
      <c r="F133" s="165" t="e">
        <f>Energy!#REF!</f>
        <v>#REF!</v>
      </c>
      <c r="G133" s="165" t="e">
        <f>Energy!#REF!</f>
        <v>#REF!</v>
      </c>
      <c r="H133" s="165" t="e">
        <f>Energy!#REF!</f>
        <v>#REF!</v>
      </c>
      <c r="I133" s="166" t="e">
        <f>Energy!#REF!</f>
        <v>#REF!</v>
      </c>
      <c r="J133" s="165" t="e">
        <f>Energy!#REF!</f>
        <v>#REF!</v>
      </c>
      <c r="K133" s="165" t="e">
        <f>Energy!#REF!</f>
        <v>#REF!</v>
      </c>
      <c r="L133" s="165" t="e">
        <f>Energy!#REF!+Energy!#REF!</f>
        <v>#REF!</v>
      </c>
      <c r="M133" s="166" t="e">
        <f>Energy!#REF!+Energy!#REF!</f>
        <v>#REF!</v>
      </c>
      <c r="N133" s="165" t="e">
        <f>Energy!#REF!+Energy!#REF!</f>
        <v>#REF!</v>
      </c>
      <c r="O133" s="165" t="e">
        <f>Energy!#REF!+Energy!#REF!</f>
        <v>#REF!</v>
      </c>
      <c r="P133" s="165">
        <v>81105.475999999995</v>
      </c>
      <c r="Q133" s="165" t="e">
        <f>Energy!#REF!</f>
        <v>#REF!</v>
      </c>
      <c r="R133" s="167" t="e">
        <f>Energy!#REF!</f>
        <v>#REF!</v>
      </c>
      <c r="S133" s="165" t="e">
        <f>Energy!#REF!</f>
        <v>#REF!</v>
      </c>
      <c r="T133" s="165" t="e">
        <f>Energy!#REF!</f>
        <v>#REF!</v>
      </c>
      <c r="U133" s="165" t="e">
        <f>Energy!#REF!</f>
        <v>#REF!</v>
      </c>
      <c r="V133" s="165"/>
      <c r="W133" s="165" t="e">
        <f>Energy!#REF!</f>
        <v>#REF!</v>
      </c>
      <c r="X133" s="165" t="e">
        <f>Energy!#REF!</f>
        <v>#REF!</v>
      </c>
      <c r="Y133" s="167"/>
      <c r="Z133" s="165"/>
      <c r="AA133" s="165" t="e">
        <f>Energy!#REF!</f>
        <v>#REF!</v>
      </c>
      <c r="AB133" s="165" t="e">
        <f>Energy!#REF!</f>
        <v>#REF!</v>
      </c>
      <c r="AC133" s="165"/>
      <c r="AD133" s="165"/>
      <c r="AE133" s="165"/>
      <c r="AF133" s="167"/>
      <c r="AG133" s="165"/>
      <c r="AH133" s="165"/>
      <c r="AI133" s="165" t="e">
        <f>Energy!#REF!</f>
        <v>#REF!</v>
      </c>
      <c r="AJ133" s="165"/>
      <c r="AK133" s="165"/>
      <c r="AL133" s="165"/>
      <c r="AM133" s="167"/>
      <c r="AN133" s="165"/>
      <c r="AO133" s="165"/>
      <c r="AP133" s="165"/>
      <c r="AQ133" s="165"/>
      <c r="AR133" s="165"/>
      <c r="AS133" s="165"/>
      <c r="AT133" s="167"/>
      <c r="AU133" s="167"/>
      <c r="AV133" s="167"/>
      <c r="AW133" s="167"/>
      <c r="AX133" s="167"/>
      <c r="AY133" s="167"/>
      <c r="AZ133" s="167"/>
    </row>
    <row r="134" spans="1:52" s="100" customFormat="1" ht="13" hidden="1" x14ac:dyDescent="0.3">
      <c r="A134" s="160" t="str">
        <f>Language!AA126</f>
        <v>Portos (TEUs)</v>
      </c>
      <c r="B134" s="161" t="e">
        <f>#REF!</f>
        <v>#REF!</v>
      </c>
      <c r="C134" s="161" t="e">
        <f>#REF!</f>
        <v>#REF!</v>
      </c>
      <c r="D134" s="161" t="e">
        <f>#REF!</f>
        <v>#REF!</v>
      </c>
      <c r="E134" s="162" t="e">
        <f>#REF!</f>
        <v>#REF!</v>
      </c>
      <c r="F134" s="161" t="e">
        <f>#REF!</f>
        <v>#REF!</v>
      </c>
      <c r="G134" s="161" t="e">
        <f>#REF!</f>
        <v>#REF!</v>
      </c>
      <c r="H134" s="161" t="e">
        <f>#REF!</f>
        <v>#REF!</v>
      </c>
      <c r="I134" s="162" t="e">
        <f>#REF!</f>
        <v>#REF!</v>
      </c>
      <c r="J134" s="161" t="e">
        <f>#REF!</f>
        <v>#REF!</v>
      </c>
      <c r="K134" s="161" t="e">
        <f>#REF!</f>
        <v>#REF!</v>
      </c>
      <c r="L134" s="161" t="e">
        <f>#REF!</f>
        <v>#REF!</v>
      </c>
      <c r="M134" s="162" t="e">
        <f>#REF!</f>
        <v>#REF!</v>
      </c>
      <c r="N134" s="161" t="e">
        <f>#REF!</f>
        <v>#REF!</v>
      </c>
      <c r="O134" s="161">
        <v>166169</v>
      </c>
      <c r="P134" s="161">
        <v>195302</v>
      </c>
      <c r="Q134" s="161" t="e">
        <f>#REF!</f>
        <v>#REF!</v>
      </c>
      <c r="R134" s="163" t="e">
        <f>#REF!</f>
        <v>#REF!</v>
      </c>
      <c r="S134" s="161" t="e">
        <f>#REF!</f>
        <v>#REF!</v>
      </c>
      <c r="T134" s="161" t="e">
        <f>#REF!</f>
        <v>#REF!</v>
      </c>
      <c r="U134" s="161" t="e">
        <f>#REF!</f>
        <v>#REF!</v>
      </c>
      <c r="V134" s="161"/>
      <c r="W134" s="161" t="e">
        <f>#REF!</f>
        <v>#REF!</v>
      </c>
      <c r="X134" s="161" t="e">
        <f>#REF!</f>
        <v>#REF!</v>
      </c>
      <c r="Y134" s="163"/>
      <c r="Z134" s="161"/>
      <c r="AA134" s="161" t="e">
        <f>#REF!</f>
        <v>#REF!</v>
      </c>
      <c r="AB134" s="161" t="e">
        <f>#REF!</f>
        <v>#REF!</v>
      </c>
      <c r="AC134" s="161"/>
      <c r="AD134" s="161"/>
      <c r="AE134" s="161"/>
      <c r="AF134" s="163"/>
      <c r="AG134" s="161"/>
      <c r="AH134" s="161"/>
      <c r="AI134" s="161" t="e">
        <f>#REF!</f>
        <v>#REF!</v>
      </c>
      <c r="AJ134" s="161"/>
      <c r="AK134" s="161"/>
      <c r="AL134" s="161"/>
      <c r="AM134" s="163"/>
      <c r="AN134" s="161"/>
      <c r="AO134" s="161"/>
      <c r="AP134" s="161"/>
      <c r="AQ134" s="161"/>
      <c r="AR134" s="161"/>
      <c r="AS134" s="161"/>
      <c r="AT134" s="163"/>
      <c r="AU134" s="163"/>
      <c r="AV134" s="163"/>
      <c r="AW134" s="163"/>
      <c r="AX134" s="163"/>
      <c r="AY134" s="163"/>
      <c r="AZ134" s="163"/>
    </row>
    <row r="135" spans="1:52" s="100" customFormat="1" ht="13" hidden="1" x14ac:dyDescent="0.3">
      <c r="A135" s="160" t="str">
        <f>Language!AA127</f>
        <v>Cabotagem (TEUs)</v>
      </c>
      <c r="B135" s="161" t="e">
        <f>#REF!</f>
        <v>#REF!</v>
      </c>
      <c r="C135" s="161" t="e">
        <f>#REF!</f>
        <v>#REF!</v>
      </c>
      <c r="D135" s="161" t="e">
        <f>#REF!</f>
        <v>#REF!</v>
      </c>
      <c r="E135" s="162" t="e">
        <f>#REF!</f>
        <v>#REF!</v>
      </c>
      <c r="F135" s="161" t="e">
        <f>#REF!</f>
        <v>#REF!</v>
      </c>
      <c r="G135" s="161" t="e">
        <f>#REF!</f>
        <v>#REF!</v>
      </c>
      <c r="H135" s="161" t="e">
        <f>#REF!</f>
        <v>#REF!</v>
      </c>
      <c r="I135" s="162" t="e">
        <f>#REF!</f>
        <v>#REF!</v>
      </c>
      <c r="J135" s="161" t="e">
        <f>#REF!</f>
        <v>#REF!</v>
      </c>
      <c r="K135" s="161" t="e">
        <f>#REF!</f>
        <v>#REF!</v>
      </c>
      <c r="L135" s="161" t="e">
        <f>#REF!</f>
        <v>#REF!</v>
      </c>
      <c r="M135" s="162" t="e">
        <f>#REF!</f>
        <v>#REF!</v>
      </c>
      <c r="N135" s="161" t="e">
        <f>#REF!</f>
        <v>#REF!</v>
      </c>
      <c r="O135" s="161">
        <v>0</v>
      </c>
      <c r="P135" s="161">
        <v>0</v>
      </c>
      <c r="Q135" s="161">
        <v>0</v>
      </c>
      <c r="R135" s="163">
        <v>0</v>
      </c>
      <c r="S135" s="161">
        <v>0</v>
      </c>
      <c r="T135" s="161">
        <v>0</v>
      </c>
      <c r="U135" s="161">
        <v>0</v>
      </c>
      <c r="V135" s="161"/>
      <c r="W135" s="161">
        <v>0</v>
      </c>
      <c r="X135" s="161">
        <v>0</v>
      </c>
      <c r="Y135" s="163"/>
      <c r="Z135" s="161"/>
      <c r="AA135" s="161">
        <v>0</v>
      </c>
      <c r="AB135" s="161">
        <v>0</v>
      </c>
      <c r="AC135" s="161"/>
      <c r="AD135" s="161"/>
      <c r="AE135" s="161"/>
      <c r="AF135" s="163"/>
      <c r="AG135" s="161"/>
      <c r="AH135" s="161"/>
      <c r="AI135" s="161">
        <v>0</v>
      </c>
      <c r="AJ135" s="161"/>
      <c r="AK135" s="161"/>
      <c r="AL135" s="161"/>
      <c r="AM135" s="163"/>
      <c r="AN135" s="161"/>
      <c r="AO135" s="161"/>
      <c r="AP135" s="161"/>
      <c r="AQ135" s="161"/>
      <c r="AR135" s="161"/>
      <c r="AS135" s="161"/>
      <c r="AT135" s="163"/>
      <c r="AU135" s="163"/>
      <c r="AV135" s="163"/>
      <c r="AW135" s="163"/>
      <c r="AX135" s="163"/>
      <c r="AY135" s="163"/>
      <c r="AZ135" s="163"/>
    </row>
    <row r="136" spans="1:52" s="100" customFormat="1" ht="13" hidden="1" x14ac:dyDescent="0.3">
      <c r="A136" s="160" t="str">
        <f>Language!AA128</f>
        <v>Aeroportos (WLU)</v>
      </c>
      <c r="B136" s="161" t="e">
        <f>#REF!</f>
        <v>#REF!</v>
      </c>
      <c r="C136" s="161" t="e">
        <f>#REF!</f>
        <v>#REF!</v>
      </c>
      <c r="D136" s="161" t="e">
        <f>#REF!</f>
        <v>#REF!</v>
      </c>
      <c r="E136" s="162" t="e">
        <f>#REF!</f>
        <v>#REF!</v>
      </c>
      <c r="F136" s="161" t="e">
        <f>#REF!</f>
        <v>#REF!</v>
      </c>
      <c r="G136" s="161" t="e">
        <f>#REF!</f>
        <v>#REF!</v>
      </c>
      <c r="H136" s="161" t="e">
        <f>#REF!</f>
        <v>#REF!</v>
      </c>
      <c r="I136" s="162" t="e">
        <f>#REF!</f>
        <v>#REF!</v>
      </c>
      <c r="J136" s="161" t="e">
        <f>#REF!</f>
        <v>#REF!</v>
      </c>
      <c r="K136" s="161" t="e">
        <f>#REF!</f>
        <v>#REF!</v>
      </c>
      <c r="L136" s="161" t="e">
        <f>#REF!</f>
        <v>#REF!</v>
      </c>
      <c r="M136" s="162" t="e">
        <f>#REF!</f>
        <v>#REF!</v>
      </c>
      <c r="N136" s="161" t="e">
        <f>#REF!</f>
        <v>#REF!</v>
      </c>
      <c r="O136" s="161">
        <v>2875295</v>
      </c>
      <c r="P136" s="161">
        <v>3125263</v>
      </c>
      <c r="Q136" s="161" t="e">
        <f>#REF!</f>
        <v>#REF!</v>
      </c>
      <c r="R136" s="163" t="e">
        <f>#REF!</f>
        <v>#REF!</v>
      </c>
      <c r="S136" s="161" t="e">
        <f>#REF!</f>
        <v>#REF!</v>
      </c>
      <c r="T136" s="161" t="e">
        <f>#REF!</f>
        <v>#REF!</v>
      </c>
      <c r="U136" s="161" t="e">
        <f>#REF!</f>
        <v>#REF!</v>
      </c>
      <c r="V136" s="161"/>
      <c r="W136" s="161" t="e">
        <f>#REF!</f>
        <v>#REF!</v>
      </c>
      <c r="X136" s="161" t="e">
        <f>#REF!</f>
        <v>#REF!</v>
      </c>
      <c r="Y136" s="163"/>
      <c r="Z136" s="161"/>
      <c r="AA136" s="161" t="e">
        <f>#REF!</f>
        <v>#REF!</v>
      </c>
      <c r="AB136" s="161" t="e">
        <f>#REF!</f>
        <v>#REF!</v>
      </c>
      <c r="AC136" s="161"/>
      <c r="AD136" s="161"/>
      <c r="AE136" s="161"/>
      <c r="AF136" s="163"/>
      <c r="AG136" s="161"/>
      <c r="AH136" s="161"/>
      <c r="AI136" s="161" t="e">
        <f>#REF!</f>
        <v>#REF!</v>
      </c>
      <c r="AJ136" s="161"/>
      <c r="AK136" s="161"/>
      <c r="AL136" s="161"/>
      <c r="AM136" s="163"/>
      <c r="AN136" s="161"/>
      <c r="AO136" s="161"/>
      <c r="AP136" s="161"/>
      <c r="AQ136" s="161"/>
      <c r="AR136" s="161"/>
      <c r="AS136" s="161"/>
      <c r="AT136" s="163"/>
      <c r="AU136" s="163"/>
      <c r="AV136" s="163"/>
      <c r="AW136" s="163"/>
      <c r="AX136" s="163"/>
      <c r="AY136" s="163"/>
      <c r="AZ136" s="163"/>
    </row>
    <row r="137" spans="1:52" s="92" customFormat="1" ht="13" hidden="1" x14ac:dyDescent="0.3">
      <c r="A137" s="142" t="str">
        <f>Language!AA129</f>
        <v>Participação Societária</v>
      </c>
      <c r="B137" s="168"/>
      <c r="C137" s="168"/>
      <c r="D137" s="168"/>
      <c r="E137" s="169"/>
      <c r="F137" s="168"/>
      <c r="G137" s="168"/>
      <c r="H137" s="168"/>
      <c r="I137" s="169"/>
      <c r="J137" s="168"/>
      <c r="K137" s="168"/>
      <c r="L137" s="168"/>
      <c r="M137" s="169"/>
      <c r="N137" s="168"/>
      <c r="O137" s="168"/>
      <c r="P137" s="168"/>
      <c r="Q137" s="168"/>
      <c r="R137" s="170"/>
      <c r="S137" s="168"/>
      <c r="T137" s="168"/>
      <c r="U137" s="168"/>
      <c r="V137" s="168"/>
      <c r="W137" s="168"/>
      <c r="X137" s="168"/>
      <c r="Y137" s="170"/>
      <c r="Z137" s="168"/>
      <c r="AA137" s="168"/>
      <c r="AB137" s="168"/>
      <c r="AC137" s="168"/>
      <c r="AD137" s="168"/>
      <c r="AE137" s="168"/>
      <c r="AF137" s="170"/>
      <c r="AG137" s="168"/>
      <c r="AH137" s="168"/>
      <c r="AI137" s="168"/>
      <c r="AJ137" s="168"/>
      <c r="AK137" s="168"/>
      <c r="AL137" s="168"/>
      <c r="AM137" s="170"/>
      <c r="AN137" s="168"/>
      <c r="AO137" s="168"/>
      <c r="AP137" s="168"/>
      <c r="AQ137" s="168"/>
      <c r="AR137" s="168"/>
      <c r="AS137" s="168"/>
      <c r="AT137" s="170"/>
      <c r="AU137" s="170"/>
      <c r="AV137" s="170"/>
      <c r="AW137" s="170"/>
      <c r="AX137" s="170"/>
      <c r="AY137" s="170"/>
      <c r="AZ137" s="170"/>
    </row>
    <row r="138" spans="1:52" s="100" customFormat="1" ht="13" hidden="1" x14ac:dyDescent="0.3">
      <c r="A138" s="160" t="str">
        <f>Language!AA130</f>
        <v>Concessões Rodoviárias</v>
      </c>
      <c r="B138" s="161"/>
      <c r="C138" s="161"/>
      <c r="D138" s="161"/>
      <c r="E138" s="162"/>
      <c r="F138" s="161"/>
      <c r="G138" s="161"/>
      <c r="H138" s="161"/>
      <c r="I138" s="162"/>
      <c r="J138" s="161"/>
      <c r="K138" s="161"/>
      <c r="L138" s="161"/>
      <c r="M138" s="162"/>
      <c r="N138" s="161"/>
      <c r="O138" s="161"/>
      <c r="P138" s="161"/>
      <c r="Q138" s="161"/>
      <c r="R138" s="163"/>
      <c r="S138" s="161"/>
      <c r="T138" s="161"/>
      <c r="U138" s="161"/>
      <c r="V138" s="161"/>
      <c r="W138" s="161"/>
      <c r="X138" s="161"/>
      <c r="Y138" s="163"/>
      <c r="Z138" s="161"/>
      <c r="AA138" s="161"/>
      <c r="AB138" s="161"/>
      <c r="AC138" s="161"/>
      <c r="AD138" s="161"/>
      <c r="AE138" s="161"/>
      <c r="AF138" s="163"/>
      <c r="AG138" s="161"/>
      <c r="AH138" s="161"/>
      <c r="AI138" s="161"/>
      <c r="AJ138" s="161"/>
      <c r="AK138" s="161"/>
      <c r="AL138" s="161"/>
      <c r="AM138" s="163"/>
      <c r="AN138" s="161"/>
      <c r="AO138" s="161"/>
      <c r="AP138" s="161"/>
      <c r="AQ138" s="161"/>
      <c r="AR138" s="161"/>
      <c r="AS138" s="161"/>
      <c r="AT138" s="163"/>
      <c r="AU138" s="163"/>
      <c r="AV138" s="163"/>
      <c r="AW138" s="163"/>
      <c r="AX138" s="163"/>
      <c r="AY138" s="163"/>
      <c r="AZ138" s="163"/>
    </row>
    <row r="139" spans="1:52" s="92" customFormat="1" hidden="1" x14ac:dyDescent="0.25">
      <c r="A139" s="164" t="str">
        <f>Language!AA131</f>
        <v>Concepa</v>
      </c>
      <c r="B139" s="171">
        <f>'Toll Roads'!B310</f>
        <v>1</v>
      </c>
      <c r="C139" s="171">
        <f>'Toll Roads'!C310</f>
        <v>1</v>
      </c>
      <c r="D139" s="171">
        <f>'Toll Roads'!D310</f>
        <v>1</v>
      </c>
      <c r="E139" s="172">
        <f>'Toll Roads'!E310</f>
        <v>1</v>
      </c>
      <c r="F139" s="171">
        <f>'Toll Roads'!F310</f>
        <v>1</v>
      </c>
      <c r="G139" s="171">
        <f>'Toll Roads'!G310</f>
        <v>1</v>
      </c>
      <c r="H139" s="171">
        <f>'Toll Roads'!H310</f>
        <v>1</v>
      </c>
      <c r="I139" s="172">
        <f>'Toll Roads'!I310</f>
        <v>1</v>
      </c>
      <c r="J139" s="171">
        <f>'Toll Roads'!J310</f>
        <v>1</v>
      </c>
      <c r="K139" s="171">
        <f>'Toll Roads'!K310</f>
        <v>1</v>
      </c>
      <c r="L139" s="171">
        <f>'Toll Roads'!L310</f>
        <v>1</v>
      </c>
      <c r="M139" s="172">
        <f>'Toll Roads'!M310</f>
        <v>1</v>
      </c>
      <c r="N139" s="171">
        <f>'Toll Roads'!N310</f>
        <v>1</v>
      </c>
      <c r="O139" s="171">
        <f>'Toll Roads'!O310</f>
        <v>1</v>
      </c>
      <c r="P139" s="171">
        <f>'Toll Roads'!P310</f>
        <v>1</v>
      </c>
      <c r="Q139" s="171">
        <f>'Toll Roads'!Q310</f>
        <v>1</v>
      </c>
      <c r="R139" s="173">
        <f>'Toll Roads'!R310</f>
        <v>1</v>
      </c>
      <c r="S139" s="171">
        <f>'Toll Roads'!S310</f>
        <v>1</v>
      </c>
      <c r="T139" s="171">
        <f>'Toll Roads'!W310</f>
        <v>1</v>
      </c>
      <c r="U139" s="171">
        <f>'Toll Roads'!X310</f>
        <v>1</v>
      </c>
      <c r="V139" s="171"/>
      <c r="W139" s="171">
        <f>'Toll Roads'!X310</f>
        <v>1</v>
      </c>
      <c r="X139" s="171" t="e">
        <f>'Toll Roads'!#REF!</f>
        <v>#REF!</v>
      </c>
      <c r="Y139" s="173"/>
      <c r="Z139" s="171"/>
      <c r="AA139" s="171">
        <f>'Toll Roads'!AD310</f>
        <v>1</v>
      </c>
      <c r="AB139" s="171">
        <f>'Toll Roads'!AE310</f>
        <v>1</v>
      </c>
      <c r="AC139" s="171"/>
      <c r="AD139" s="171"/>
      <c r="AE139" s="171"/>
      <c r="AF139" s="173"/>
      <c r="AG139" s="171"/>
      <c r="AH139" s="171"/>
      <c r="AI139" s="171">
        <f>'Toll Roads'!AQ310</f>
        <v>1</v>
      </c>
      <c r="AJ139" s="171"/>
      <c r="AK139" s="171"/>
      <c r="AL139" s="171"/>
      <c r="AM139" s="173"/>
      <c r="AN139" s="171"/>
      <c r="AO139" s="171"/>
      <c r="AP139" s="171"/>
      <c r="AQ139" s="171"/>
      <c r="AR139" s="171"/>
      <c r="AS139" s="171"/>
      <c r="AT139" s="173"/>
      <c r="AU139" s="173"/>
      <c r="AV139" s="173"/>
      <c r="AW139" s="173"/>
      <c r="AX139" s="173"/>
      <c r="AY139" s="173"/>
      <c r="AZ139" s="173"/>
    </row>
    <row r="140" spans="1:52" s="92" customFormat="1" hidden="1" x14ac:dyDescent="0.25">
      <c r="A140" s="164" t="str">
        <f>Language!AA132</f>
        <v>Concer</v>
      </c>
      <c r="B140" s="171">
        <f>'Toll Roads'!B311</f>
        <v>0.625</v>
      </c>
      <c r="C140" s="171">
        <f>'Toll Roads'!C311</f>
        <v>0.625</v>
      </c>
      <c r="D140" s="171">
        <f>'Toll Roads'!D311</f>
        <v>0.625</v>
      </c>
      <c r="E140" s="172">
        <f>'Toll Roads'!E311</f>
        <v>0.625</v>
      </c>
      <c r="F140" s="171">
        <f>'Toll Roads'!F311</f>
        <v>0.625</v>
      </c>
      <c r="G140" s="171">
        <f>'Toll Roads'!G311</f>
        <v>0.625</v>
      </c>
      <c r="H140" s="171">
        <f>'Toll Roads'!H311</f>
        <v>0.625</v>
      </c>
      <c r="I140" s="172">
        <f>'Toll Roads'!I311</f>
        <v>0.625</v>
      </c>
      <c r="J140" s="171">
        <f>'Toll Roads'!J311</f>
        <v>0.625</v>
      </c>
      <c r="K140" s="171">
        <f>'Toll Roads'!K311</f>
        <v>0.625</v>
      </c>
      <c r="L140" s="171">
        <f>'Toll Roads'!L311</f>
        <v>0.625</v>
      </c>
      <c r="M140" s="172">
        <f>'Toll Roads'!M311</f>
        <v>0.625</v>
      </c>
      <c r="N140" s="171">
        <f>'Toll Roads'!N311</f>
        <v>0.625</v>
      </c>
      <c r="O140" s="171">
        <f>'Toll Roads'!O311</f>
        <v>0.625</v>
      </c>
      <c r="P140" s="171">
        <f>'Toll Roads'!P311</f>
        <v>0.625</v>
      </c>
      <c r="Q140" s="171">
        <f>'Toll Roads'!Q311</f>
        <v>0.625</v>
      </c>
      <c r="R140" s="173">
        <f>'Toll Roads'!R311</f>
        <v>0.625</v>
      </c>
      <c r="S140" s="171">
        <f>'Toll Roads'!S311</f>
        <v>0.625</v>
      </c>
      <c r="T140" s="171">
        <f>'Toll Roads'!W311</f>
        <v>0.625</v>
      </c>
      <c r="U140" s="171">
        <f>'Toll Roads'!X311</f>
        <v>0.63759999999999994</v>
      </c>
      <c r="V140" s="171"/>
      <c r="W140" s="171">
        <f>'Toll Roads'!X311</f>
        <v>0.63759999999999994</v>
      </c>
      <c r="X140" s="171" t="e">
        <f>'Toll Roads'!#REF!</f>
        <v>#REF!</v>
      </c>
      <c r="Y140" s="173"/>
      <c r="Z140" s="171"/>
      <c r="AA140" s="171">
        <f>'Toll Roads'!AD311</f>
        <v>0.63759999999999994</v>
      </c>
      <c r="AB140" s="171">
        <f>'Toll Roads'!AE311</f>
        <v>0.64980000000000004</v>
      </c>
      <c r="AC140" s="171"/>
      <c r="AD140" s="171"/>
      <c r="AE140" s="171"/>
      <c r="AF140" s="173"/>
      <c r="AG140" s="171"/>
      <c r="AH140" s="171"/>
      <c r="AI140" s="171">
        <f>'Toll Roads'!AQ311</f>
        <v>0.64980000000000004</v>
      </c>
      <c r="AJ140" s="171"/>
      <c r="AK140" s="171"/>
      <c r="AL140" s="171"/>
      <c r="AM140" s="173"/>
      <c r="AN140" s="171"/>
      <c r="AO140" s="171"/>
      <c r="AP140" s="171"/>
      <c r="AQ140" s="171"/>
      <c r="AR140" s="171"/>
      <c r="AS140" s="171"/>
      <c r="AT140" s="173"/>
      <c r="AU140" s="173"/>
      <c r="AV140" s="173"/>
      <c r="AW140" s="173"/>
      <c r="AX140" s="173"/>
      <c r="AY140" s="173"/>
      <c r="AZ140" s="173"/>
    </row>
    <row r="141" spans="1:52" s="92" customFormat="1" hidden="1" x14ac:dyDescent="0.25">
      <c r="A141" s="164" t="str">
        <f>Language!AA133</f>
        <v>Econorte</v>
      </c>
      <c r="B141" s="171">
        <f>'Toll Roads'!B312</f>
        <v>1</v>
      </c>
      <c r="C141" s="171">
        <f>'Toll Roads'!C312</f>
        <v>1</v>
      </c>
      <c r="D141" s="171">
        <f>'Toll Roads'!D312</f>
        <v>1</v>
      </c>
      <c r="E141" s="172">
        <f>'Toll Roads'!E312</f>
        <v>1</v>
      </c>
      <c r="F141" s="171">
        <f>'Toll Roads'!F312</f>
        <v>1</v>
      </c>
      <c r="G141" s="171">
        <f>'Toll Roads'!G312</f>
        <v>1</v>
      </c>
      <c r="H141" s="171">
        <f>'Toll Roads'!H312</f>
        <v>1</v>
      </c>
      <c r="I141" s="172">
        <f>'Toll Roads'!I312</f>
        <v>1</v>
      </c>
      <c r="J141" s="171">
        <f>'Toll Roads'!J312</f>
        <v>1</v>
      </c>
      <c r="K141" s="171">
        <f>'Toll Roads'!K312</f>
        <v>1</v>
      </c>
      <c r="L141" s="171">
        <f>'Toll Roads'!L312</f>
        <v>1</v>
      </c>
      <c r="M141" s="172">
        <f>'Toll Roads'!M312</f>
        <v>1</v>
      </c>
      <c r="N141" s="171">
        <f>'Toll Roads'!N312</f>
        <v>1</v>
      </c>
      <c r="O141" s="171">
        <f>'Toll Roads'!O312</f>
        <v>1</v>
      </c>
      <c r="P141" s="171">
        <f>'Toll Roads'!P312</f>
        <v>1</v>
      </c>
      <c r="Q141" s="171">
        <f>'Toll Roads'!Q312</f>
        <v>1</v>
      </c>
      <c r="R141" s="173">
        <f>'Toll Roads'!R312</f>
        <v>1</v>
      </c>
      <c r="S141" s="171">
        <f>'Toll Roads'!S312</f>
        <v>1</v>
      </c>
      <c r="T141" s="171">
        <f>'Toll Roads'!W312</f>
        <v>1</v>
      </c>
      <c r="U141" s="171">
        <f>'Toll Roads'!X312</f>
        <v>1</v>
      </c>
      <c r="V141" s="171"/>
      <c r="W141" s="171">
        <f>'Toll Roads'!X312</f>
        <v>1</v>
      </c>
      <c r="X141" s="171" t="e">
        <f>'Toll Roads'!#REF!</f>
        <v>#REF!</v>
      </c>
      <c r="Y141" s="173"/>
      <c r="Z141" s="171"/>
      <c r="AA141" s="171">
        <f>'Toll Roads'!AD312</f>
        <v>1</v>
      </c>
      <c r="AB141" s="171">
        <f>'Toll Roads'!AE312</f>
        <v>1</v>
      </c>
      <c r="AC141" s="171"/>
      <c r="AD141" s="171"/>
      <c r="AE141" s="171"/>
      <c r="AF141" s="173"/>
      <c r="AG141" s="171"/>
      <c r="AH141" s="171"/>
      <c r="AI141" s="171">
        <f>'Toll Roads'!AQ312</f>
        <v>1</v>
      </c>
      <c r="AJ141" s="171"/>
      <c r="AK141" s="171"/>
      <c r="AL141" s="171"/>
      <c r="AM141" s="173"/>
      <c r="AN141" s="171"/>
      <c r="AO141" s="171"/>
      <c r="AP141" s="171"/>
      <c r="AQ141" s="171"/>
      <c r="AR141" s="171"/>
      <c r="AS141" s="171"/>
      <c r="AT141" s="173"/>
      <c r="AU141" s="173"/>
      <c r="AV141" s="173"/>
      <c r="AW141" s="173"/>
      <c r="AX141" s="173"/>
      <c r="AY141" s="173"/>
      <c r="AZ141" s="173"/>
    </row>
    <row r="142" spans="1:52" s="92" customFormat="1" hidden="1" x14ac:dyDescent="0.25">
      <c r="A142" s="164" t="s">
        <v>600</v>
      </c>
      <c r="B142" s="171">
        <v>0</v>
      </c>
      <c r="C142" s="171">
        <v>0</v>
      </c>
      <c r="D142" s="171">
        <v>0</v>
      </c>
      <c r="E142" s="172">
        <v>0</v>
      </c>
      <c r="F142" s="171">
        <v>0</v>
      </c>
      <c r="G142" s="171">
        <v>0</v>
      </c>
      <c r="H142" s="171">
        <v>0</v>
      </c>
      <c r="I142" s="172">
        <v>0</v>
      </c>
      <c r="J142" s="171">
        <v>0</v>
      </c>
      <c r="K142" s="171">
        <v>0</v>
      </c>
      <c r="L142" s="171">
        <v>0</v>
      </c>
      <c r="M142" s="172">
        <v>0</v>
      </c>
      <c r="N142" s="171">
        <v>1</v>
      </c>
      <c r="O142" s="171">
        <v>1</v>
      </c>
      <c r="P142" s="171">
        <v>1</v>
      </c>
      <c r="Q142" s="171">
        <v>2</v>
      </c>
      <c r="R142" s="173">
        <v>2</v>
      </c>
      <c r="S142" s="171">
        <v>2</v>
      </c>
      <c r="T142" s="171">
        <v>2</v>
      </c>
      <c r="U142" s="171">
        <v>2</v>
      </c>
      <c r="V142" s="171"/>
      <c r="W142" s="171">
        <v>2</v>
      </c>
      <c r="X142" s="171">
        <v>2</v>
      </c>
      <c r="Y142" s="173"/>
      <c r="Z142" s="171"/>
      <c r="AA142" s="171">
        <v>2</v>
      </c>
      <c r="AB142" s="171">
        <v>2</v>
      </c>
      <c r="AC142" s="171"/>
      <c r="AD142" s="171"/>
      <c r="AE142" s="171"/>
      <c r="AF142" s="173"/>
      <c r="AG142" s="171"/>
      <c r="AH142" s="171"/>
      <c r="AI142" s="171">
        <v>2</v>
      </c>
      <c r="AJ142" s="171"/>
      <c r="AK142" s="171"/>
      <c r="AL142" s="171"/>
      <c r="AM142" s="173"/>
      <c r="AN142" s="171"/>
      <c r="AO142" s="171"/>
      <c r="AP142" s="171"/>
      <c r="AQ142" s="171"/>
      <c r="AR142" s="171"/>
      <c r="AS142" s="171"/>
      <c r="AT142" s="173"/>
      <c r="AU142" s="173"/>
      <c r="AV142" s="173"/>
      <c r="AW142" s="173"/>
      <c r="AX142" s="173"/>
      <c r="AY142" s="173"/>
      <c r="AZ142" s="173"/>
    </row>
    <row r="143" spans="1:52" s="100" customFormat="1" ht="13" hidden="1" x14ac:dyDescent="0.3">
      <c r="A143" s="160" t="str">
        <f>Language!AA136</f>
        <v>Energia</v>
      </c>
      <c r="B143" s="174"/>
      <c r="C143" s="174"/>
      <c r="D143" s="174"/>
      <c r="E143" s="175"/>
      <c r="F143" s="174"/>
      <c r="G143" s="174"/>
      <c r="H143" s="174"/>
      <c r="I143" s="175"/>
      <c r="J143" s="174"/>
      <c r="K143" s="174"/>
      <c r="L143" s="174"/>
      <c r="M143" s="175"/>
      <c r="N143" s="174"/>
      <c r="O143" s="174"/>
      <c r="P143" s="174"/>
      <c r="Q143" s="174"/>
      <c r="R143" s="176"/>
      <c r="S143" s="174"/>
      <c r="T143" s="174"/>
      <c r="U143" s="174"/>
      <c r="V143" s="174"/>
      <c r="W143" s="174"/>
      <c r="X143" s="174"/>
      <c r="Y143" s="176"/>
      <c r="Z143" s="174"/>
      <c r="AA143" s="174"/>
      <c r="AB143" s="174"/>
      <c r="AC143" s="174"/>
      <c r="AD143" s="174"/>
      <c r="AE143" s="174"/>
      <c r="AF143" s="176"/>
      <c r="AG143" s="174"/>
      <c r="AH143" s="174"/>
      <c r="AI143" s="174"/>
      <c r="AJ143" s="174"/>
      <c r="AK143" s="174"/>
      <c r="AL143" s="174"/>
      <c r="AM143" s="176"/>
      <c r="AN143" s="174"/>
      <c r="AO143" s="174"/>
      <c r="AP143" s="174"/>
      <c r="AQ143" s="174"/>
      <c r="AR143" s="174"/>
      <c r="AS143" s="174"/>
      <c r="AT143" s="176"/>
      <c r="AU143" s="176"/>
      <c r="AV143" s="176"/>
      <c r="AW143" s="176"/>
      <c r="AX143" s="176"/>
      <c r="AY143" s="176"/>
      <c r="AZ143" s="176"/>
    </row>
    <row r="144" spans="1:52" s="92" customFormat="1" hidden="1" x14ac:dyDescent="0.25">
      <c r="A144" s="164" t="str">
        <f>Language!AA137</f>
        <v>Rio Verde</v>
      </c>
      <c r="B144" s="171">
        <f>Energy!B181</f>
        <v>1</v>
      </c>
      <c r="C144" s="171">
        <f>Energy!C181</f>
        <v>1</v>
      </c>
      <c r="D144" s="171">
        <f>Energy!D181</f>
        <v>1</v>
      </c>
      <c r="E144" s="172">
        <f>Energy!E181</f>
        <v>1</v>
      </c>
      <c r="F144" s="171">
        <f>Energy!F181</f>
        <v>1</v>
      </c>
      <c r="G144" s="171">
        <f>Energy!G181</f>
        <v>1</v>
      </c>
      <c r="H144" s="171">
        <f>Energy!H181</f>
        <v>1</v>
      </c>
      <c r="I144" s="172">
        <f>Energy!I181</f>
        <v>1</v>
      </c>
      <c r="J144" s="171">
        <f>Energy!J181</f>
        <v>1</v>
      </c>
      <c r="K144" s="171">
        <f>Energy!K181</f>
        <v>1</v>
      </c>
      <c r="L144" s="171">
        <f>Energy!L181</f>
        <v>1</v>
      </c>
      <c r="M144" s="172">
        <f>Energy!M181</f>
        <v>1</v>
      </c>
      <c r="N144" s="171">
        <f>Energy!N181</f>
        <v>1</v>
      </c>
      <c r="O144" s="171">
        <f>Energy!O181</f>
        <v>1</v>
      </c>
      <c r="P144" s="171">
        <f>Energy!P181</f>
        <v>1</v>
      </c>
      <c r="Q144" s="171">
        <f>Energy!Q181</f>
        <v>1</v>
      </c>
      <c r="R144" s="173">
        <f>Energy!R181</f>
        <v>1</v>
      </c>
      <c r="S144" s="171">
        <f>Energy!S181</f>
        <v>1</v>
      </c>
      <c r="T144" s="171">
        <f>Energy!T181</f>
        <v>1</v>
      </c>
      <c r="U144" s="171">
        <f>Energy!U181</f>
        <v>0</v>
      </c>
      <c r="V144" s="171"/>
      <c r="W144" s="171">
        <f>Energy!W181</f>
        <v>1</v>
      </c>
      <c r="X144" s="171">
        <f>Energy!X181</f>
        <v>0</v>
      </c>
      <c r="Y144" s="173"/>
      <c r="Z144" s="171"/>
      <c r="AA144" s="171">
        <f>Energy!AA181</f>
        <v>0</v>
      </c>
      <c r="AB144" s="171">
        <f>Energy!AB181</f>
        <v>0</v>
      </c>
      <c r="AC144" s="171"/>
      <c r="AD144" s="171"/>
      <c r="AE144" s="171"/>
      <c r="AF144" s="173"/>
      <c r="AG144" s="171"/>
      <c r="AH144" s="171"/>
      <c r="AI144" s="171">
        <f>Energy!AI181</f>
        <v>0</v>
      </c>
      <c r="AJ144" s="171"/>
      <c r="AK144" s="171"/>
      <c r="AL144" s="171"/>
      <c r="AM144" s="173"/>
      <c r="AN144" s="171"/>
      <c r="AO144" s="171"/>
      <c r="AP144" s="171"/>
      <c r="AQ144" s="171"/>
      <c r="AR144" s="171"/>
      <c r="AS144" s="171"/>
      <c r="AT144" s="173"/>
      <c r="AU144" s="173"/>
      <c r="AV144" s="173"/>
      <c r="AW144" s="173"/>
      <c r="AX144" s="173"/>
      <c r="AY144" s="173"/>
      <c r="AZ144" s="173"/>
    </row>
    <row r="145" spans="1:52" s="92" customFormat="1" hidden="1" x14ac:dyDescent="0.25">
      <c r="A145" s="164" t="str">
        <f>Language!AA138</f>
        <v>Rio Canoas</v>
      </c>
      <c r="B145" s="171">
        <f>Energy!B182</f>
        <v>1</v>
      </c>
      <c r="C145" s="171">
        <f>Energy!C182</f>
        <v>1</v>
      </c>
      <c r="D145" s="171">
        <f>Energy!D182</f>
        <v>1</v>
      </c>
      <c r="E145" s="172">
        <f>Energy!E182</f>
        <v>1</v>
      </c>
      <c r="F145" s="171">
        <f>Energy!F182</f>
        <v>1</v>
      </c>
      <c r="G145" s="171">
        <f>Energy!G182</f>
        <v>1</v>
      </c>
      <c r="H145" s="171">
        <f>Energy!H182</f>
        <v>1</v>
      </c>
      <c r="I145" s="172">
        <f>Energy!I182</f>
        <v>1</v>
      </c>
      <c r="J145" s="171">
        <f>Energy!J182</f>
        <v>1</v>
      </c>
      <c r="K145" s="171">
        <f>Energy!K182</f>
        <v>1</v>
      </c>
      <c r="L145" s="171">
        <f>Energy!L182</f>
        <v>1</v>
      </c>
      <c r="M145" s="172">
        <f>Energy!M182</f>
        <v>1</v>
      </c>
      <c r="N145" s="171">
        <f>Energy!N182</f>
        <v>1</v>
      </c>
      <c r="O145" s="171">
        <f>Energy!O182</f>
        <v>1</v>
      </c>
      <c r="P145" s="171">
        <f>Energy!P182</f>
        <v>1</v>
      </c>
      <c r="Q145" s="171">
        <f>Energy!Q182</f>
        <v>1</v>
      </c>
      <c r="R145" s="173">
        <f>Energy!R182</f>
        <v>1</v>
      </c>
      <c r="S145" s="171">
        <f>Energy!S182</f>
        <v>1</v>
      </c>
      <c r="T145" s="171">
        <f>Energy!T182</f>
        <v>1</v>
      </c>
      <c r="U145" s="171">
        <f>Energy!U182</f>
        <v>0</v>
      </c>
      <c r="V145" s="171"/>
      <c r="W145" s="171">
        <f>Energy!W182</f>
        <v>1</v>
      </c>
      <c r="X145" s="171">
        <f>Energy!X182</f>
        <v>0</v>
      </c>
      <c r="Y145" s="173"/>
      <c r="Z145" s="171"/>
      <c r="AA145" s="171">
        <f>Energy!AA182</f>
        <v>0</v>
      </c>
      <c r="AB145" s="171">
        <f>Energy!AB182</f>
        <v>0</v>
      </c>
      <c r="AC145" s="171"/>
      <c r="AD145" s="171"/>
      <c r="AE145" s="171"/>
      <c r="AF145" s="173"/>
      <c r="AG145" s="171"/>
      <c r="AH145" s="171"/>
      <c r="AI145" s="171">
        <f>Energy!AI182</f>
        <v>0</v>
      </c>
      <c r="AJ145" s="171"/>
      <c r="AK145" s="171"/>
      <c r="AL145" s="171"/>
      <c r="AM145" s="173"/>
      <c r="AN145" s="171"/>
      <c r="AO145" s="171"/>
      <c r="AP145" s="171"/>
      <c r="AQ145" s="171"/>
      <c r="AR145" s="171"/>
      <c r="AS145" s="171"/>
      <c r="AT145" s="173"/>
      <c r="AU145" s="173"/>
      <c r="AV145" s="173"/>
      <c r="AW145" s="173"/>
      <c r="AX145" s="173"/>
      <c r="AY145" s="173"/>
      <c r="AZ145" s="173"/>
    </row>
    <row r="146" spans="1:52" s="100" customFormat="1" ht="13" hidden="1" x14ac:dyDescent="0.3">
      <c r="A146" s="160" t="str">
        <f>Language!AA141</f>
        <v>Portos</v>
      </c>
      <c r="B146" s="174"/>
      <c r="C146" s="174"/>
      <c r="D146" s="174"/>
      <c r="E146" s="175"/>
      <c r="F146" s="174"/>
      <c r="G146" s="174"/>
      <c r="H146" s="174"/>
      <c r="I146" s="175"/>
      <c r="J146" s="174"/>
      <c r="K146" s="174"/>
      <c r="L146" s="174"/>
      <c r="M146" s="175"/>
      <c r="N146" s="174"/>
      <c r="O146" s="174"/>
      <c r="P146" s="174"/>
      <c r="Q146" s="174"/>
      <c r="R146" s="176"/>
      <c r="S146" s="174"/>
      <c r="T146" s="174"/>
      <c r="U146" s="174"/>
      <c r="V146" s="174"/>
      <c r="W146" s="174"/>
      <c r="X146" s="174"/>
      <c r="Y146" s="176"/>
      <c r="Z146" s="174"/>
      <c r="AA146" s="174"/>
      <c r="AB146" s="174"/>
      <c r="AC146" s="174"/>
      <c r="AD146" s="174"/>
      <c r="AE146" s="174"/>
      <c r="AF146" s="176"/>
      <c r="AG146" s="174"/>
      <c r="AH146" s="174"/>
      <c r="AI146" s="174"/>
      <c r="AJ146" s="174"/>
      <c r="AK146" s="174"/>
      <c r="AL146" s="174"/>
      <c r="AM146" s="176"/>
      <c r="AN146" s="174"/>
      <c r="AO146" s="174"/>
      <c r="AP146" s="174"/>
      <c r="AQ146" s="174"/>
      <c r="AR146" s="174"/>
      <c r="AS146" s="174"/>
      <c r="AT146" s="176"/>
      <c r="AU146" s="176"/>
      <c r="AV146" s="176"/>
      <c r="AW146" s="176"/>
      <c r="AX146" s="176"/>
      <c r="AY146" s="176"/>
      <c r="AZ146" s="176"/>
    </row>
    <row r="147" spans="1:52" s="92" customFormat="1" hidden="1" x14ac:dyDescent="0.25">
      <c r="A147" s="164" t="str">
        <f>Language!AA142</f>
        <v>Portonave</v>
      </c>
      <c r="B147" s="171" t="e">
        <f>#REF!</f>
        <v>#REF!</v>
      </c>
      <c r="C147" s="171" t="e">
        <f>#REF!</f>
        <v>#REF!</v>
      </c>
      <c r="D147" s="171" t="e">
        <f>#REF!</f>
        <v>#REF!</v>
      </c>
      <c r="E147" s="172" t="e">
        <f>#REF!</f>
        <v>#REF!</v>
      </c>
      <c r="F147" s="171" t="e">
        <f>#REF!</f>
        <v>#REF!</v>
      </c>
      <c r="G147" s="171" t="e">
        <f>#REF!</f>
        <v>#REF!</v>
      </c>
      <c r="H147" s="171" t="e">
        <f>#REF!</f>
        <v>#REF!</v>
      </c>
      <c r="I147" s="172" t="e">
        <f>#REF!</f>
        <v>#REF!</v>
      </c>
      <c r="J147" s="171" t="e">
        <f>#REF!</f>
        <v>#REF!</v>
      </c>
      <c r="K147" s="171" t="e">
        <f>#REF!</f>
        <v>#REF!</v>
      </c>
      <c r="L147" s="171" t="e">
        <f>#REF!</f>
        <v>#REF!</v>
      </c>
      <c r="M147" s="172" t="e">
        <f>#REF!</f>
        <v>#REF!</v>
      </c>
      <c r="N147" s="171" t="e">
        <f>#REF!</f>
        <v>#REF!</v>
      </c>
      <c r="O147" s="171" t="e">
        <f>#REF!</f>
        <v>#REF!</v>
      </c>
      <c r="P147" s="171" t="e">
        <f>#REF!</f>
        <v>#REF!</v>
      </c>
      <c r="Q147" s="171" t="e">
        <f>#REF!</f>
        <v>#REF!</v>
      </c>
      <c r="R147" s="173" t="e">
        <f>#REF!</f>
        <v>#REF!</v>
      </c>
      <c r="S147" s="171" t="e">
        <f>#REF!</f>
        <v>#REF!</v>
      </c>
      <c r="T147" s="171" t="e">
        <f>#REF!</f>
        <v>#REF!</v>
      </c>
      <c r="U147" s="171" t="e">
        <f>#REF!</f>
        <v>#REF!</v>
      </c>
      <c r="V147" s="171"/>
      <c r="W147" s="171" t="e">
        <f>#REF!</f>
        <v>#REF!</v>
      </c>
      <c r="X147" s="171" t="e">
        <f>#REF!</f>
        <v>#REF!</v>
      </c>
      <c r="Y147" s="173"/>
      <c r="Z147" s="171"/>
      <c r="AA147" s="171" t="e">
        <f>#REF!</f>
        <v>#REF!</v>
      </c>
      <c r="AB147" s="171" t="e">
        <f>#REF!</f>
        <v>#REF!</v>
      </c>
      <c r="AC147" s="171"/>
      <c r="AD147" s="171"/>
      <c r="AE147" s="171"/>
      <c r="AF147" s="173"/>
      <c r="AG147" s="171"/>
      <c r="AH147" s="171"/>
      <c r="AI147" s="171" t="e">
        <f>#REF!</f>
        <v>#REF!</v>
      </c>
      <c r="AJ147" s="171"/>
      <c r="AK147" s="171"/>
      <c r="AL147" s="171"/>
      <c r="AM147" s="173"/>
      <c r="AN147" s="171"/>
      <c r="AO147" s="171"/>
      <c r="AP147" s="171"/>
      <c r="AQ147" s="171"/>
      <c r="AR147" s="171"/>
      <c r="AS147" s="171"/>
      <c r="AT147" s="173"/>
      <c r="AU147" s="173"/>
      <c r="AV147" s="173"/>
      <c r="AW147" s="173"/>
      <c r="AX147" s="173"/>
      <c r="AY147" s="173"/>
      <c r="AZ147" s="173"/>
    </row>
    <row r="148" spans="1:52" s="92" customFormat="1" hidden="1" x14ac:dyDescent="0.25">
      <c r="A148" s="164" t="str">
        <f>Language!AA143</f>
        <v>Iceport</v>
      </c>
      <c r="B148" s="171" t="e">
        <f>#REF!</f>
        <v>#REF!</v>
      </c>
      <c r="C148" s="171" t="e">
        <f>#REF!</f>
        <v>#REF!</v>
      </c>
      <c r="D148" s="171" t="e">
        <f>#REF!</f>
        <v>#REF!</v>
      </c>
      <c r="E148" s="172" t="e">
        <f>#REF!</f>
        <v>#REF!</v>
      </c>
      <c r="F148" s="171" t="e">
        <f>#REF!</f>
        <v>#REF!</v>
      </c>
      <c r="G148" s="171" t="e">
        <f>#REF!</f>
        <v>#REF!</v>
      </c>
      <c r="H148" s="171" t="e">
        <f>#REF!</f>
        <v>#REF!</v>
      </c>
      <c r="I148" s="172" t="e">
        <f>#REF!</f>
        <v>#REF!</v>
      </c>
      <c r="J148" s="171" t="e">
        <f>#REF!</f>
        <v>#REF!</v>
      </c>
      <c r="K148" s="171" t="e">
        <f>#REF!</f>
        <v>#REF!</v>
      </c>
      <c r="L148" s="171" t="e">
        <f>#REF!</f>
        <v>#REF!</v>
      </c>
      <c r="M148" s="172" t="e">
        <f>#REF!</f>
        <v>#REF!</v>
      </c>
      <c r="N148" s="171" t="e">
        <f>#REF!</f>
        <v>#REF!</v>
      </c>
      <c r="O148" s="171" t="e">
        <f>#REF!</f>
        <v>#REF!</v>
      </c>
      <c r="P148" s="171" t="e">
        <f>#REF!</f>
        <v>#REF!</v>
      </c>
      <c r="Q148" s="171" t="e">
        <f>#REF!</f>
        <v>#REF!</v>
      </c>
      <c r="R148" s="173" t="e">
        <f>#REF!</f>
        <v>#REF!</v>
      </c>
      <c r="S148" s="171" t="e">
        <f>#REF!</f>
        <v>#REF!</v>
      </c>
      <c r="T148" s="171" t="e">
        <f>#REF!</f>
        <v>#REF!</v>
      </c>
      <c r="U148" s="171" t="e">
        <f>#REF!</f>
        <v>#REF!</v>
      </c>
      <c r="V148" s="171"/>
      <c r="W148" s="171" t="e">
        <f>#REF!</f>
        <v>#REF!</v>
      </c>
      <c r="X148" s="171" t="e">
        <f>#REF!</f>
        <v>#REF!</v>
      </c>
      <c r="Y148" s="173"/>
      <c r="Z148" s="171"/>
      <c r="AA148" s="171" t="e">
        <f>#REF!</f>
        <v>#REF!</v>
      </c>
      <c r="AB148" s="171" t="e">
        <f>#REF!</f>
        <v>#REF!</v>
      </c>
      <c r="AC148" s="171"/>
      <c r="AD148" s="171"/>
      <c r="AE148" s="171"/>
      <c r="AF148" s="173"/>
      <c r="AG148" s="171"/>
      <c r="AH148" s="171"/>
      <c r="AI148" s="171" t="e">
        <f>#REF!</f>
        <v>#REF!</v>
      </c>
      <c r="AJ148" s="171"/>
      <c r="AK148" s="171"/>
      <c r="AL148" s="171"/>
      <c r="AM148" s="173"/>
      <c r="AN148" s="171"/>
      <c r="AO148" s="171"/>
      <c r="AP148" s="171"/>
      <c r="AQ148" s="171"/>
      <c r="AR148" s="171"/>
      <c r="AS148" s="171"/>
      <c r="AT148" s="173"/>
      <c r="AU148" s="173"/>
      <c r="AV148" s="173"/>
      <c r="AW148" s="173"/>
      <c r="AX148" s="173"/>
      <c r="AY148" s="173"/>
      <c r="AZ148" s="173"/>
    </row>
    <row r="149" spans="1:52" s="100" customFormat="1" ht="13" hidden="1" x14ac:dyDescent="0.3">
      <c r="A149" s="160" t="str">
        <f>Language!AA145</f>
        <v>Cabotagem</v>
      </c>
      <c r="B149" s="174" t="e">
        <f>#REF!</f>
        <v>#REF!</v>
      </c>
      <c r="C149" s="174" t="e">
        <f>#REF!</f>
        <v>#REF!</v>
      </c>
      <c r="D149" s="174" t="e">
        <f>#REF!</f>
        <v>#REF!</v>
      </c>
      <c r="E149" s="175" t="e">
        <f>#REF!</f>
        <v>#REF!</v>
      </c>
      <c r="F149" s="174" t="e">
        <f>#REF!</f>
        <v>#REF!</v>
      </c>
      <c r="G149" s="174" t="e">
        <f>#REF!</f>
        <v>#REF!</v>
      </c>
      <c r="H149" s="174" t="e">
        <f>#REF!</f>
        <v>#REF!</v>
      </c>
      <c r="I149" s="175" t="e">
        <f>#REF!</f>
        <v>#REF!</v>
      </c>
      <c r="J149" s="174" t="e">
        <f>#REF!</f>
        <v>#REF!</v>
      </c>
      <c r="K149" s="174" t="e">
        <f>#REF!</f>
        <v>#REF!</v>
      </c>
      <c r="L149" s="174" t="e">
        <f>#REF!</f>
        <v>#REF!</v>
      </c>
      <c r="M149" s="175" t="e">
        <f>#REF!</f>
        <v>#REF!</v>
      </c>
      <c r="N149" s="174" t="e">
        <f>#REF!</f>
        <v>#REF!</v>
      </c>
      <c r="O149" s="174" t="e">
        <f>#REF!</f>
        <v>#REF!</v>
      </c>
      <c r="P149" s="174">
        <v>1</v>
      </c>
      <c r="Q149" s="174">
        <v>2</v>
      </c>
      <c r="R149" s="176">
        <v>2</v>
      </c>
      <c r="S149" s="174">
        <v>2</v>
      </c>
      <c r="T149" s="174">
        <v>2</v>
      </c>
      <c r="U149" s="174">
        <v>2</v>
      </c>
      <c r="V149" s="174"/>
      <c r="W149" s="174">
        <v>2</v>
      </c>
      <c r="X149" s="174">
        <v>2</v>
      </c>
      <c r="Y149" s="176"/>
      <c r="Z149" s="174"/>
      <c r="AA149" s="174">
        <v>2</v>
      </c>
      <c r="AB149" s="174">
        <v>2</v>
      </c>
      <c r="AC149" s="174"/>
      <c r="AD149" s="174"/>
      <c r="AE149" s="174"/>
      <c r="AF149" s="176"/>
      <c r="AG149" s="174"/>
      <c r="AH149" s="174"/>
      <c r="AI149" s="174">
        <v>2</v>
      </c>
      <c r="AJ149" s="174"/>
      <c r="AK149" s="174"/>
      <c r="AL149" s="174"/>
      <c r="AM149" s="176"/>
      <c r="AN149" s="174"/>
      <c r="AO149" s="174"/>
      <c r="AP149" s="174"/>
      <c r="AQ149" s="174"/>
      <c r="AR149" s="174"/>
      <c r="AS149" s="174"/>
      <c r="AT149" s="176"/>
      <c r="AU149" s="176"/>
      <c r="AV149" s="176"/>
      <c r="AW149" s="176"/>
      <c r="AX149" s="176"/>
      <c r="AY149" s="176"/>
      <c r="AZ149" s="176"/>
    </row>
    <row r="150" spans="1:52" s="100" customFormat="1" ht="13" hidden="1" x14ac:dyDescent="0.3">
      <c r="A150" s="160" t="str">
        <f>Language!AA146</f>
        <v>Aeroportos</v>
      </c>
      <c r="B150" s="174" t="e">
        <f>#REF!</f>
        <v>#REF!</v>
      </c>
      <c r="C150" s="174" t="e">
        <f>#REF!</f>
        <v>#REF!</v>
      </c>
      <c r="D150" s="174" t="e">
        <f>#REF!</f>
        <v>#REF!</v>
      </c>
      <c r="E150" s="175" t="e">
        <f>#REF!</f>
        <v>#REF!</v>
      </c>
      <c r="F150" s="174" t="e">
        <f>#REF!</f>
        <v>#REF!</v>
      </c>
      <c r="G150" s="174" t="e">
        <f>#REF!</f>
        <v>#REF!</v>
      </c>
      <c r="H150" s="174" t="e">
        <f>#REF!</f>
        <v>#REF!</v>
      </c>
      <c r="I150" s="175" t="e">
        <f>#REF!</f>
        <v>#REF!</v>
      </c>
      <c r="J150" s="174" t="e">
        <f>#REF!</f>
        <v>#REF!</v>
      </c>
      <c r="K150" s="174" t="e">
        <f>#REF!</f>
        <v>#REF!</v>
      </c>
      <c r="L150" s="174" t="e">
        <f>#REF!</f>
        <v>#REF!</v>
      </c>
      <c r="M150" s="175" t="e">
        <f>#REF!</f>
        <v>#REF!</v>
      </c>
      <c r="N150" s="174" t="e">
        <f>#REF!</f>
        <v>#REF!</v>
      </c>
      <c r="O150" s="174" t="e">
        <f>#REF!</f>
        <v>#REF!</v>
      </c>
      <c r="P150" s="174" t="e">
        <f>#REF!</f>
        <v>#REF!</v>
      </c>
      <c r="Q150" s="174" t="e">
        <f>#REF!</f>
        <v>#REF!</v>
      </c>
      <c r="R150" s="176" t="e">
        <f>#REF!</f>
        <v>#REF!</v>
      </c>
      <c r="S150" s="174" t="e">
        <f>#REF!</f>
        <v>#REF!</v>
      </c>
      <c r="T150" s="174" t="e">
        <f>#REF!</f>
        <v>#REF!</v>
      </c>
      <c r="U150" s="174" t="e">
        <f>#REF!</f>
        <v>#REF!</v>
      </c>
      <c r="V150" s="174"/>
      <c r="W150" s="174" t="e">
        <f>#REF!</f>
        <v>#REF!</v>
      </c>
      <c r="X150" s="174" t="e">
        <f>#REF!</f>
        <v>#REF!</v>
      </c>
      <c r="Y150" s="176"/>
      <c r="Z150" s="174"/>
      <c r="AA150" s="174" t="e">
        <f>#REF!</f>
        <v>#REF!</v>
      </c>
      <c r="AB150" s="174" t="e">
        <f>#REF!</f>
        <v>#REF!</v>
      </c>
      <c r="AC150" s="174"/>
      <c r="AD150" s="174"/>
      <c r="AE150" s="174"/>
      <c r="AF150" s="176"/>
      <c r="AG150" s="174"/>
      <c r="AH150" s="174"/>
      <c r="AI150" s="174" t="e">
        <f>#REF!</f>
        <v>#REF!</v>
      </c>
      <c r="AJ150" s="174"/>
      <c r="AK150" s="174"/>
      <c r="AL150" s="174"/>
      <c r="AM150" s="176"/>
      <c r="AN150" s="174"/>
      <c r="AO150" s="174"/>
      <c r="AP150" s="174"/>
      <c r="AQ150" s="174"/>
      <c r="AR150" s="174"/>
      <c r="AS150" s="174"/>
      <c r="AT150" s="176"/>
      <c r="AU150" s="176"/>
      <c r="AV150" s="176"/>
      <c r="AW150" s="176"/>
      <c r="AX150" s="176"/>
      <c r="AY150" s="176"/>
      <c r="AZ150" s="176"/>
    </row>
    <row r="151" spans="1:52" s="92" customFormat="1" ht="13" hidden="1" x14ac:dyDescent="0.3">
      <c r="A151" s="142" t="str">
        <f>Language!AA147</f>
        <v>Capex</v>
      </c>
      <c r="B151" s="157" t="e">
        <f>SUM(B152,B157,B161,B165,B166,B167)</f>
        <v>#REF!</v>
      </c>
      <c r="C151" s="157" t="e">
        <f t="shared" ref="C151:K151" si="560">SUM(C152,C157,C161,C165,C166,C167)</f>
        <v>#REF!</v>
      </c>
      <c r="D151" s="157" t="e">
        <f t="shared" si="560"/>
        <v>#REF!</v>
      </c>
      <c r="E151" s="158" t="e">
        <f t="shared" si="560"/>
        <v>#REF!</v>
      </c>
      <c r="F151" s="157" t="e">
        <f t="shared" si="560"/>
        <v>#REF!</v>
      </c>
      <c r="G151" s="157" t="e">
        <f t="shared" si="560"/>
        <v>#REF!</v>
      </c>
      <c r="H151" s="157" t="e">
        <f t="shared" si="560"/>
        <v>#REF!</v>
      </c>
      <c r="I151" s="158" t="e">
        <f t="shared" si="560"/>
        <v>#REF!</v>
      </c>
      <c r="J151" s="157" t="e">
        <f t="shared" si="560"/>
        <v>#REF!</v>
      </c>
      <c r="K151" s="157" t="e">
        <f t="shared" si="560"/>
        <v>#REF!</v>
      </c>
      <c r="L151" s="157" t="e">
        <f t="shared" ref="L151:M151" si="561">SUM(L152,L157,L161,L165,L166,L167)</f>
        <v>#REF!</v>
      </c>
      <c r="M151" s="158" t="e">
        <f t="shared" si="561"/>
        <v>#REF!</v>
      </c>
      <c r="N151" s="157" t="e">
        <f t="shared" ref="N151:O151" si="562">SUM(N152,N157,N161,N165,N166,N167)</f>
        <v>#REF!</v>
      </c>
      <c r="O151" s="157" t="e">
        <f t="shared" si="562"/>
        <v>#REF!</v>
      </c>
      <c r="P151" s="157" t="e">
        <f t="shared" ref="P151:Q151" si="563">SUM(P152,P157,P161,P165,P166,P167)</f>
        <v>#REF!</v>
      </c>
      <c r="Q151" s="157">
        <f t="shared" si="563"/>
        <v>469446</v>
      </c>
      <c r="R151" s="159">
        <f t="shared" ref="R151:S151" si="564">SUM(R152,R157,R161,R165,R166,R167)</f>
        <v>469446</v>
      </c>
      <c r="S151" s="157">
        <f t="shared" si="564"/>
        <v>469446</v>
      </c>
      <c r="T151" s="157">
        <f t="shared" ref="T151:W151" si="565">SUM(T152,T157,T161,T165,T166,T167)</f>
        <v>469446</v>
      </c>
      <c r="U151" s="157">
        <f t="shared" ref="U151" si="566">SUM(U152,U157,U161,U165,U166,U167)</f>
        <v>469446</v>
      </c>
      <c r="V151" s="157"/>
      <c r="W151" s="157">
        <f t="shared" si="565"/>
        <v>469446</v>
      </c>
      <c r="X151" s="157">
        <f t="shared" ref="X151" si="567">SUM(X152,X157,X161,X165,X166,X167)</f>
        <v>469446</v>
      </c>
      <c r="Y151" s="159"/>
      <c r="Z151" s="157"/>
      <c r="AA151" s="157">
        <f t="shared" ref="AA151:AB151" si="568">SUM(AA152,AA157,AA161,AA165,AA166,AA167)</f>
        <v>469446</v>
      </c>
      <c r="AB151" s="157">
        <f t="shared" si="568"/>
        <v>469446</v>
      </c>
      <c r="AC151" s="157"/>
      <c r="AD151" s="157"/>
      <c r="AE151" s="157"/>
      <c r="AF151" s="159"/>
      <c r="AG151" s="157"/>
      <c r="AH151" s="157"/>
      <c r="AI151" s="157">
        <f t="shared" ref="AI151" si="569">SUM(AI152,AI157,AI161,AI165,AI166,AI167)</f>
        <v>469446</v>
      </c>
      <c r="AJ151" s="157"/>
      <c r="AK151" s="157"/>
      <c r="AL151" s="157"/>
      <c r="AM151" s="159"/>
      <c r="AN151" s="157"/>
      <c r="AO151" s="157"/>
      <c r="AP151" s="157"/>
      <c r="AQ151" s="157"/>
      <c r="AR151" s="157"/>
      <c r="AS151" s="157"/>
      <c r="AT151" s="159"/>
      <c r="AU151" s="159"/>
      <c r="AV151" s="159"/>
      <c r="AW151" s="159"/>
      <c r="AX151" s="159"/>
      <c r="AY151" s="159"/>
      <c r="AZ151" s="159"/>
    </row>
    <row r="152" spans="1:52" s="100" customFormat="1" ht="13" hidden="1" x14ac:dyDescent="0.3">
      <c r="A152" s="160" t="str">
        <f>Language!AA148</f>
        <v>Concessões Rodoviárias</v>
      </c>
      <c r="B152" s="161">
        <f>SUM(B153,B154,B155)</f>
        <v>28536</v>
      </c>
      <c r="C152" s="161">
        <f t="shared" ref="C152:K152" si="570">SUM(C153,C154,C155)</f>
        <v>5469</v>
      </c>
      <c r="D152" s="161">
        <f t="shared" si="570"/>
        <v>23849</v>
      </c>
      <c r="E152" s="162">
        <f t="shared" si="570"/>
        <v>36801</v>
      </c>
      <c r="F152" s="161">
        <f t="shared" si="570"/>
        <v>29015</v>
      </c>
      <c r="G152" s="161">
        <f t="shared" si="570"/>
        <v>34961</v>
      </c>
      <c r="H152" s="161">
        <f t="shared" si="570"/>
        <v>33083</v>
      </c>
      <c r="I152" s="162">
        <f t="shared" si="570"/>
        <v>53174</v>
      </c>
      <c r="J152" s="161">
        <f t="shared" si="570"/>
        <v>32799</v>
      </c>
      <c r="K152" s="161">
        <f t="shared" si="570"/>
        <v>33479</v>
      </c>
      <c r="L152" s="161">
        <f t="shared" ref="L152:M152" si="571">SUM(L153,L154,L155)</f>
        <v>34051</v>
      </c>
      <c r="M152" s="162">
        <f t="shared" si="571"/>
        <v>46110</v>
      </c>
      <c r="N152" s="161">
        <f t="shared" ref="N152:S152" si="572">SUM(N153,N154,N155,N156)</f>
        <v>110669</v>
      </c>
      <c r="O152" s="161">
        <f t="shared" si="572"/>
        <v>226111</v>
      </c>
      <c r="P152" s="161">
        <f t="shared" si="572"/>
        <v>269125</v>
      </c>
      <c r="Q152" s="161">
        <f t="shared" si="572"/>
        <v>362220</v>
      </c>
      <c r="R152" s="163">
        <f t="shared" si="572"/>
        <v>362220</v>
      </c>
      <c r="S152" s="161">
        <f t="shared" si="572"/>
        <v>362220</v>
      </c>
      <c r="T152" s="161">
        <f t="shared" ref="T152:W152" si="573">SUM(T153,T154,T155,T156)</f>
        <v>362220</v>
      </c>
      <c r="U152" s="161">
        <f t="shared" ref="U152" si="574">SUM(U153,U154,U155,U156)</f>
        <v>362220</v>
      </c>
      <c r="V152" s="161"/>
      <c r="W152" s="161">
        <f t="shared" si="573"/>
        <v>362220</v>
      </c>
      <c r="X152" s="161">
        <f t="shared" ref="X152" si="575">SUM(X153,X154,X155,X156)</f>
        <v>362220</v>
      </c>
      <c r="Y152" s="163"/>
      <c r="Z152" s="161"/>
      <c r="AA152" s="161">
        <f t="shared" ref="AA152:AB152" si="576">SUM(AA153,AA154,AA155,AA156)</f>
        <v>362220</v>
      </c>
      <c r="AB152" s="161">
        <f t="shared" si="576"/>
        <v>362220</v>
      </c>
      <c r="AC152" s="161"/>
      <c r="AD152" s="161"/>
      <c r="AE152" s="161"/>
      <c r="AF152" s="163"/>
      <c r="AG152" s="161"/>
      <c r="AH152" s="161"/>
      <c r="AI152" s="161">
        <f t="shared" ref="AI152" si="577">SUM(AI153,AI154,AI155,AI156)</f>
        <v>362220</v>
      </c>
      <c r="AJ152" s="161"/>
      <c r="AK152" s="161"/>
      <c r="AL152" s="161"/>
      <c r="AM152" s="163"/>
      <c r="AN152" s="161"/>
      <c r="AO152" s="161"/>
      <c r="AP152" s="161"/>
      <c r="AQ152" s="161"/>
      <c r="AR152" s="161"/>
      <c r="AS152" s="161"/>
      <c r="AT152" s="163"/>
      <c r="AU152" s="163"/>
      <c r="AV152" s="163"/>
      <c r="AW152" s="163"/>
      <c r="AX152" s="163"/>
      <c r="AY152" s="163"/>
      <c r="AZ152" s="163"/>
    </row>
    <row r="153" spans="1:52" s="92" customFormat="1" hidden="1" x14ac:dyDescent="0.25">
      <c r="A153" s="164" t="str">
        <f>Language!AA149</f>
        <v>Concepa</v>
      </c>
      <c r="B153" s="165">
        <f>'Toll Roads'!B316</f>
        <v>21796</v>
      </c>
      <c r="C153" s="165">
        <f>'Toll Roads'!C316</f>
        <v>1900</v>
      </c>
      <c r="D153" s="165">
        <f>'Toll Roads'!D316</f>
        <v>3959</v>
      </c>
      <c r="E153" s="166">
        <f>'Toll Roads'!E316</f>
        <v>16740</v>
      </c>
      <c r="F153" s="165">
        <f>'Toll Roads'!F316</f>
        <v>16265</v>
      </c>
      <c r="G153" s="165">
        <f>'Toll Roads'!G316</f>
        <v>15569</v>
      </c>
      <c r="H153" s="165">
        <f>'Toll Roads'!H316</f>
        <v>13486</v>
      </c>
      <c r="I153" s="166">
        <f>'Toll Roads'!I316</f>
        <v>18943</v>
      </c>
      <c r="J153" s="165">
        <f>'Toll Roads'!J316</f>
        <v>11328</v>
      </c>
      <c r="K153" s="165">
        <f>'Toll Roads'!K316</f>
        <v>10356</v>
      </c>
      <c r="L153" s="165">
        <f>'Toll Roads'!L316</f>
        <v>4411</v>
      </c>
      <c r="M153" s="166">
        <f>'Toll Roads'!M316</f>
        <v>12272</v>
      </c>
      <c r="N153" s="165">
        <f>'Toll Roads'!N316</f>
        <v>11422</v>
      </c>
      <c r="O153" s="165">
        <f>'Toll Roads'!O316</f>
        <v>14169</v>
      </c>
      <c r="P153" s="165">
        <f>'Toll Roads'!P316</f>
        <v>27639</v>
      </c>
      <c r="Q153" s="165">
        <v>44592</v>
      </c>
      <c r="R153" s="167">
        <v>44592</v>
      </c>
      <c r="S153" s="165">
        <v>44592</v>
      </c>
      <c r="T153" s="165">
        <v>44592</v>
      </c>
      <c r="U153" s="165">
        <v>44592</v>
      </c>
      <c r="V153" s="165"/>
      <c r="W153" s="165">
        <v>44592</v>
      </c>
      <c r="X153" s="165">
        <v>44592</v>
      </c>
      <c r="Y153" s="167"/>
      <c r="Z153" s="165"/>
      <c r="AA153" s="165">
        <v>44592</v>
      </c>
      <c r="AB153" s="165">
        <v>44592</v>
      </c>
      <c r="AC153" s="165"/>
      <c r="AD153" s="165"/>
      <c r="AE153" s="165"/>
      <c r="AF153" s="167"/>
      <c r="AG153" s="165"/>
      <c r="AH153" s="165"/>
      <c r="AI153" s="165">
        <v>44592</v>
      </c>
      <c r="AJ153" s="165"/>
      <c r="AK153" s="165"/>
      <c r="AL153" s="165"/>
      <c r="AM153" s="167"/>
      <c r="AN153" s="165"/>
      <c r="AO153" s="165"/>
      <c r="AP153" s="165"/>
      <c r="AQ153" s="165"/>
      <c r="AR153" s="165"/>
      <c r="AS153" s="165"/>
      <c r="AT153" s="167"/>
      <c r="AU153" s="167"/>
      <c r="AV153" s="167"/>
      <c r="AW153" s="167"/>
      <c r="AX153" s="167"/>
      <c r="AY153" s="167"/>
      <c r="AZ153" s="167"/>
    </row>
    <row r="154" spans="1:52" s="92" customFormat="1" hidden="1" x14ac:dyDescent="0.25">
      <c r="A154" s="164" t="str">
        <f>Language!AA150</f>
        <v>Concer</v>
      </c>
      <c r="B154" s="165">
        <f>'Toll Roads'!B317</f>
        <v>5220</v>
      </c>
      <c r="C154" s="165">
        <f>'Toll Roads'!C317</f>
        <v>1812</v>
      </c>
      <c r="D154" s="165">
        <f>'Toll Roads'!D317</f>
        <v>12925</v>
      </c>
      <c r="E154" s="166">
        <f>'Toll Roads'!E317</f>
        <v>15078</v>
      </c>
      <c r="F154" s="165">
        <f>'Toll Roads'!F317</f>
        <v>7228</v>
      </c>
      <c r="G154" s="165">
        <f>'Toll Roads'!G317</f>
        <v>7453</v>
      </c>
      <c r="H154" s="165">
        <f>'Toll Roads'!H317</f>
        <v>10961</v>
      </c>
      <c r="I154" s="166">
        <f>'Toll Roads'!I317</f>
        <v>17155</v>
      </c>
      <c r="J154" s="165">
        <f>'Toll Roads'!J317</f>
        <v>13444</v>
      </c>
      <c r="K154" s="165">
        <f>'Toll Roads'!K317</f>
        <v>13165</v>
      </c>
      <c r="L154" s="165">
        <f>'Toll Roads'!L317</f>
        <v>13075</v>
      </c>
      <c r="M154" s="166">
        <f>'Toll Roads'!M317</f>
        <v>547</v>
      </c>
      <c r="N154" s="165">
        <f>'Toll Roads'!N317</f>
        <v>34560</v>
      </c>
      <c r="O154" s="165">
        <f>'Toll Roads'!O317</f>
        <v>26863</v>
      </c>
      <c r="P154" s="165">
        <f>'Toll Roads'!P317</f>
        <v>66989</v>
      </c>
      <c r="Q154" s="165">
        <v>76624</v>
      </c>
      <c r="R154" s="167">
        <v>76624</v>
      </c>
      <c r="S154" s="165">
        <v>76624</v>
      </c>
      <c r="T154" s="165">
        <v>76624</v>
      </c>
      <c r="U154" s="165">
        <v>76624</v>
      </c>
      <c r="V154" s="165"/>
      <c r="W154" s="165">
        <v>76624</v>
      </c>
      <c r="X154" s="165">
        <v>76624</v>
      </c>
      <c r="Y154" s="167"/>
      <c r="Z154" s="165"/>
      <c r="AA154" s="165">
        <v>76624</v>
      </c>
      <c r="AB154" s="165">
        <v>76624</v>
      </c>
      <c r="AC154" s="165"/>
      <c r="AD154" s="165"/>
      <c r="AE154" s="165"/>
      <c r="AF154" s="167"/>
      <c r="AG154" s="165"/>
      <c r="AH154" s="165"/>
      <c r="AI154" s="165">
        <v>76624</v>
      </c>
      <c r="AJ154" s="165"/>
      <c r="AK154" s="165"/>
      <c r="AL154" s="165"/>
      <c r="AM154" s="167"/>
      <c r="AN154" s="165"/>
      <c r="AO154" s="165"/>
      <c r="AP154" s="165"/>
      <c r="AQ154" s="165"/>
      <c r="AR154" s="165"/>
      <c r="AS154" s="165"/>
      <c r="AT154" s="167"/>
      <c r="AU154" s="167"/>
      <c r="AV154" s="167"/>
      <c r="AW154" s="167"/>
      <c r="AX154" s="167"/>
      <c r="AY154" s="167"/>
      <c r="AZ154" s="167"/>
    </row>
    <row r="155" spans="1:52" s="92" customFormat="1" hidden="1" x14ac:dyDescent="0.25">
      <c r="A155" s="164" t="str">
        <f>Language!AA151</f>
        <v>Econorte</v>
      </c>
      <c r="B155" s="165">
        <f>'Toll Roads'!B318</f>
        <v>1520</v>
      </c>
      <c r="C155" s="165">
        <f>'Toll Roads'!C318</f>
        <v>1757</v>
      </c>
      <c r="D155" s="165">
        <f>'Toll Roads'!D318</f>
        <v>6965</v>
      </c>
      <c r="E155" s="166">
        <f>'Toll Roads'!E318</f>
        <v>4983</v>
      </c>
      <c r="F155" s="165">
        <f>'Toll Roads'!F318</f>
        <v>5522</v>
      </c>
      <c r="G155" s="165">
        <f>'Toll Roads'!G318</f>
        <v>11939</v>
      </c>
      <c r="H155" s="165">
        <f>'Toll Roads'!H318</f>
        <v>8636</v>
      </c>
      <c r="I155" s="166">
        <f>'Toll Roads'!I318</f>
        <v>17076</v>
      </c>
      <c r="J155" s="165">
        <f>'Toll Roads'!J318</f>
        <v>8027</v>
      </c>
      <c r="K155" s="165">
        <f>'Toll Roads'!K318</f>
        <v>9958</v>
      </c>
      <c r="L155" s="165">
        <f>'Toll Roads'!L318</f>
        <v>16565</v>
      </c>
      <c r="M155" s="166">
        <f>'Toll Roads'!M318</f>
        <v>33291</v>
      </c>
      <c r="N155" s="165">
        <f>'Toll Roads'!N318</f>
        <v>26822</v>
      </c>
      <c r="O155" s="165">
        <f>'Toll Roads'!O318</f>
        <v>24378</v>
      </c>
      <c r="P155" s="165">
        <f>'Toll Roads'!P318</f>
        <v>23694</v>
      </c>
      <c r="Q155" s="165">
        <v>19472</v>
      </c>
      <c r="R155" s="167">
        <v>19472</v>
      </c>
      <c r="S155" s="165">
        <v>19472</v>
      </c>
      <c r="T155" s="165">
        <v>19472</v>
      </c>
      <c r="U155" s="165">
        <v>19472</v>
      </c>
      <c r="V155" s="165"/>
      <c r="W155" s="165">
        <v>19472</v>
      </c>
      <c r="X155" s="165">
        <v>19472</v>
      </c>
      <c r="Y155" s="167"/>
      <c r="Z155" s="165"/>
      <c r="AA155" s="165">
        <v>19472</v>
      </c>
      <c r="AB155" s="165">
        <v>19472</v>
      </c>
      <c r="AC155" s="165"/>
      <c r="AD155" s="165"/>
      <c r="AE155" s="165"/>
      <c r="AF155" s="167"/>
      <c r="AG155" s="165"/>
      <c r="AH155" s="165"/>
      <c r="AI155" s="165">
        <v>19472</v>
      </c>
      <c r="AJ155" s="165"/>
      <c r="AK155" s="165"/>
      <c r="AL155" s="165"/>
      <c r="AM155" s="167"/>
      <c r="AN155" s="165"/>
      <c r="AO155" s="165"/>
      <c r="AP155" s="165"/>
      <c r="AQ155" s="165"/>
      <c r="AR155" s="165"/>
      <c r="AS155" s="165"/>
      <c r="AT155" s="167"/>
      <c r="AU155" s="167"/>
      <c r="AV155" s="167"/>
      <c r="AW155" s="167"/>
      <c r="AX155" s="167"/>
      <c r="AY155" s="167"/>
      <c r="AZ155" s="167"/>
    </row>
    <row r="156" spans="1:52" s="92" customFormat="1" hidden="1" x14ac:dyDescent="0.25">
      <c r="A156" s="164" t="s">
        <v>600</v>
      </c>
      <c r="B156" s="165"/>
      <c r="C156" s="165"/>
      <c r="D156" s="165"/>
      <c r="E156" s="166"/>
      <c r="F156" s="165"/>
      <c r="G156" s="165"/>
      <c r="H156" s="165"/>
      <c r="I156" s="166"/>
      <c r="J156" s="165"/>
      <c r="K156" s="165"/>
      <c r="L156" s="165"/>
      <c r="M156" s="166"/>
      <c r="N156" s="165">
        <f>'Toll Roads'!N319</f>
        <v>37865</v>
      </c>
      <c r="O156" s="165">
        <f>'Toll Roads'!O319</f>
        <v>160701</v>
      </c>
      <c r="P156" s="165">
        <f>'Toll Roads'!P319</f>
        <v>150803</v>
      </c>
      <c r="Q156" s="165">
        <v>221532</v>
      </c>
      <c r="R156" s="167">
        <v>221532</v>
      </c>
      <c r="S156" s="165">
        <v>221532</v>
      </c>
      <c r="T156" s="165">
        <v>221532</v>
      </c>
      <c r="U156" s="165">
        <v>221532</v>
      </c>
      <c r="V156" s="165"/>
      <c r="W156" s="165">
        <v>221532</v>
      </c>
      <c r="X156" s="165">
        <v>221532</v>
      </c>
      <c r="Y156" s="167"/>
      <c r="Z156" s="165"/>
      <c r="AA156" s="165">
        <v>221532</v>
      </c>
      <c r="AB156" s="165">
        <v>221532</v>
      </c>
      <c r="AC156" s="165"/>
      <c r="AD156" s="165"/>
      <c r="AE156" s="165"/>
      <c r="AF156" s="167"/>
      <c r="AG156" s="165"/>
      <c r="AH156" s="165"/>
      <c r="AI156" s="165">
        <v>221532</v>
      </c>
      <c r="AJ156" s="165"/>
      <c r="AK156" s="165"/>
      <c r="AL156" s="165"/>
      <c r="AM156" s="167"/>
      <c r="AN156" s="165"/>
      <c r="AO156" s="165"/>
      <c r="AP156" s="165"/>
      <c r="AQ156" s="165"/>
      <c r="AR156" s="165"/>
      <c r="AS156" s="165"/>
      <c r="AT156" s="167"/>
      <c r="AU156" s="167"/>
      <c r="AV156" s="167"/>
      <c r="AW156" s="167"/>
      <c r="AX156" s="167"/>
      <c r="AY156" s="167"/>
      <c r="AZ156" s="167"/>
    </row>
    <row r="157" spans="1:52" s="100" customFormat="1" ht="13" hidden="1" x14ac:dyDescent="0.3">
      <c r="A157" s="160" t="str">
        <f>Language!AA154</f>
        <v>Energia</v>
      </c>
      <c r="B157" s="161">
        <f>SUM(B158,B159)</f>
        <v>15853</v>
      </c>
      <c r="C157" s="161">
        <f t="shared" ref="C157:K157" si="578">SUM(C158,C159)</f>
        <v>80603</v>
      </c>
      <c r="D157" s="161">
        <f t="shared" si="578"/>
        <v>29789</v>
      </c>
      <c r="E157" s="162">
        <f t="shared" si="578"/>
        <v>104869</v>
      </c>
      <c r="F157" s="161">
        <f t="shared" si="578"/>
        <v>96565</v>
      </c>
      <c r="G157" s="161">
        <f t="shared" si="578"/>
        <v>85670</v>
      </c>
      <c r="H157" s="161">
        <f t="shared" si="578"/>
        <v>113429</v>
      </c>
      <c r="I157" s="162">
        <f t="shared" si="578"/>
        <v>165622</v>
      </c>
      <c r="J157" s="161">
        <f t="shared" si="578"/>
        <v>147882</v>
      </c>
      <c r="K157" s="161">
        <f t="shared" si="578"/>
        <v>101912</v>
      </c>
      <c r="L157" s="161">
        <f t="shared" ref="L157:M157" si="579">SUM(L158,L159)</f>
        <v>80362</v>
      </c>
      <c r="M157" s="162">
        <f t="shared" si="579"/>
        <v>49307</v>
      </c>
      <c r="N157" s="161">
        <f t="shared" ref="N157:O157" si="580">SUM(N158,N159)</f>
        <v>5441</v>
      </c>
      <c r="O157" s="161">
        <f t="shared" si="580"/>
        <v>4249</v>
      </c>
      <c r="P157" s="161">
        <f t="shared" ref="P157:Q157" si="581">SUM(P158,P159)</f>
        <v>4647</v>
      </c>
      <c r="Q157" s="161">
        <f t="shared" si="581"/>
        <v>3027</v>
      </c>
      <c r="R157" s="163">
        <f t="shared" ref="R157:S157" si="582">SUM(R158,R159)</f>
        <v>3027</v>
      </c>
      <c r="S157" s="161">
        <f t="shared" si="582"/>
        <v>3027</v>
      </c>
      <c r="T157" s="161">
        <f t="shared" ref="T157:W157" si="583">SUM(T158,T159)</f>
        <v>3027</v>
      </c>
      <c r="U157" s="161">
        <f t="shared" ref="U157" si="584">SUM(U158,U159)</f>
        <v>3027</v>
      </c>
      <c r="V157" s="161"/>
      <c r="W157" s="161">
        <f t="shared" si="583"/>
        <v>3027</v>
      </c>
      <c r="X157" s="161">
        <f t="shared" ref="X157" si="585">SUM(X158,X159)</f>
        <v>3027</v>
      </c>
      <c r="Y157" s="163"/>
      <c r="Z157" s="161"/>
      <c r="AA157" s="161">
        <f t="shared" ref="AA157:AB157" si="586">SUM(AA158,AA159)</f>
        <v>3027</v>
      </c>
      <c r="AB157" s="161">
        <f t="shared" si="586"/>
        <v>3027</v>
      </c>
      <c r="AC157" s="161"/>
      <c r="AD157" s="161"/>
      <c r="AE157" s="161"/>
      <c r="AF157" s="163"/>
      <c r="AG157" s="161"/>
      <c r="AH157" s="161"/>
      <c r="AI157" s="161">
        <f t="shared" ref="AI157" si="587">SUM(AI158,AI159)</f>
        <v>3027</v>
      </c>
      <c r="AJ157" s="161"/>
      <c r="AK157" s="161"/>
      <c r="AL157" s="161"/>
      <c r="AM157" s="163"/>
      <c r="AN157" s="161"/>
      <c r="AO157" s="161"/>
      <c r="AP157" s="161"/>
      <c r="AQ157" s="161"/>
      <c r="AR157" s="161"/>
      <c r="AS157" s="161"/>
      <c r="AT157" s="163"/>
      <c r="AU157" s="163"/>
      <c r="AV157" s="163"/>
      <c r="AW157" s="163"/>
      <c r="AX157" s="163"/>
      <c r="AY157" s="163"/>
      <c r="AZ157" s="163"/>
    </row>
    <row r="158" spans="1:52" s="92" customFormat="1" hidden="1" x14ac:dyDescent="0.25">
      <c r="A158" s="164" t="str">
        <f>Language!AA155</f>
        <v>Rio Verde</v>
      </c>
      <c r="B158" s="165">
        <f>Energy!B185</f>
        <v>20</v>
      </c>
      <c r="C158" s="165">
        <f>Energy!C185</f>
        <v>306</v>
      </c>
      <c r="D158" s="165">
        <f>Energy!D185</f>
        <v>428</v>
      </c>
      <c r="E158" s="166">
        <f>Energy!E185</f>
        <v>5</v>
      </c>
      <c r="F158" s="165">
        <f>Energy!F185</f>
        <v>31</v>
      </c>
      <c r="G158" s="165">
        <f>Energy!G185</f>
        <v>0</v>
      </c>
      <c r="H158" s="165">
        <f>Energy!H185</f>
        <v>812</v>
      </c>
      <c r="I158" s="166">
        <f>Energy!I185</f>
        <v>0</v>
      </c>
      <c r="J158" s="165">
        <f>Energy!J185</f>
        <v>2</v>
      </c>
      <c r="K158" s="165">
        <f>Energy!K185</f>
        <v>184</v>
      </c>
      <c r="L158" s="165">
        <f>Energy!L185</f>
        <v>93</v>
      </c>
      <c r="M158" s="166">
        <f>Energy!M185</f>
        <v>399</v>
      </c>
      <c r="N158" s="165">
        <f>Energy!N185</f>
        <v>153</v>
      </c>
      <c r="O158" s="165">
        <f>Energy!O185</f>
        <v>377</v>
      </c>
      <c r="P158" s="165">
        <f>Energy!P185</f>
        <v>363</v>
      </c>
      <c r="Q158" s="165">
        <v>364</v>
      </c>
      <c r="R158" s="167">
        <v>364</v>
      </c>
      <c r="S158" s="165">
        <v>364</v>
      </c>
      <c r="T158" s="165">
        <v>364</v>
      </c>
      <c r="U158" s="165">
        <v>364</v>
      </c>
      <c r="V158" s="165"/>
      <c r="W158" s="165">
        <v>364</v>
      </c>
      <c r="X158" s="165">
        <v>364</v>
      </c>
      <c r="Y158" s="167"/>
      <c r="Z158" s="165"/>
      <c r="AA158" s="165">
        <v>364</v>
      </c>
      <c r="AB158" s="165">
        <v>364</v>
      </c>
      <c r="AC158" s="165"/>
      <c r="AD158" s="165"/>
      <c r="AE158" s="165"/>
      <c r="AF158" s="167"/>
      <c r="AG158" s="165"/>
      <c r="AH158" s="165"/>
      <c r="AI158" s="165">
        <v>364</v>
      </c>
      <c r="AJ158" s="165"/>
      <c r="AK158" s="165"/>
      <c r="AL158" s="165"/>
      <c r="AM158" s="167"/>
      <c r="AN158" s="165"/>
      <c r="AO158" s="165"/>
      <c r="AP158" s="165"/>
      <c r="AQ158" s="165"/>
      <c r="AR158" s="165"/>
      <c r="AS158" s="165"/>
      <c r="AT158" s="167"/>
      <c r="AU158" s="167"/>
      <c r="AV158" s="167"/>
      <c r="AW158" s="167"/>
      <c r="AX158" s="167"/>
      <c r="AY158" s="167"/>
      <c r="AZ158" s="167"/>
    </row>
    <row r="159" spans="1:52" s="92" customFormat="1" hidden="1" x14ac:dyDescent="0.25">
      <c r="A159" s="164" t="str">
        <f>Language!AA156</f>
        <v>Rio Canoas</v>
      </c>
      <c r="B159" s="165">
        <f>Energy!B186</f>
        <v>15833</v>
      </c>
      <c r="C159" s="165">
        <f>Energy!C186</f>
        <v>80297</v>
      </c>
      <c r="D159" s="165">
        <f>Energy!D186</f>
        <v>29361</v>
      </c>
      <c r="E159" s="166">
        <f>Energy!E186</f>
        <v>104864</v>
      </c>
      <c r="F159" s="165">
        <f>Energy!F186</f>
        <v>96534</v>
      </c>
      <c r="G159" s="165">
        <f>Energy!G186</f>
        <v>85670</v>
      </c>
      <c r="H159" s="165">
        <f>Energy!H186</f>
        <v>112617</v>
      </c>
      <c r="I159" s="166">
        <f>Energy!I186</f>
        <v>165622</v>
      </c>
      <c r="J159" s="165">
        <f>Energy!J186</f>
        <v>147880</v>
      </c>
      <c r="K159" s="165">
        <f>Energy!K186</f>
        <v>101728</v>
      </c>
      <c r="L159" s="165">
        <f>Energy!L186</f>
        <v>80269</v>
      </c>
      <c r="M159" s="166">
        <f>Energy!M186</f>
        <v>48908</v>
      </c>
      <c r="N159" s="165">
        <f>Energy!N186</f>
        <v>5288</v>
      </c>
      <c r="O159" s="165">
        <f>Energy!O186</f>
        <v>3872</v>
      </c>
      <c r="P159" s="165">
        <f>Energy!P186</f>
        <v>4284</v>
      </c>
      <c r="Q159" s="165">
        <v>2663</v>
      </c>
      <c r="R159" s="167">
        <v>2663</v>
      </c>
      <c r="S159" s="165">
        <v>2663</v>
      </c>
      <c r="T159" s="165">
        <v>2663</v>
      </c>
      <c r="U159" s="165">
        <v>2663</v>
      </c>
      <c r="V159" s="165"/>
      <c r="W159" s="165">
        <v>2663</v>
      </c>
      <c r="X159" s="165">
        <v>2663</v>
      </c>
      <c r="Y159" s="167"/>
      <c r="Z159" s="165"/>
      <c r="AA159" s="165">
        <v>2663</v>
      </c>
      <c r="AB159" s="165">
        <v>2663</v>
      </c>
      <c r="AC159" s="165"/>
      <c r="AD159" s="165"/>
      <c r="AE159" s="165"/>
      <c r="AF159" s="167"/>
      <c r="AG159" s="165"/>
      <c r="AH159" s="165"/>
      <c r="AI159" s="165">
        <v>2663</v>
      </c>
      <c r="AJ159" s="165"/>
      <c r="AK159" s="165"/>
      <c r="AL159" s="165"/>
      <c r="AM159" s="167"/>
      <c r="AN159" s="165"/>
      <c r="AO159" s="165"/>
      <c r="AP159" s="165"/>
      <c r="AQ159" s="165"/>
      <c r="AR159" s="165"/>
      <c r="AS159" s="165"/>
      <c r="AT159" s="167"/>
      <c r="AU159" s="167"/>
      <c r="AV159" s="167"/>
      <c r="AW159" s="167"/>
      <c r="AX159" s="167"/>
      <c r="AY159" s="167"/>
      <c r="AZ159" s="167"/>
    </row>
    <row r="160" spans="1:52" s="92" customFormat="1" hidden="1" x14ac:dyDescent="0.25">
      <c r="A160" s="164" t="str">
        <f>Language!AA158</f>
        <v>Outros</v>
      </c>
      <c r="B160" s="165">
        <f>Energy!B188</f>
        <v>0</v>
      </c>
      <c r="C160" s="165">
        <f>Energy!C188</f>
        <v>0</v>
      </c>
      <c r="D160" s="165">
        <f>Energy!D188</f>
        <v>0</v>
      </c>
      <c r="E160" s="166">
        <f>Energy!E188</f>
        <v>0</v>
      </c>
      <c r="F160" s="165">
        <f>Energy!F188</f>
        <v>0</v>
      </c>
      <c r="G160" s="165">
        <f>Energy!G188</f>
        <v>0</v>
      </c>
      <c r="H160" s="165">
        <f>Energy!H188</f>
        <v>0</v>
      </c>
      <c r="I160" s="166">
        <f>Energy!I188</f>
        <v>1945</v>
      </c>
      <c r="J160" s="165">
        <f>Energy!J188</f>
        <v>0</v>
      </c>
      <c r="K160" s="165">
        <f>Energy!K188</f>
        <v>0</v>
      </c>
      <c r="L160" s="165">
        <f>Energy!L188</f>
        <v>0</v>
      </c>
      <c r="M160" s="166">
        <f>Energy!M188</f>
        <v>0</v>
      </c>
      <c r="N160" s="165">
        <f>Energy!N188</f>
        <v>0</v>
      </c>
      <c r="O160" s="165">
        <f>Energy!O188</f>
        <v>0</v>
      </c>
      <c r="P160" s="165">
        <f>Energy!P188</f>
        <v>0</v>
      </c>
      <c r="Q160" s="165">
        <v>0</v>
      </c>
      <c r="R160" s="167">
        <v>0</v>
      </c>
      <c r="S160" s="165">
        <v>0</v>
      </c>
      <c r="T160" s="165">
        <v>0</v>
      </c>
      <c r="U160" s="165">
        <v>0</v>
      </c>
      <c r="V160" s="165"/>
      <c r="W160" s="165">
        <v>0</v>
      </c>
      <c r="X160" s="165">
        <v>0</v>
      </c>
      <c r="Y160" s="167"/>
      <c r="Z160" s="165"/>
      <c r="AA160" s="165">
        <v>0</v>
      </c>
      <c r="AB160" s="165">
        <v>0</v>
      </c>
      <c r="AC160" s="165"/>
      <c r="AD160" s="165"/>
      <c r="AE160" s="165"/>
      <c r="AF160" s="167"/>
      <c r="AG160" s="165"/>
      <c r="AH160" s="165"/>
      <c r="AI160" s="165">
        <v>0</v>
      </c>
      <c r="AJ160" s="165"/>
      <c r="AK160" s="165"/>
      <c r="AL160" s="165"/>
      <c r="AM160" s="167"/>
      <c r="AN160" s="165"/>
      <c r="AO160" s="165"/>
      <c r="AP160" s="165"/>
      <c r="AQ160" s="165"/>
      <c r="AR160" s="165"/>
      <c r="AS160" s="165"/>
      <c r="AT160" s="167"/>
      <c r="AU160" s="167"/>
      <c r="AV160" s="167"/>
      <c r="AW160" s="167"/>
      <c r="AX160" s="167"/>
      <c r="AY160" s="167"/>
      <c r="AZ160" s="167"/>
    </row>
    <row r="161" spans="1:93" s="100" customFormat="1" ht="13" hidden="1" x14ac:dyDescent="0.3">
      <c r="A161" s="160" t="str">
        <f>Language!AA159</f>
        <v>Portos</v>
      </c>
      <c r="B161" s="161" t="e">
        <f>SUM(B162,B163,B164)</f>
        <v>#REF!</v>
      </c>
      <c r="C161" s="161" t="e">
        <f t="shared" ref="C161:K161" si="588">SUM(C162,C163,C164)</f>
        <v>#REF!</v>
      </c>
      <c r="D161" s="161" t="e">
        <f t="shared" si="588"/>
        <v>#REF!</v>
      </c>
      <c r="E161" s="162" t="e">
        <f t="shared" si="588"/>
        <v>#REF!</v>
      </c>
      <c r="F161" s="161" t="e">
        <f t="shared" si="588"/>
        <v>#REF!</v>
      </c>
      <c r="G161" s="161" t="e">
        <f t="shared" si="588"/>
        <v>#REF!</v>
      </c>
      <c r="H161" s="161" t="e">
        <f t="shared" si="588"/>
        <v>#REF!</v>
      </c>
      <c r="I161" s="162" t="e">
        <f t="shared" si="588"/>
        <v>#REF!</v>
      </c>
      <c r="J161" s="161" t="e">
        <f t="shared" si="588"/>
        <v>#REF!</v>
      </c>
      <c r="K161" s="161" t="e">
        <f t="shared" si="588"/>
        <v>#REF!</v>
      </c>
      <c r="L161" s="161" t="e">
        <f t="shared" ref="L161:M161" si="589">SUM(L162,L163,L164)</f>
        <v>#REF!</v>
      </c>
      <c r="M161" s="162" t="e">
        <f t="shared" si="589"/>
        <v>#REF!</v>
      </c>
      <c r="N161" s="161" t="e">
        <f t="shared" ref="N161:O161" si="590">SUM(N162,N163,N164)</f>
        <v>#REF!</v>
      </c>
      <c r="O161" s="161" t="e">
        <f t="shared" si="590"/>
        <v>#REF!</v>
      </c>
      <c r="P161" s="161" t="e">
        <f t="shared" ref="P161:Q161" si="591">SUM(P162,P163,P164)</f>
        <v>#REF!</v>
      </c>
      <c r="Q161" s="161">
        <f t="shared" si="591"/>
        <v>17421</v>
      </c>
      <c r="R161" s="163">
        <f t="shared" ref="R161:S161" si="592">SUM(R162,R163,R164)</f>
        <v>17421</v>
      </c>
      <c r="S161" s="161">
        <f t="shared" si="592"/>
        <v>17421</v>
      </c>
      <c r="T161" s="161">
        <f t="shared" ref="T161:W161" si="593">SUM(T162,T163,T164)</f>
        <v>17421</v>
      </c>
      <c r="U161" s="161">
        <f t="shared" ref="U161" si="594">SUM(U162,U163,U164)</f>
        <v>17421</v>
      </c>
      <c r="V161" s="161"/>
      <c r="W161" s="161">
        <f t="shared" si="593"/>
        <v>17421</v>
      </c>
      <c r="X161" s="161">
        <f t="shared" ref="X161" si="595">SUM(X162,X163,X164)</f>
        <v>17421</v>
      </c>
      <c r="Y161" s="163"/>
      <c r="Z161" s="161"/>
      <c r="AA161" s="161">
        <f t="shared" ref="AA161:AB161" si="596">SUM(AA162,AA163,AA164)</f>
        <v>17421</v>
      </c>
      <c r="AB161" s="161">
        <f t="shared" si="596"/>
        <v>17421</v>
      </c>
      <c r="AC161" s="161"/>
      <c r="AD161" s="161"/>
      <c r="AE161" s="161"/>
      <c r="AF161" s="163"/>
      <c r="AG161" s="161"/>
      <c r="AH161" s="161"/>
      <c r="AI161" s="161">
        <f t="shared" ref="AI161" si="597">SUM(AI162,AI163,AI164)</f>
        <v>17421</v>
      </c>
      <c r="AJ161" s="161"/>
      <c r="AK161" s="161"/>
      <c r="AL161" s="161"/>
      <c r="AM161" s="163"/>
      <c r="AN161" s="161"/>
      <c r="AO161" s="161"/>
      <c r="AP161" s="161"/>
      <c r="AQ161" s="161"/>
      <c r="AR161" s="161"/>
      <c r="AS161" s="161"/>
      <c r="AT161" s="163"/>
      <c r="AU161" s="163"/>
      <c r="AV161" s="163"/>
      <c r="AW161" s="163"/>
      <c r="AX161" s="163"/>
      <c r="AY161" s="163"/>
      <c r="AZ161" s="163"/>
    </row>
    <row r="162" spans="1:93" s="92" customFormat="1" hidden="1" x14ac:dyDescent="0.25">
      <c r="A162" s="164" t="str">
        <f>Language!AA160</f>
        <v>Portonave</v>
      </c>
      <c r="B162" s="165" t="e">
        <f>#REF!</f>
        <v>#REF!</v>
      </c>
      <c r="C162" s="165" t="e">
        <f>#REF!</f>
        <v>#REF!</v>
      </c>
      <c r="D162" s="165" t="e">
        <f>#REF!</f>
        <v>#REF!</v>
      </c>
      <c r="E162" s="166" t="e">
        <f>#REF!</f>
        <v>#REF!</v>
      </c>
      <c r="F162" s="165" t="e">
        <f>#REF!</f>
        <v>#REF!</v>
      </c>
      <c r="G162" s="165" t="e">
        <f>#REF!</f>
        <v>#REF!</v>
      </c>
      <c r="H162" s="165" t="e">
        <f>#REF!</f>
        <v>#REF!</v>
      </c>
      <c r="I162" s="166" t="e">
        <f>#REF!</f>
        <v>#REF!</v>
      </c>
      <c r="J162" s="165" t="e">
        <f>#REF!</f>
        <v>#REF!</v>
      </c>
      <c r="K162" s="165" t="e">
        <f>#REF!</f>
        <v>#REF!</v>
      </c>
      <c r="L162" s="165" t="e">
        <f>#REF!</f>
        <v>#REF!</v>
      </c>
      <c r="M162" s="166" t="e">
        <f>#REF!</f>
        <v>#REF!</v>
      </c>
      <c r="N162" s="165" t="e">
        <f>#REF!</f>
        <v>#REF!</v>
      </c>
      <c r="O162" s="165" t="e">
        <f>#REF!</f>
        <v>#REF!</v>
      </c>
      <c r="P162" s="165" t="e">
        <f>#REF!</f>
        <v>#REF!</v>
      </c>
      <c r="Q162" s="165">
        <v>17421</v>
      </c>
      <c r="R162" s="167">
        <v>17421</v>
      </c>
      <c r="S162" s="165">
        <v>17421</v>
      </c>
      <c r="T162" s="165">
        <v>17421</v>
      </c>
      <c r="U162" s="165">
        <v>17421</v>
      </c>
      <c r="V162" s="165"/>
      <c r="W162" s="165">
        <v>17421</v>
      </c>
      <c r="X162" s="165">
        <v>17421</v>
      </c>
      <c r="Y162" s="167"/>
      <c r="Z162" s="165"/>
      <c r="AA162" s="165">
        <v>17421</v>
      </c>
      <c r="AB162" s="165">
        <v>17421</v>
      </c>
      <c r="AC162" s="165"/>
      <c r="AD162" s="165"/>
      <c r="AE162" s="165"/>
      <c r="AF162" s="167"/>
      <c r="AG162" s="165"/>
      <c r="AH162" s="165"/>
      <c r="AI162" s="165">
        <v>17421</v>
      </c>
      <c r="AJ162" s="165"/>
      <c r="AK162" s="165"/>
      <c r="AL162" s="165"/>
      <c r="AM162" s="167"/>
      <c r="AN162" s="165"/>
      <c r="AO162" s="165"/>
      <c r="AP162" s="165"/>
      <c r="AQ162" s="165"/>
      <c r="AR162" s="165"/>
      <c r="AS162" s="165"/>
      <c r="AT162" s="167"/>
      <c r="AU162" s="167"/>
      <c r="AV162" s="167"/>
      <c r="AW162" s="167"/>
      <c r="AX162" s="167"/>
      <c r="AY162" s="167"/>
      <c r="AZ162" s="167"/>
    </row>
    <row r="163" spans="1:93" s="92" customFormat="1" hidden="1" x14ac:dyDescent="0.25">
      <c r="A163" s="164" t="str">
        <f>Language!AA161</f>
        <v>Iceport</v>
      </c>
      <c r="B163" s="165" t="e">
        <f>#REF!</f>
        <v>#REF!</v>
      </c>
      <c r="C163" s="165" t="e">
        <f>#REF!</f>
        <v>#REF!</v>
      </c>
      <c r="D163" s="165" t="e">
        <f>#REF!</f>
        <v>#REF!</v>
      </c>
      <c r="E163" s="166" t="e">
        <f>#REF!</f>
        <v>#REF!</v>
      </c>
      <c r="F163" s="165" t="e">
        <f>#REF!</f>
        <v>#REF!</v>
      </c>
      <c r="G163" s="165" t="e">
        <f>#REF!</f>
        <v>#REF!</v>
      </c>
      <c r="H163" s="165" t="e">
        <f>#REF!</f>
        <v>#REF!</v>
      </c>
      <c r="I163" s="166" t="e">
        <f>#REF!</f>
        <v>#REF!</v>
      </c>
      <c r="J163" s="165" t="e">
        <f>#REF!</f>
        <v>#REF!</v>
      </c>
      <c r="K163" s="165" t="e">
        <f>#REF!</f>
        <v>#REF!</v>
      </c>
      <c r="L163" s="165" t="e">
        <f>#REF!</f>
        <v>#REF!</v>
      </c>
      <c r="M163" s="166" t="e">
        <f>#REF!</f>
        <v>#REF!</v>
      </c>
      <c r="N163" s="165" t="e">
        <f>#REF!</f>
        <v>#REF!</v>
      </c>
      <c r="O163" s="165" t="e">
        <f>#REF!</f>
        <v>#REF!</v>
      </c>
      <c r="P163" s="165" t="e">
        <f>#REF!</f>
        <v>#REF!</v>
      </c>
      <c r="Q163" s="165">
        <v>0</v>
      </c>
      <c r="R163" s="167">
        <v>0</v>
      </c>
      <c r="S163" s="165">
        <v>0</v>
      </c>
      <c r="T163" s="165">
        <v>0</v>
      </c>
      <c r="U163" s="165">
        <v>0</v>
      </c>
      <c r="V163" s="165"/>
      <c r="W163" s="165">
        <v>0</v>
      </c>
      <c r="X163" s="165">
        <v>0</v>
      </c>
      <c r="Y163" s="167"/>
      <c r="Z163" s="165"/>
      <c r="AA163" s="165">
        <v>0</v>
      </c>
      <c r="AB163" s="165">
        <v>0</v>
      </c>
      <c r="AC163" s="165"/>
      <c r="AD163" s="165"/>
      <c r="AE163" s="165"/>
      <c r="AF163" s="167"/>
      <c r="AG163" s="165"/>
      <c r="AH163" s="165"/>
      <c r="AI163" s="165">
        <v>0</v>
      </c>
      <c r="AJ163" s="165"/>
      <c r="AK163" s="165"/>
      <c r="AL163" s="165"/>
      <c r="AM163" s="167"/>
      <c r="AN163" s="165"/>
      <c r="AO163" s="165"/>
      <c r="AP163" s="165"/>
      <c r="AQ163" s="165"/>
      <c r="AR163" s="165"/>
      <c r="AS163" s="165"/>
      <c r="AT163" s="167"/>
      <c r="AU163" s="167"/>
      <c r="AV163" s="167"/>
      <c r="AW163" s="167"/>
      <c r="AX163" s="167"/>
      <c r="AY163" s="167"/>
      <c r="AZ163" s="167"/>
    </row>
    <row r="164" spans="1:93" s="92" customFormat="1" hidden="1" x14ac:dyDescent="0.25">
      <c r="A164" s="164" t="str">
        <f>Language!AA162</f>
        <v>Outros</v>
      </c>
      <c r="B164" s="165" t="e">
        <f>#REF!</f>
        <v>#REF!</v>
      </c>
      <c r="C164" s="165" t="e">
        <f>#REF!</f>
        <v>#REF!</v>
      </c>
      <c r="D164" s="165" t="e">
        <f>#REF!</f>
        <v>#REF!</v>
      </c>
      <c r="E164" s="166" t="e">
        <f>#REF!</f>
        <v>#REF!</v>
      </c>
      <c r="F164" s="165" t="e">
        <f>#REF!</f>
        <v>#REF!</v>
      </c>
      <c r="G164" s="165" t="e">
        <f>#REF!</f>
        <v>#REF!</v>
      </c>
      <c r="H164" s="165" t="e">
        <f>#REF!</f>
        <v>#REF!</v>
      </c>
      <c r="I164" s="166" t="e">
        <f>#REF!</f>
        <v>#REF!</v>
      </c>
      <c r="J164" s="165" t="e">
        <f>#REF!</f>
        <v>#REF!</v>
      </c>
      <c r="K164" s="165" t="e">
        <f>#REF!</f>
        <v>#REF!</v>
      </c>
      <c r="L164" s="165" t="e">
        <f>#REF!</f>
        <v>#REF!</v>
      </c>
      <c r="M164" s="166" t="e">
        <f>#REF!</f>
        <v>#REF!</v>
      </c>
      <c r="N164" s="165" t="e">
        <f>#REF!</f>
        <v>#REF!</v>
      </c>
      <c r="O164" s="165" t="e">
        <f>#REF!</f>
        <v>#REF!</v>
      </c>
      <c r="P164" s="165" t="e">
        <f>#REF!</f>
        <v>#REF!</v>
      </c>
      <c r="Q164" s="165">
        <v>0</v>
      </c>
      <c r="R164" s="167">
        <v>0</v>
      </c>
      <c r="S164" s="165">
        <v>0</v>
      </c>
      <c r="T164" s="165">
        <v>0</v>
      </c>
      <c r="U164" s="165">
        <v>0</v>
      </c>
      <c r="V164" s="165"/>
      <c r="W164" s="165">
        <v>0</v>
      </c>
      <c r="X164" s="165">
        <v>0</v>
      </c>
      <c r="Y164" s="167"/>
      <c r="Z164" s="165"/>
      <c r="AA164" s="165">
        <v>0</v>
      </c>
      <c r="AB164" s="165">
        <v>0</v>
      </c>
      <c r="AC164" s="165"/>
      <c r="AD164" s="165"/>
      <c r="AE164" s="165"/>
      <c r="AF164" s="167"/>
      <c r="AG164" s="165"/>
      <c r="AH164" s="165"/>
      <c r="AI164" s="165">
        <v>0</v>
      </c>
      <c r="AJ164" s="165"/>
      <c r="AK164" s="165"/>
      <c r="AL164" s="165"/>
      <c r="AM164" s="167"/>
      <c r="AN164" s="165"/>
      <c r="AO164" s="165"/>
      <c r="AP164" s="165"/>
      <c r="AQ164" s="165"/>
      <c r="AR164" s="165"/>
      <c r="AS164" s="165"/>
      <c r="AT164" s="167"/>
      <c r="AU164" s="167"/>
      <c r="AV164" s="167"/>
      <c r="AW164" s="167"/>
      <c r="AX164" s="167"/>
      <c r="AY164" s="167"/>
      <c r="AZ164" s="167"/>
    </row>
    <row r="165" spans="1:93" s="100" customFormat="1" ht="13" hidden="1" x14ac:dyDescent="0.3">
      <c r="A165" s="160" t="str">
        <f>Language!AA163</f>
        <v>Cabotagem</v>
      </c>
      <c r="B165" s="161" t="e">
        <f>#REF!</f>
        <v>#REF!</v>
      </c>
      <c r="C165" s="161" t="e">
        <f>#REF!</f>
        <v>#REF!</v>
      </c>
      <c r="D165" s="161" t="e">
        <f>#REF!</f>
        <v>#REF!</v>
      </c>
      <c r="E165" s="162" t="e">
        <f>#REF!</f>
        <v>#REF!</v>
      </c>
      <c r="F165" s="161" t="e">
        <f>#REF!</f>
        <v>#REF!</v>
      </c>
      <c r="G165" s="161" t="e">
        <f>#REF!</f>
        <v>#REF!</v>
      </c>
      <c r="H165" s="161" t="e">
        <f>#REF!</f>
        <v>#REF!</v>
      </c>
      <c r="I165" s="162" t="e">
        <f>#REF!</f>
        <v>#REF!</v>
      </c>
      <c r="J165" s="161" t="e">
        <f>#REF!</f>
        <v>#REF!</v>
      </c>
      <c r="K165" s="161" t="e">
        <f>#REF!</f>
        <v>#REF!</v>
      </c>
      <c r="L165" s="161" t="e">
        <f>#REF!</f>
        <v>#REF!</v>
      </c>
      <c r="M165" s="162" t="e">
        <f>#REF!</f>
        <v>#REF!</v>
      </c>
      <c r="N165" s="161" t="e">
        <f>#REF!</f>
        <v>#REF!</v>
      </c>
      <c r="O165" s="161" t="e">
        <f>#REF!</f>
        <v>#REF!</v>
      </c>
      <c r="P165" s="161" t="e">
        <f>#REF!</f>
        <v>#REF!</v>
      </c>
      <c r="Q165" s="161">
        <v>0</v>
      </c>
      <c r="R165" s="163">
        <v>0</v>
      </c>
      <c r="S165" s="161">
        <v>0</v>
      </c>
      <c r="T165" s="161">
        <v>0</v>
      </c>
      <c r="U165" s="161">
        <v>0</v>
      </c>
      <c r="V165" s="161"/>
      <c r="W165" s="161">
        <v>0</v>
      </c>
      <c r="X165" s="161">
        <v>0</v>
      </c>
      <c r="Y165" s="163"/>
      <c r="Z165" s="161"/>
      <c r="AA165" s="161">
        <v>0</v>
      </c>
      <c r="AB165" s="161">
        <v>0</v>
      </c>
      <c r="AC165" s="161"/>
      <c r="AD165" s="161"/>
      <c r="AE165" s="161"/>
      <c r="AF165" s="163"/>
      <c r="AG165" s="161"/>
      <c r="AH165" s="161"/>
      <c r="AI165" s="161">
        <v>0</v>
      </c>
      <c r="AJ165" s="161"/>
      <c r="AK165" s="161"/>
      <c r="AL165" s="161"/>
      <c r="AM165" s="163"/>
      <c r="AN165" s="161"/>
      <c r="AO165" s="161"/>
      <c r="AP165" s="161"/>
      <c r="AQ165" s="161"/>
      <c r="AR165" s="161"/>
      <c r="AS165" s="161"/>
      <c r="AT165" s="163"/>
      <c r="AU165" s="163"/>
      <c r="AV165" s="163"/>
      <c r="AW165" s="163"/>
      <c r="AX165" s="163"/>
      <c r="AY165" s="163"/>
      <c r="AZ165" s="163"/>
    </row>
    <row r="166" spans="1:93" s="100" customFormat="1" ht="13" hidden="1" x14ac:dyDescent="0.3">
      <c r="A166" s="160" t="str">
        <f>Language!AA164</f>
        <v>Aeroportos</v>
      </c>
      <c r="B166" s="161" t="e">
        <f>#REF!</f>
        <v>#REF!</v>
      </c>
      <c r="C166" s="161" t="e">
        <f>#REF!</f>
        <v>#REF!</v>
      </c>
      <c r="D166" s="161" t="e">
        <f>#REF!</f>
        <v>#REF!</v>
      </c>
      <c r="E166" s="162" t="e">
        <f>#REF!</f>
        <v>#REF!</v>
      </c>
      <c r="F166" s="161" t="e">
        <f>#REF!</f>
        <v>#REF!</v>
      </c>
      <c r="G166" s="161" t="e">
        <f>#REF!</f>
        <v>#REF!</v>
      </c>
      <c r="H166" s="161" t="e">
        <f>#REF!</f>
        <v>#REF!</v>
      </c>
      <c r="I166" s="162" t="e">
        <f>#REF!</f>
        <v>#REF!</v>
      </c>
      <c r="J166" s="161" t="e">
        <f>#REF!</f>
        <v>#REF!</v>
      </c>
      <c r="K166" s="161" t="e">
        <f>#REF!</f>
        <v>#REF!</v>
      </c>
      <c r="L166" s="161" t="e">
        <f>#REF!</f>
        <v>#REF!</v>
      </c>
      <c r="M166" s="162" t="e">
        <f>#REF!</f>
        <v>#REF!</v>
      </c>
      <c r="N166" s="161" t="e">
        <f>#REF!</f>
        <v>#REF!</v>
      </c>
      <c r="O166" s="161" t="e">
        <f>#REF!</f>
        <v>#REF!</v>
      </c>
      <c r="P166" s="161" t="e">
        <f>#REF!</f>
        <v>#REF!</v>
      </c>
      <c r="Q166" s="161">
        <v>49521</v>
      </c>
      <c r="R166" s="163">
        <v>49521</v>
      </c>
      <c r="S166" s="161">
        <v>49521</v>
      </c>
      <c r="T166" s="161">
        <v>49521</v>
      </c>
      <c r="U166" s="161">
        <v>49521</v>
      </c>
      <c r="V166" s="161"/>
      <c r="W166" s="161">
        <v>49521</v>
      </c>
      <c r="X166" s="161">
        <v>49521</v>
      </c>
      <c r="Y166" s="163"/>
      <c r="Z166" s="161"/>
      <c r="AA166" s="161">
        <v>49521</v>
      </c>
      <c r="AB166" s="161">
        <v>49521</v>
      </c>
      <c r="AC166" s="161"/>
      <c r="AD166" s="161"/>
      <c r="AE166" s="161"/>
      <c r="AF166" s="163"/>
      <c r="AG166" s="161"/>
      <c r="AH166" s="161"/>
      <c r="AI166" s="161">
        <v>49521</v>
      </c>
      <c r="AJ166" s="161"/>
      <c r="AK166" s="161"/>
      <c r="AL166" s="161"/>
      <c r="AM166" s="163"/>
      <c r="AN166" s="161"/>
      <c r="AO166" s="161"/>
      <c r="AP166" s="161"/>
      <c r="AQ166" s="161"/>
      <c r="AR166" s="161"/>
      <c r="AS166" s="161"/>
      <c r="AT166" s="163"/>
      <c r="AU166" s="163"/>
      <c r="AV166" s="163"/>
      <c r="AW166" s="163"/>
      <c r="AX166" s="163"/>
      <c r="AY166" s="163"/>
      <c r="AZ166" s="163"/>
    </row>
    <row r="167" spans="1:93" s="100" customFormat="1" ht="13" hidden="1" x14ac:dyDescent="0.3">
      <c r="A167" s="160" t="str">
        <f>Language!AA165</f>
        <v>Holding e Outros</v>
      </c>
      <c r="B167" s="177" t="e">
        <f>#REF!</f>
        <v>#REF!</v>
      </c>
      <c r="C167" s="177" t="e">
        <f>#REF!</f>
        <v>#REF!</v>
      </c>
      <c r="D167" s="177" t="e">
        <f>#REF!</f>
        <v>#REF!</v>
      </c>
      <c r="E167" s="178" t="e">
        <f>#REF!</f>
        <v>#REF!</v>
      </c>
      <c r="F167" s="177" t="e">
        <f>#REF!</f>
        <v>#REF!</v>
      </c>
      <c r="G167" s="177" t="e">
        <f>#REF!</f>
        <v>#REF!</v>
      </c>
      <c r="H167" s="177" t="e">
        <f>#REF!</f>
        <v>#REF!</v>
      </c>
      <c r="I167" s="178" t="e">
        <f>#REF!</f>
        <v>#REF!</v>
      </c>
      <c r="J167" s="177" t="e">
        <f>#REF!</f>
        <v>#REF!</v>
      </c>
      <c r="K167" s="177" t="e">
        <f>#REF!</f>
        <v>#REF!</v>
      </c>
      <c r="L167" s="177" t="e">
        <f>#REF!</f>
        <v>#REF!</v>
      </c>
      <c r="M167" s="178" t="e">
        <f>#REF!</f>
        <v>#REF!</v>
      </c>
      <c r="N167" s="177" t="e">
        <f>#REF!</f>
        <v>#REF!</v>
      </c>
      <c r="O167" s="177" t="e">
        <f>#REF!</f>
        <v>#REF!</v>
      </c>
      <c r="P167" s="177" t="e">
        <f>#REF!</f>
        <v>#REF!</v>
      </c>
      <c r="Q167" s="177">
        <v>37257</v>
      </c>
      <c r="R167" s="179">
        <v>37257</v>
      </c>
      <c r="S167" s="177">
        <v>37257</v>
      </c>
      <c r="T167" s="177">
        <v>37257</v>
      </c>
      <c r="U167" s="177">
        <v>37257</v>
      </c>
      <c r="V167" s="177"/>
      <c r="W167" s="177">
        <v>37257</v>
      </c>
      <c r="X167" s="177">
        <v>37257</v>
      </c>
      <c r="Y167" s="179"/>
      <c r="Z167" s="177"/>
      <c r="AA167" s="177">
        <v>37257</v>
      </c>
      <c r="AB167" s="177">
        <v>37257</v>
      </c>
      <c r="AC167" s="177"/>
      <c r="AD167" s="177"/>
      <c r="AE167" s="177"/>
      <c r="AF167" s="179"/>
      <c r="AG167" s="177"/>
      <c r="AH167" s="177"/>
      <c r="AI167" s="177">
        <v>37257</v>
      </c>
      <c r="AJ167" s="177"/>
      <c r="AK167" s="177"/>
      <c r="AL167" s="177"/>
      <c r="AM167" s="179"/>
      <c r="AN167" s="177"/>
      <c r="AO167" s="177"/>
      <c r="AP167" s="177"/>
      <c r="AQ167" s="177"/>
      <c r="AR167" s="177"/>
      <c r="AS167" s="177"/>
      <c r="AT167" s="179"/>
      <c r="AU167" s="179"/>
      <c r="AV167" s="179"/>
      <c r="AW167" s="179"/>
      <c r="AX167" s="179"/>
      <c r="AY167" s="179"/>
      <c r="AZ167" s="179"/>
    </row>
    <row r="168" spans="1:93" s="92" customFormat="1" ht="13" x14ac:dyDescent="0.3">
      <c r="A168" s="142" t="str">
        <f>Language!AA166</f>
        <v>Depreciação e Amortização</v>
      </c>
      <c r="B168" s="143">
        <f>SUM(B169,B170)</f>
        <v>-42714</v>
      </c>
      <c r="C168" s="143">
        <f t="shared" ref="C168:K168" si="598">SUM(C169,C170)</f>
        <v>-45064</v>
      </c>
      <c r="D168" s="143">
        <f t="shared" si="598"/>
        <v>-42800</v>
      </c>
      <c r="E168" s="144">
        <f t="shared" si="598"/>
        <v>-46968</v>
      </c>
      <c r="F168" s="143">
        <f t="shared" si="598"/>
        <v>-50543</v>
      </c>
      <c r="G168" s="143">
        <f t="shared" si="598"/>
        <v>-55275</v>
      </c>
      <c r="H168" s="143">
        <f t="shared" si="598"/>
        <v>-49365</v>
      </c>
      <c r="I168" s="144">
        <f t="shared" si="598"/>
        <v>-54782</v>
      </c>
      <c r="J168" s="143">
        <f>J169+J170</f>
        <v>-58323</v>
      </c>
      <c r="K168" s="143">
        <f t="shared" si="598"/>
        <v>-57136.211765301996</v>
      </c>
      <c r="L168" s="143">
        <f t="shared" ref="L168:P168" si="599">SUM(L169,L170)</f>
        <v>-60104.842199999999</v>
      </c>
      <c r="M168" s="144">
        <f t="shared" si="599"/>
        <v>-65174.736600000004</v>
      </c>
      <c r="N168" s="143">
        <f>SUM(N169,N170)</f>
        <v>-68379</v>
      </c>
      <c r="O168" s="143">
        <f>SUM(O169,O170)</f>
        <v>-70988</v>
      </c>
      <c r="P168" s="143">
        <f t="shared" si="599"/>
        <v>-70130</v>
      </c>
      <c r="Q168" s="143">
        <f t="shared" ref="Q168:Z168" si="600">SUM(Q169,Q170)</f>
        <v>-76090</v>
      </c>
      <c r="R168" s="145">
        <f t="shared" si="600"/>
        <v>-86568</v>
      </c>
      <c r="S168" s="143">
        <f t="shared" si="600"/>
        <v>-87121</v>
      </c>
      <c r="T168" s="143">
        <f t="shared" si="600"/>
        <v>-90869</v>
      </c>
      <c r="U168" s="143">
        <f t="shared" si="600"/>
        <v>-82029</v>
      </c>
      <c r="V168" s="143">
        <f t="shared" si="600"/>
        <v>-173689</v>
      </c>
      <c r="W168" s="143">
        <f t="shared" si="600"/>
        <v>-264558</v>
      </c>
      <c r="X168" s="143">
        <f t="shared" si="600"/>
        <v>-346587</v>
      </c>
      <c r="Y168" s="145">
        <f t="shared" si="600"/>
        <v>-91962</v>
      </c>
      <c r="Z168" s="143">
        <f t="shared" si="600"/>
        <v>-85999</v>
      </c>
      <c r="AA168" s="143">
        <f t="shared" ref="AA168:AB168" si="601">SUM(AA169,AA170)</f>
        <v>-95789</v>
      </c>
      <c r="AB168" s="143">
        <f t="shared" si="601"/>
        <v>-93307</v>
      </c>
      <c r="AC168" s="143">
        <f t="shared" ref="AC168:AD168" si="602">SUM(AC169,AC170)</f>
        <v>-177961</v>
      </c>
      <c r="AD168" s="143">
        <f t="shared" si="602"/>
        <v>-273750</v>
      </c>
      <c r="AE168" s="143">
        <f t="shared" ref="AE168" si="603">SUM(AE169,AE170)</f>
        <v>-367057</v>
      </c>
      <c r="AF168" s="145">
        <v>-118856</v>
      </c>
      <c r="AG168" s="143">
        <v>-126588</v>
      </c>
      <c r="AH168" s="143">
        <v>-46814</v>
      </c>
      <c r="AI168" s="143">
        <v>183410</v>
      </c>
      <c r="AJ168" s="143">
        <v>-245444</v>
      </c>
      <c r="AK168" s="143">
        <v>-292258</v>
      </c>
      <c r="AL168" s="143">
        <v>-108848</v>
      </c>
      <c r="AM168" s="145">
        <f t="shared" ref="AM168:AQ168" si="604">SUM(AM169,AM170)</f>
        <v>-52602</v>
      </c>
      <c r="AN168" s="143">
        <f t="shared" ref="AN168:AN176" si="605">AQ168-AM168</f>
        <v>-52213</v>
      </c>
      <c r="AO168" s="143"/>
      <c r="AP168" s="143">
        <f t="shared" ref="AP168:AP234" si="606">AS168-AR168</f>
        <v>-75375</v>
      </c>
      <c r="AQ168" s="143">
        <f t="shared" si="604"/>
        <v>-104815</v>
      </c>
      <c r="AR168" s="143">
        <f t="shared" ref="AR168:AS168" si="607">SUM(AR169,AR170)</f>
        <v>-165291</v>
      </c>
      <c r="AS168" s="143">
        <f t="shared" si="607"/>
        <v>-240666</v>
      </c>
      <c r="AT168" s="145">
        <f t="shared" ref="AT168:AU168" si="608">SUM(AT169,AT170)</f>
        <v>-77746</v>
      </c>
      <c r="AU168" s="145">
        <f t="shared" si="608"/>
        <v>-82551</v>
      </c>
      <c r="AV168" s="145">
        <f t="shared" ref="AV168:AZ168" si="609">SUM(AV169,AV170)</f>
        <v>-83962</v>
      </c>
      <c r="AW168" s="145">
        <f t="shared" ref="AW168:AW176" si="610">AZ168-AY168</f>
        <v>-109752</v>
      </c>
      <c r="AX168" s="145">
        <f t="shared" ref="AX168" si="611">SUM(AX169,AX170)</f>
        <v>-160297</v>
      </c>
      <c r="AY168" s="145">
        <f t="shared" si="609"/>
        <v>-244259</v>
      </c>
      <c r="AZ168" s="145">
        <f t="shared" si="609"/>
        <v>-354011</v>
      </c>
      <c r="BA168" s="145">
        <f t="shared" ref="BA168:BB168" si="612">SUM(BA169,BA170)</f>
        <v>-85363</v>
      </c>
      <c r="BB168" s="145">
        <f t="shared" si="612"/>
        <v>-73492</v>
      </c>
      <c r="BC168" s="145">
        <f t="shared" ref="BC168:BD168" si="613">SUM(BC169,BC170)</f>
        <v>-101015</v>
      </c>
      <c r="BD168" s="145">
        <f t="shared" si="613"/>
        <v>-117461</v>
      </c>
      <c r="BE168" s="145">
        <f t="shared" ref="BE168:BF168" si="614">SUM(BE169,BE170)</f>
        <v>-158855</v>
      </c>
      <c r="BF168" s="145">
        <f t="shared" si="614"/>
        <v>-259870</v>
      </c>
      <c r="BG168" s="145">
        <f t="shared" ref="BG168:BH168" si="615">SUM(BG169,BG170)</f>
        <v>-377331</v>
      </c>
      <c r="BH168" s="145">
        <f t="shared" si="615"/>
        <v>-111558</v>
      </c>
      <c r="BI168" s="145">
        <f t="shared" ref="BI168:BL168" si="616">SUM(BI169,BI170)</f>
        <v>-117219</v>
      </c>
      <c r="BJ168" s="145">
        <f t="shared" si="616"/>
        <v>-57039</v>
      </c>
      <c r="BK168" s="145">
        <f t="shared" si="616"/>
        <v>-90933</v>
      </c>
      <c r="BL168" s="145">
        <f t="shared" si="616"/>
        <v>-228777</v>
      </c>
      <c r="BM168" s="145">
        <f t="shared" ref="BM168:BN168" si="617">SUM(BM169,BM170)</f>
        <v>-285816</v>
      </c>
      <c r="BN168" s="145">
        <f t="shared" si="617"/>
        <v>-376749</v>
      </c>
      <c r="BO168" s="145">
        <f t="shared" ref="BO168:BP168" si="618">SUM(BO169,BO170)</f>
        <v>-44619</v>
      </c>
      <c r="BP168" s="145">
        <f t="shared" si="618"/>
        <v>-41681</v>
      </c>
      <c r="BQ168" s="145">
        <f t="shared" ref="BQ168:BS168" si="619">SUM(BQ169,BQ170)</f>
        <v>-45245</v>
      </c>
      <c r="BR168" s="145">
        <f t="shared" si="619"/>
        <v>-26464</v>
      </c>
      <c r="BS168" s="145">
        <f t="shared" si="619"/>
        <v>-86300</v>
      </c>
      <c r="BT168" s="145">
        <f t="shared" ref="BT168:BU168" si="620">SUM(BT169,BT170)</f>
        <v>-131545</v>
      </c>
      <c r="BU168" s="145">
        <f t="shared" si="620"/>
        <v>-158009</v>
      </c>
      <c r="BV168" s="145">
        <f t="shared" ref="BV168" si="621">SUM(BV169,BV170)</f>
        <v>-37218</v>
      </c>
      <c r="BW168" s="145">
        <f t="shared" ref="BW168:CB168" si="622">SUM(BW169,BW170)</f>
        <v>-37102</v>
      </c>
      <c r="BX168" s="145">
        <f t="shared" si="622"/>
        <v>-41373</v>
      </c>
      <c r="BY168" s="145">
        <f t="shared" si="622"/>
        <v>-46035</v>
      </c>
      <c r="BZ168" s="145">
        <f t="shared" si="622"/>
        <v>-74320</v>
      </c>
      <c r="CA168" s="145">
        <f t="shared" si="622"/>
        <v>-115693</v>
      </c>
      <c r="CB168" s="145">
        <f t="shared" si="622"/>
        <v>-161728</v>
      </c>
      <c r="CC168" s="145">
        <f t="shared" ref="CC168:CD168" si="623">SUM(CC169,CC170)</f>
        <v>-39582</v>
      </c>
      <c r="CD168" s="145">
        <f t="shared" si="623"/>
        <v>-42801</v>
      </c>
      <c r="CE168" s="145">
        <f t="shared" ref="CE168:CG168" si="624">SUM(CE169,CE170)</f>
        <v>-46827</v>
      </c>
      <c r="CF168" s="145">
        <f t="shared" si="624"/>
        <v>-38035</v>
      </c>
      <c r="CG168" s="145">
        <f t="shared" si="624"/>
        <v>-82383</v>
      </c>
      <c r="CH168" s="145">
        <f t="shared" ref="CH168:CI168" si="625">SUM(CH169,CH170)</f>
        <v>-129210</v>
      </c>
      <c r="CI168" s="145">
        <f t="shared" si="625"/>
        <v>-167245</v>
      </c>
      <c r="CJ168" s="145">
        <v>-43153</v>
      </c>
      <c r="CK168" s="145">
        <f t="shared" ref="CK168:CO168" si="626">SUM(CK169,CK170)</f>
        <v>-72626</v>
      </c>
      <c r="CL168" s="145">
        <f t="shared" si="626"/>
        <v>0</v>
      </c>
      <c r="CM168" s="145">
        <f t="shared" si="626"/>
        <v>0</v>
      </c>
      <c r="CN168" s="145">
        <f t="shared" si="626"/>
        <v>-115779</v>
      </c>
      <c r="CO168" s="145">
        <f t="shared" si="626"/>
        <v>0</v>
      </c>
    </row>
    <row r="169" spans="1:93" s="92" customFormat="1" x14ac:dyDescent="0.25">
      <c r="A169" s="180" t="str">
        <f>Language!AA167</f>
        <v>D&amp;A</v>
      </c>
      <c r="B169" s="108">
        <v>-34599</v>
      </c>
      <c r="C169" s="108">
        <v>-34803</v>
      </c>
      <c r="D169" s="108">
        <v>-20423</v>
      </c>
      <c r="E169" s="106">
        <v>3417</v>
      </c>
      <c r="F169" s="108">
        <v>-25258</v>
      </c>
      <c r="G169" s="108">
        <v>-28177</v>
      </c>
      <c r="H169" s="108">
        <v>-28629</v>
      </c>
      <c r="I169" s="106">
        <v>-23543</v>
      </c>
      <c r="J169" s="108">
        <v>-33236</v>
      </c>
      <c r="K169" s="108">
        <v>-31769.211765301996</v>
      </c>
      <c r="L169" s="108">
        <v>-34919.842199999999</v>
      </c>
      <c r="M169" s="106">
        <v>-40571.736600000004</v>
      </c>
      <c r="N169" s="108">
        <v>-41865</v>
      </c>
      <c r="O169" s="108">
        <v>-49727</v>
      </c>
      <c r="P169" s="108">
        <v>-47579</v>
      </c>
      <c r="Q169" s="108">
        <v>-59458</v>
      </c>
      <c r="R169" s="107">
        <v>-63853</v>
      </c>
      <c r="S169" s="108">
        <v>-66081</v>
      </c>
      <c r="T169" s="108">
        <f t="shared" ref="T169:T170" si="627">W169-S169-R169</f>
        <v>-69133</v>
      </c>
      <c r="U169" s="108">
        <f>X169-W169</f>
        <v>-63364</v>
      </c>
      <c r="V169" s="108">
        <f>R169+S169</f>
        <v>-129934</v>
      </c>
      <c r="W169" s="108">
        <v>-199067</v>
      </c>
      <c r="X169" s="108">
        <v>-262431</v>
      </c>
      <c r="Y169" s="107">
        <v>-71779</v>
      </c>
      <c r="Z169" s="108">
        <f t="shared" ref="Z169:Z170" si="628">AC169-Y169</f>
        <v>-67062</v>
      </c>
      <c r="AA169" s="108">
        <f t="shared" ref="AA169:AA170" si="629">AD169-Z169-Y169</f>
        <v>-76565</v>
      </c>
      <c r="AB169" s="108">
        <f>AE169-AD169</f>
        <v>-73933</v>
      </c>
      <c r="AC169" s="108">
        <v>-138841</v>
      </c>
      <c r="AD169" s="108">
        <v>-215406</v>
      </c>
      <c r="AE169" s="108">
        <v>-289339</v>
      </c>
      <c r="AF169" s="107">
        <v>-94225</v>
      </c>
      <c r="AG169" s="108">
        <v>-109519</v>
      </c>
      <c r="AH169" s="108">
        <v>-30659</v>
      </c>
      <c r="AI169" s="108">
        <v>190526</v>
      </c>
      <c r="AJ169" s="108">
        <v>-203744</v>
      </c>
      <c r="AK169" s="108">
        <v>-234403</v>
      </c>
      <c r="AL169" s="108">
        <v>-43877</v>
      </c>
      <c r="AM169" s="107">
        <v>-45626</v>
      </c>
      <c r="AN169" s="108">
        <f t="shared" si="605"/>
        <v>-45269</v>
      </c>
      <c r="AO169" s="108"/>
      <c r="AP169" s="108">
        <f t="shared" si="606"/>
        <v>-67043</v>
      </c>
      <c r="AQ169" s="108">
        <v>-90895</v>
      </c>
      <c r="AR169" s="108">
        <v>-143346</v>
      </c>
      <c r="AS169" s="108">
        <v>-210389</v>
      </c>
      <c r="AT169" s="107">
        <v>-69732</v>
      </c>
      <c r="AU169" s="107">
        <f t="shared" ref="AU169:AU173" si="630">AX169-AT169</f>
        <v>-74080</v>
      </c>
      <c r="AV169" s="107">
        <f>AY169-AX169</f>
        <v>-75592</v>
      </c>
      <c r="AW169" s="107">
        <f t="shared" si="610"/>
        <v>-100703</v>
      </c>
      <c r="AX169" s="107">
        <v>-143812</v>
      </c>
      <c r="AY169" s="107">
        <v>-219404</v>
      </c>
      <c r="AZ169" s="107">
        <v>-320107</v>
      </c>
      <c r="BA169" s="107">
        <v>-80247</v>
      </c>
      <c r="BB169" s="107">
        <f t="shared" ref="BB169:BB176" si="631">BE169-BA169</f>
        <v>-69580</v>
      </c>
      <c r="BC169" s="107">
        <f t="shared" ref="BC169:BC176" si="632">BF169-BE169</f>
        <v>-95233</v>
      </c>
      <c r="BD169" s="107">
        <f>BG169-BF169</f>
        <v>-110903</v>
      </c>
      <c r="BE169" s="107">
        <v>-149827</v>
      </c>
      <c r="BF169" s="107">
        <v>-245060</v>
      </c>
      <c r="BG169" s="107">
        <v>-355963</v>
      </c>
      <c r="BH169" s="107">
        <v>-106848</v>
      </c>
      <c r="BI169" s="107">
        <f>BL169-BH169</f>
        <v>-116974</v>
      </c>
      <c r="BJ169" s="107">
        <f>BM169-BL169</f>
        <v>-56793</v>
      </c>
      <c r="BK169" s="107">
        <f>BN169-BM169</f>
        <v>-90379</v>
      </c>
      <c r="BL169" s="107">
        <v>-223822</v>
      </c>
      <c r="BM169" s="107">
        <v>-280615</v>
      </c>
      <c r="BN169" s="107">
        <v>-370994</v>
      </c>
      <c r="BO169" s="107">
        <v>-44104</v>
      </c>
      <c r="BP169" s="107">
        <f>BS169-BO169</f>
        <v>-41690</v>
      </c>
      <c r="BQ169" s="107">
        <f>BT169-BS169</f>
        <v>-41979</v>
      </c>
      <c r="BR169" s="107">
        <f>BU169-BT169</f>
        <v>-26777</v>
      </c>
      <c r="BS169" s="107">
        <v>-85794</v>
      </c>
      <c r="BT169" s="107">
        <v>-127773</v>
      </c>
      <c r="BU169" s="107">
        <v>-154550</v>
      </c>
      <c r="BV169" s="107">
        <v>-36956</v>
      </c>
      <c r="BW169" s="107">
        <f>BZ169-BV169</f>
        <v>-36840</v>
      </c>
      <c r="BX169" s="107">
        <f>CA169-BZ169</f>
        <v>-41111</v>
      </c>
      <c r="BY169" s="107">
        <f>CB169-CA169</f>
        <v>-45636</v>
      </c>
      <c r="BZ169" s="107">
        <v>-73796</v>
      </c>
      <c r="CA169" s="107">
        <v>-114907</v>
      </c>
      <c r="CB169" s="107">
        <v>-160543</v>
      </c>
      <c r="CC169" s="107">
        <v>-39335</v>
      </c>
      <c r="CD169" s="107">
        <f>CG169-CC169</f>
        <v>-42486</v>
      </c>
      <c r="CE169" s="107">
        <f>CH169-CG169</f>
        <v>-608288</v>
      </c>
      <c r="CF169" s="107">
        <f>CI169-CH169</f>
        <v>-710686</v>
      </c>
      <c r="CG169" s="107">
        <v>-81821</v>
      </c>
      <c r="CH169" s="107">
        <v>-690109</v>
      </c>
      <c r="CI169" s="107">
        <v>-1400795</v>
      </c>
      <c r="CJ169" s="107">
        <v>-1503139</v>
      </c>
      <c r="CK169" s="107">
        <f>CN169-CJ169</f>
        <v>1387873</v>
      </c>
      <c r="CL169" s="107"/>
      <c r="CM169" s="107"/>
      <c r="CN169" s="107">
        <v>-115266</v>
      </c>
      <c r="CO169" s="107"/>
    </row>
    <row r="170" spans="1:93" s="92" customFormat="1" x14ac:dyDescent="0.25">
      <c r="A170" s="180" t="str">
        <f>Language!AA168</f>
        <v>Reavaliação</v>
      </c>
      <c r="B170" s="108">
        <v>-8115</v>
      </c>
      <c r="C170" s="108">
        <v>-10261</v>
      </c>
      <c r="D170" s="108">
        <v>-22377</v>
      </c>
      <c r="E170" s="106">
        <v>-50385</v>
      </c>
      <c r="F170" s="108">
        <v>-25285</v>
      </c>
      <c r="G170" s="108">
        <v>-27098</v>
      </c>
      <c r="H170" s="108">
        <v>-20736</v>
      </c>
      <c r="I170" s="106">
        <v>-31239</v>
      </c>
      <c r="J170" s="108">
        <v>-25087</v>
      </c>
      <c r="K170" s="108">
        <v>-25367</v>
      </c>
      <c r="L170" s="108">
        <v>-25185</v>
      </c>
      <c r="M170" s="106">
        <v>-24603</v>
      </c>
      <c r="N170" s="108">
        <v>-26514</v>
      </c>
      <c r="O170" s="108">
        <v>-21261</v>
      </c>
      <c r="P170" s="108">
        <v>-22551</v>
      </c>
      <c r="Q170" s="108">
        <v>-16632</v>
      </c>
      <c r="R170" s="107">
        <v>-22715</v>
      </c>
      <c r="S170" s="108">
        <v>-21040</v>
      </c>
      <c r="T170" s="108">
        <f t="shared" si="627"/>
        <v>-21736</v>
      </c>
      <c r="U170" s="108">
        <f t="shared" ref="U170" si="633">X170-W170</f>
        <v>-18665</v>
      </c>
      <c r="V170" s="108">
        <f>R170+S170</f>
        <v>-43755</v>
      </c>
      <c r="W170" s="108">
        <v>-65491</v>
      </c>
      <c r="X170" s="108">
        <v>-84156</v>
      </c>
      <c r="Y170" s="107">
        <v>-20183</v>
      </c>
      <c r="Z170" s="108">
        <f t="shared" si="628"/>
        <v>-18937</v>
      </c>
      <c r="AA170" s="108">
        <f t="shared" si="629"/>
        <v>-19224</v>
      </c>
      <c r="AB170" s="108">
        <f t="shared" ref="AB170" si="634">AE170-AD170</f>
        <v>-19374</v>
      </c>
      <c r="AC170" s="108">
        <v>-39120</v>
      </c>
      <c r="AD170" s="108">
        <v>-58344</v>
      </c>
      <c r="AE170" s="108">
        <v>-77718</v>
      </c>
      <c r="AF170" s="107">
        <v>-24631</v>
      </c>
      <c r="AG170" s="108">
        <v>-17069</v>
      </c>
      <c r="AH170" s="108">
        <v>-16155</v>
      </c>
      <c r="AI170" s="108">
        <v>-7116</v>
      </c>
      <c r="AJ170" s="108">
        <v>-41700</v>
      </c>
      <c r="AK170" s="108">
        <v>-57855</v>
      </c>
      <c r="AL170" s="108">
        <v>-64971</v>
      </c>
      <c r="AM170" s="107">
        <v>-6976</v>
      </c>
      <c r="AN170" s="108">
        <f t="shared" si="605"/>
        <v>-6944</v>
      </c>
      <c r="AO170" s="108"/>
      <c r="AP170" s="108">
        <f t="shared" si="606"/>
        <v>-8332</v>
      </c>
      <c r="AQ170" s="108">
        <v>-13920</v>
      </c>
      <c r="AR170" s="108">
        <v>-21945</v>
      </c>
      <c r="AS170" s="108">
        <v>-30277</v>
      </c>
      <c r="AT170" s="107">
        <v>-8014</v>
      </c>
      <c r="AU170" s="107">
        <f t="shared" si="630"/>
        <v>-8471</v>
      </c>
      <c r="AV170" s="107">
        <f>AY170-AX170</f>
        <v>-8370</v>
      </c>
      <c r="AW170" s="107">
        <f t="shared" si="610"/>
        <v>-9049</v>
      </c>
      <c r="AX170" s="107">
        <v>-16485</v>
      </c>
      <c r="AY170" s="107">
        <v>-24855</v>
      </c>
      <c r="AZ170" s="107">
        <v>-33904</v>
      </c>
      <c r="BA170" s="107">
        <v>-5116</v>
      </c>
      <c r="BB170" s="107">
        <f t="shared" si="631"/>
        <v>-3912</v>
      </c>
      <c r="BC170" s="107">
        <f t="shared" si="632"/>
        <v>-5782</v>
      </c>
      <c r="BD170" s="107">
        <f>BG170-BF170</f>
        <v>-6558</v>
      </c>
      <c r="BE170" s="111">
        <v>-9028</v>
      </c>
      <c r="BF170" s="111">
        <v>-14810</v>
      </c>
      <c r="BG170" s="111">
        <v>-21368</v>
      </c>
      <c r="BH170" s="111">
        <v>-4710</v>
      </c>
      <c r="BI170" s="107">
        <f>BL170-BH170</f>
        <v>-245</v>
      </c>
      <c r="BJ170" s="107">
        <f>BM170-BL170</f>
        <v>-246</v>
      </c>
      <c r="BK170" s="107">
        <f>BN170-BM170</f>
        <v>-554</v>
      </c>
      <c r="BL170" s="111">
        <v>-4955</v>
      </c>
      <c r="BM170" s="111">
        <v>-5201</v>
      </c>
      <c r="BN170" s="111">
        <v>-5755</v>
      </c>
      <c r="BO170" s="111">
        <v>-515</v>
      </c>
      <c r="BP170" s="107">
        <f>BS170-BO170</f>
        <v>9</v>
      </c>
      <c r="BQ170" s="107">
        <f>BT170-BS170</f>
        <v>-3266</v>
      </c>
      <c r="BR170" s="107">
        <f>BU170-BT170</f>
        <v>313</v>
      </c>
      <c r="BS170" s="111">
        <v>-506</v>
      </c>
      <c r="BT170" s="111">
        <v>-3772</v>
      </c>
      <c r="BU170" s="111">
        <v>-3459</v>
      </c>
      <c r="BV170" s="111">
        <v>-262</v>
      </c>
      <c r="BW170" s="107">
        <f>BZ170-BV170</f>
        <v>-262</v>
      </c>
      <c r="BX170" s="107">
        <f>CA170-BZ170</f>
        <v>-262</v>
      </c>
      <c r="BY170" s="107">
        <f>CB170-CA170</f>
        <v>-399</v>
      </c>
      <c r="BZ170" s="111">
        <v>-524</v>
      </c>
      <c r="CA170" s="111">
        <v>-786</v>
      </c>
      <c r="CB170" s="111">
        <v>-1185</v>
      </c>
      <c r="CC170" s="111">
        <v>-247</v>
      </c>
      <c r="CD170" s="107">
        <f>CG170-CC170</f>
        <v>-315</v>
      </c>
      <c r="CE170" s="107">
        <f>CH170-CG170</f>
        <v>561461</v>
      </c>
      <c r="CF170" s="107">
        <f>CI170-CH170</f>
        <v>672651</v>
      </c>
      <c r="CG170" s="111">
        <v>-562</v>
      </c>
      <c r="CH170" s="111">
        <v>560899</v>
      </c>
      <c r="CI170" s="111">
        <v>1233550</v>
      </c>
      <c r="CJ170" s="111">
        <v>1459986</v>
      </c>
      <c r="CK170" s="107">
        <f>CN170-CJ170</f>
        <v>-1460499</v>
      </c>
      <c r="CL170" s="111"/>
      <c r="CM170" s="111"/>
      <c r="CN170" s="111">
        <v>-513</v>
      </c>
      <c r="CO170" s="111"/>
    </row>
    <row r="171" spans="1:93" s="92" customFormat="1" ht="13" x14ac:dyDescent="0.3">
      <c r="A171" s="142" t="str">
        <f>Language!AA169</f>
        <v>Resultado Financeiro</v>
      </c>
      <c r="B171" s="143">
        <f>SUM(B172,B173,B174)</f>
        <v>-33193</v>
      </c>
      <c r="C171" s="143">
        <f t="shared" ref="C171:K171" si="635">SUM(C172,C173,C174)</f>
        <v>-30662</v>
      </c>
      <c r="D171" s="143">
        <f t="shared" si="635"/>
        <v>-52472</v>
      </c>
      <c r="E171" s="144">
        <f t="shared" si="635"/>
        <v>-39524</v>
      </c>
      <c r="F171" s="143">
        <f t="shared" si="635"/>
        <v>-34144</v>
      </c>
      <c r="G171" s="143">
        <f t="shared" si="635"/>
        <v>-46036</v>
      </c>
      <c r="H171" s="143">
        <f t="shared" si="635"/>
        <v>-42368</v>
      </c>
      <c r="I171" s="144">
        <f t="shared" si="635"/>
        <v>-58273</v>
      </c>
      <c r="J171" s="143">
        <f t="shared" si="635"/>
        <v>-53063.500490745006</v>
      </c>
      <c r="K171" s="143">
        <f t="shared" si="635"/>
        <v>-54214.728109254982</v>
      </c>
      <c r="L171" s="143">
        <f t="shared" ref="L171:P171" si="636">SUM(L172,L173,L174)</f>
        <v>-37765.00440000002</v>
      </c>
      <c r="M171" s="144">
        <f t="shared" si="636"/>
        <v>-77708.767000000007</v>
      </c>
      <c r="N171" s="143">
        <f>SUM(N172,N173,N174)</f>
        <v>-74893</v>
      </c>
      <c r="O171" s="143">
        <f t="shared" si="636"/>
        <v>-75979</v>
      </c>
      <c r="P171" s="143">
        <f t="shared" si="636"/>
        <v>-87920</v>
      </c>
      <c r="Q171" s="143">
        <f t="shared" ref="Q171:Z171" si="637">SUM(Q172,Q173,Q174)</f>
        <v>-54276</v>
      </c>
      <c r="R171" s="145">
        <f t="shared" si="637"/>
        <v>-134391</v>
      </c>
      <c r="S171" s="143">
        <f t="shared" si="637"/>
        <v>-150695</v>
      </c>
      <c r="T171" s="143">
        <f t="shared" si="637"/>
        <v>-139554</v>
      </c>
      <c r="U171" s="143">
        <f t="shared" si="637"/>
        <v>-234682</v>
      </c>
      <c r="V171" s="143">
        <f t="shared" si="637"/>
        <v>-285086</v>
      </c>
      <c r="W171" s="143">
        <f t="shared" si="637"/>
        <v>-424640</v>
      </c>
      <c r="X171" s="143">
        <f t="shared" si="637"/>
        <v>-659322</v>
      </c>
      <c r="Y171" s="145">
        <f t="shared" si="637"/>
        <v>-138125</v>
      </c>
      <c r="Z171" s="143">
        <f t="shared" si="637"/>
        <v>-161631</v>
      </c>
      <c r="AA171" s="143">
        <f t="shared" ref="AA171:AB171" si="638">SUM(AA172,AA173,AA174)</f>
        <v>-165587</v>
      </c>
      <c r="AB171" s="143">
        <f t="shared" si="638"/>
        <v>-216046</v>
      </c>
      <c r="AC171" s="143">
        <f t="shared" ref="AC171:AD171" si="639">SUM(AC172,AC173,AC174)</f>
        <v>-299756</v>
      </c>
      <c r="AD171" s="143">
        <f t="shared" si="639"/>
        <v>-465343</v>
      </c>
      <c r="AE171" s="143">
        <f t="shared" ref="AE171" si="640">SUM(AE172,AE173,AE174)</f>
        <v>-681389</v>
      </c>
      <c r="AF171" s="145">
        <v>-217683</v>
      </c>
      <c r="AG171" s="143">
        <v>-174676</v>
      </c>
      <c r="AH171" s="143">
        <v>-37509</v>
      </c>
      <c r="AI171" s="143">
        <v>-253504</v>
      </c>
      <c r="AJ171" s="143">
        <v>-392359</v>
      </c>
      <c r="AK171" s="143">
        <v>-429868</v>
      </c>
      <c r="AL171" s="143">
        <v>-683372</v>
      </c>
      <c r="AM171" s="145">
        <f t="shared" ref="AM171:AQ171" si="641">SUM(AM172,AM173,AM174)</f>
        <v>-61883</v>
      </c>
      <c r="AN171" s="143">
        <f t="shared" si="605"/>
        <v>-73980</v>
      </c>
      <c r="AO171" s="143"/>
      <c r="AP171" s="143">
        <f t="shared" si="606"/>
        <v>-119548</v>
      </c>
      <c r="AQ171" s="143">
        <f t="shared" si="641"/>
        <v>-135863</v>
      </c>
      <c r="AR171" s="143">
        <f t="shared" ref="AR171:AS171" si="642">SUM(AR172,AR173,AR174)</f>
        <v>-211115</v>
      </c>
      <c r="AS171" s="143">
        <f t="shared" si="642"/>
        <v>-330663</v>
      </c>
      <c r="AT171" s="145">
        <f t="shared" ref="AT171:AU171" si="643">SUM(AT172,AT173,AT174)</f>
        <v>-75909</v>
      </c>
      <c r="AU171" s="145">
        <f t="shared" si="643"/>
        <v>-83996</v>
      </c>
      <c r="AV171" s="145">
        <f t="shared" ref="AV171:AZ171" si="644">SUM(AV172,AV173,AV174)</f>
        <v>-85959</v>
      </c>
      <c r="AW171" s="145">
        <f t="shared" si="610"/>
        <v>-57439</v>
      </c>
      <c r="AX171" s="145">
        <f t="shared" ref="AX171" si="645">SUM(AX172,AX173,AX174)</f>
        <v>-159905</v>
      </c>
      <c r="AY171" s="145">
        <f t="shared" si="644"/>
        <v>-245864</v>
      </c>
      <c r="AZ171" s="145">
        <f t="shared" si="644"/>
        <v>-303303</v>
      </c>
      <c r="BA171" s="145">
        <f t="shared" ref="BA171:BB171" si="646">SUM(BA172,BA173,BA174)</f>
        <v>-34919</v>
      </c>
      <c r="BB171" s="145">
        <f t="shared" si="646"/>
        <v>-7492</v>
      </c>
      <c r="BC171" s="145">
        <f t="shared" ref="BC171:BD171" si="647">SUM(BC172,BC173,BC174)</f>
        <v>-43375</v>
      </c>
      <c r="BD171" s="145">
        <f t="shared" si="647"/>
        <v>67629</v>
      </c>
      <c r="BE171" s="145">
        <f t="shared" ref="BE171:BF171" si="648">SUM(BE172,BE173,BE174)</f>
        <v>-42411</v>
      </c>
      <c r="BF171" s="145">
        <f t="shared" si="648"/>
        <v>-85786</v>
      </c>
      <c r="BG171" s="145">
        <f t="shared" ref="BG171:BH171" si="649">SUM(BG172,BG173,BG174)</f>
        <v>-18157</v>
      </c>
      <c r="BH171" s="145">
        <f t="shared" si="649"/>
        <v>-46595</v>
      </c>
      <c r="BI171" s="145">
        <f t="shared" ref="BI171:BL171" si="650">SUM(BI172,BI173,BI174)</f>
        <v>-8192</v>
      </c>
      <c r="BJ171" s="145">
        <f t="shared" si="650"/>
        <v>33855</v>
      </c>
      <c r="BK171" s="145">
        <f t="shared" si="650"/>
        <v>-53477</v>
      </c>
      <c r="BL171" s="145">
        <f t="shared" si="650"/>
        <v>-54787</v>
      </c>
      <c r="BM171" s="145">
        <f t="shared" ref="BM171:BN171" si="651">SUM(BM172,BM173,BM174)</f>
        <v>-20932</v>
      </c>
      <c r="BN171" s="145">
        <f t="shared" si="651"/>
        <v>-74409</v>
      </c>
      <c r="BO171" s="145">
        <f t="shared" ref="BO171:BP171" si="652">SUM(BO172,BO173,BO174)</f>
        <v>-42913</v>
      </c>
      <c r="BP171" s="145">
        <f t="shared" si="652"/>
        <v>-75096</v>
      </c>
      <c r="BQ171" s="145">
        <f t="shared" ref="BQ171:BS171" si="653">SUM(BQ172,BQ173,BQ174)</f>
        <v>-13535</v>
      </c>
      <c r="BR171" s="145">
        <f t="shared" si="653"/>
        <v>-13119</v>
      </c>
      <c r="BS171" s="145">
        <f t="shared" si="653"/>
        <v>-118009</v>
      </c>
      <c r="BT171" s="145">
        <f t="shared" ref="BT171:BU171" si="654">SUM(BT172,BT173,BT174)</f>
        <v>-131544</v>
      </c>
      <c r="BU171" s="145">
        <f t="shared" si="654"/>
        <v>-144663</v>
      </c>
      <c r="BV171" s="145">
        <f t="shared" ref="BV171" si="655">SUM(BV172,BV173,BV174)</f>
        <v>-52054</v>
      </c>
      <c r="BW171" s="145">
        <f t="shared" ref="BW171:CB171" si="656">SUM(BW172,BW173,BW174)</f>
        <v>-45175</v>
      </c>
      <c r="BX171" s="145">
        <f t="shared" si="656"/>
        <v>-29366</v>
      </c>
      <c r="BY171" s="145">
        <f t="shared" si="656"/>
        <v>-33409</v>
      </c>
      <c r="BZ171" s="145">
        <f t="shared" si="656"/>
        <v>-97229</v>
      </c>
      <c r="CA171" s="145">
        <f t="shared" si="656"/>
        <v>-126595</v>
      </c>
      <c r="CB171" s="145">
        <f t="shared" si="656"/>
        <v>-160004</v>
      </c>
      <c r="CC171" s="145">
        <f t="shared" ref="CC171:CD171" si="657">SUM(CC172,CC173,CC174)</f>
        <v>-38354</v>
      </c>
      <c r="CD171" s="145">
        <f t="shared" si="657"/>
        <v>-33647</v>
      </c>
      <c r="CE171" s="145">
        <f t="shared" ref="CE171:CG171" si="658">SUM(CE172,CE173,CE174)</f>
        <v>-71019</v>
      </c>
      <c r="CF171" s="145">
        <f t="shared" si="658"/>
        <v>-49165</v>
      </c>
      <c r="CG171" s="145">
        <f t="shared" si="658"/>
        <v>-72001</v>
      </c>
      <c r="CH171" s="145">
        <f t="shared" ref="CH171:CI171" si="659">SUM(CH172,CH173,CH174)</f>
        <v>-143020</v>
      </c>
      <c r="CI171" s="145">
        <f t="shared" si="659"/>
        <v>-192185</v>
      </c>
      <c r="CJ171" s="145">
        <v>-43784</v>
      </c>
      <c r="CK171" s="145">
        <f t="shared" ref="CK171:CO171" si="660">SUM(CK172,CK173,CK174)</f>
        <v>-47187</v>
      </c>
      <c r="CL171" s="145">
        <f t="shared" si="660"/>
        <v>0</v>
      </c>
      <c r="CM171" s="145">
        <f t="shared" si="660"/>
        <v>0</v>
      </c>
      <c r="CN171" s="145">
        <f t="shared" si="660"/>
        <v>-90971</v>
      </c>
      <c r="CO171" s="145">
        <f t="shared" si="660"/>
        <v>0</v>
      </c>
    </row>
    <row r="172" spans="1:93" s="92" customFormat="1" x14ac:dyDescent="0.25">
      <c r="A172" s="121" t="str">
        <f>Language!AA170</f>
        <v>Receitas</v>
      </c>
      <c r="B172" s="108">
        <v>3309</v>
      </c>
      <c r="C172" s="108">
        <v>3556</v>
      </c>
      <c r="D172" s="108">
        <v>8083</v>
      </c>
      <c r="E172" s="106">
        <v>1382</v>
      </c>
      <c r="F172" s="108">
        <v>4672</v>
      </c>
      <c r="G172" s="108">
        <v>12135</v>
      </c>
      <c r="H172" s="108">
        <v>6321</v>
      </c>
      <c r="I172" s="106">
        <v>8607</v>
      </c>
      <c r="J172" s="108">
        <v>9125.8444963660004</v>
      </c>
      <c r="K172" s="108">
        <v>4797.0370036339991</v>
      </c>
      <c r="L172" s="108">
        <v>7784.5285000000003</v>
      </c>
      <c r="M172" s="106">
        <v>11693.59</v>
      </c>
      <c r="N172" s="108">
        <v>7184</v>
      </c>
      <c r="O172" s="108">
        <v>10629</v>
      </c>
      <c r="P172" s="108">
        <v>8862</v>
      </c>
      <c r="Q172" s="108">
        <v>2684</v>
      </c>
      <c r="R172" s="107">
        <v>11090</v>
      </c>
      <c r="S172" s="108">
        <v>12784</v>
      </c>
      <c r="T172" s="108">
        <f t="shared" ref="T172:T176" si="661">W172-S172-R172</f>
        <v>5460</v>
      </c>
      <c r="U172" s="108">
        <f t="shared" ref="U172:U176" si="662">X172-W172</f>
        <v>24500</v>
      </c>
      <c r="V172" s="108">
        <f t="shared" ref="V172:V176" si="663">R172+S172</f>
        <v>23874</v>
      </c>
      <c r="W172" s="108">
        <v>29334</v>
      </c>
      <c r="X172" s="108">
        <v>53834</v>
      </c>
      <c r="Y172" s="107">
        <v>15793</v>
      </c>
      <c r="Z172" s="108">
        <f t="shared" ref="Z172:Z176" si="664">AC172-Y172</f>
        <v>10598</v>
      </c>
      <c r="AA172" s="108">
        <f t="shared" ref="AA172:AA176" si="665">AD172-Z172-Y172</f>
        <v>5652</v>
      </c>
      <c r="AB172" s="108">
        <f t="shared" ref="AB172:AB176" si="666">AE172-AD172</f>
        <v>11029</v>
      </c>
      <c r="AC172" s="108">
        <v>26391</v>
      </c>
      <c r="AD172" s="108">
        <v>32043</v>
      </c>
      <c r="AE172" s="108">
        <v>43072</v>
      </c>
      <c r="AF172" s="107">
        <v>5668</v>
      </c>
      <c r="AG172" s="108">
        <v>13743</v>
      </c>
      <c r="AH172" s="108">
        <v>1855</v>
      </c>
      <c r="AI172" s="108">
        <v>24578</v>
      </c>
      <c r="AJ172" s="108">
        <v>19411</v>
      </c>
      <c r="AK172" s="108">
        <v>21266</v>
      </c>
      <c r="AL172" s="108">
        <v>45844</v>
      </c>
      <c r="AM172" s="107">
        <v>16758</v>
      </c>
      <c r="AN172" s="108">
        <f t="shared" si="605"/>
        <v>10152</v>
      </c>
      <c r="AO172" s="108"/>
      <c r="AP172" s="108">
        <f t="shared" si="606"/>
        <v>2636</v>
      </c>
      <c r="AQ172" s="108">
        <v>26910</v>
      </c>
      <c r="AR172" s="108">
        <v>34681</v>
      </c>
      <c r="AS172" s="108">
        <v>37317</v>
      </c>
      <c r="AT172" s="107">
        <v>3261</v>
      </c>
      <c r="AU172" s="107">
        <f t="shared" si="630"/>
        <v>6415</v>
      </c>
      <c r="AV172" s="107">
        <f>AY172-AX172</f>
        <v>4245</v>
      </c>
      <c r="AW172" s="107">
        <f t="shared" si="610"/>
        <v>2916</v>
      </c>
      <c r="AX172" s="107">
        <v>9676</v>
      </c>
      <c r="AY172" s="107">
        <v>13921</v>
      </c>
      <c r="AZ172" s="107">
        <v>16837</v>
      </c>
      <c r="BA172" s="107">
        <v>15160</v>
      </c>
      <c r="BB172" s="107">
        <f t="shared" si="631"/>
        <v>32617</v>
      </c>
      <c r="BC172" s="107">
        <f t="shared" si="632"/>
        <v>1448</v>
      </c>
      <c r="BD172" s="107">
        <f>BG172-BF172</f>
        <v>100352</v>
      </c>
      <c r="BE172" s="107">
        <v>47777</v>
      </c>
      <c r="BF172" s="107">
        <v>49225</v>
      </c>
      <c r="BG172" s="107">
        <v>149577</v>
      </c>
      <c r="BH172" s="107">
        <v>800</v>
      </c>
      <c r="BI172" s="107">
        <f>BL172-BH172</f>
        <v>49682</v>
      </c>
      <c r="BJ172" s="107">
        <f>BM172-BL172</f>
        <v>83356</v>
      </c>
      <c r="BK172" s="107">
        <f>BN172-BM172</f>
        <v>-11779</v>
      </c>
      <c r="BL172" s="107">
        <v>50482</v>
      </c>
      <c r="BM172" s="107">
        <v>133838</v>
      </c>
      <c r="BN172" s="107">
        <v>122059</v>
      </c>
      <c r="BO172" s="107">
        <v>2784</v>
      </c>
      <c r="BP172" s="107">
        <f>BS172-BO172</f>
        <v>6312</v>
      </c>
      <c r="BQ172" s="107">
        <f>BT172-BS172</f>
        <v>1778</v>
      </c>
      <c r="BR172" s="107">
        <f>BU172-BT172</f>
        <v>5282</v>
      </c>
      <c r="BS172" s="107">
        <v>9096</v>
      </c>
      <c r="BT172" s="107">
        <v>10874</v>
      </c>
      <c r="BU172" s="107">
        <v>16156</v>
      </c>
      <c r="BV172" s="107">
        <v>3588</v>
      </c>
      <c r="BW172" s="107">
        <f>BZ172-BV172</f>
        <v>867</v>
      </c>
      <c r="BX172" s="107">
        <f>CA172-BZ172</f>
        <v>2749</v>
      </c>
      <c r="BY172" s="107">
        <f>CB172-CA172</f>
        <v>2102</v>
      </c>
      <c r="BZ172" s="107">
        <v>4455</v>
      </c>
      <c r="CA172" s="107">
        <v>7204</v>
      </c>
      <c r="CB172" s="107">
        <v>9306</v>
      </c>
      <c r="CC172" s="107">
        <v>5421</v>
      </c>
      <c r="CD172" s="107">
        <f>CG172-CC172</f>
        <v>3439</v>
      </c>
      <c r="CE172" s="107">
        <f>CH172-CG172</f>
        <v>6033</v>
      </c>
      <c r="CF172" s="107">
        <f>CI172-CH172</f>
        <v>65802</v>
      </c>
      <c r="CG172" s="107">
        <v>8860</v>
      </c>
      <c r="CH172" s="107">
        <v>14893</v>
      </c>
      <c r="CI172" s="107">
        <v>80695</v>
      </c>
      <c r="CJ172" s="107">
        <v>3302</v>
      </c>
      <c r="CK172" s="107">
        <f>CN172-CJ172</f>
        <v>4486</v>
      </c>
      <c r="CL172" s="107"/>
      <c r="CM172" s="107"/>
      <c r="CN172" s="107">
        <v>7788</v>
      </c>
      <c r="CO172" s="107"/>
    </row>
    <row r="173" spans="1:93" x14ac:dyDescent="0.25">
      <c r="A173" s="121" t="str">
        <f>Language!AA171</f>
        <v>Despesas</v>
      </c>
      <c r="B173" s="108">
        <v>-39395</v>
      </c>
      <c r="C173" s="108">
        <v>-39277</v>
      </c>
      <c r="D173" s="108">
        <v>-37338</v>
      </c>
      <c r="E173" s="106">
        <v>-40818</v>
      </c>
      <c r="F173" s="108">
        <v>-42846</v>
      </c>
      <c r="G173" s="108">
        <v>-43926</v>
      </c>
      <c r="H173" s="108">
        <v>-47315</v>
      </c>
      <c r="I173" s="106">
        <v>-66537</v>
      </c>
      <c r="J173" s="108">
        <v>-62770.344987111006</v>
      </c>
      <c r="K173" s="108">
        <v>-57509.765112888985</v>
      </c>
      <c r="L173" s="108">
        <v>-45100.53290000002</v>
      </c>
      <c r="M173" s="106">
        <v>-88952.357000000004</v>
      </c>
      <c r="N173" s="108">
        <v>-82329</v>
      </c>
      <c r="O173" s="108">
        <v>-86725</v>
      </c>
      <c r="P173" s="108">
        <v>-96825</v>
      </c>
      <c r="Q173" s="108">
        <v>-57114</v>
      </c>
      <c r="R173" s="107">
        <v>-144864</v>
      </c>
      <c r="S173" s="108">
        <v>-163350</v>
      </c>
      <c r="T173" s="108">
        <f t="shared" si="661"/>
        <v>-145452</v>
      </c>
      <c r="U173" s="108">
        <f t="shared" si="662"/>
        <v>-259136</v>
      </c>
      <c r="V173" s="108">
        <f t="shared" si="663"/>
        <v>-308214</v>
      </c>
      <c r="W173" s="108">
        <v>-453666</v>
      </c>
      <c r="X173" s="108">
        <v>-712802</v>
      </c>
      <c r="Y173" s="107">
        <v>-154210</v>
      </c>
      <c r="Z173" s="108">
        <f t="shared" si="664"/>
        <v>-172789</v>
      </c>
      <c r="AA173" s="108">
        <f t="shared" si="665"/>
        <v>-171306</v>
      </c>
      <c r="AB173" s="108">
        <f t="shared" si="666"/>
        <v>-226648</v>
      </c>
      <c r="AC173" s="108">
        <v>-326999</v>
      </c>
      <c r="AD173" s="108">
        <v>-498305</v>
      </c>
      <c r="AE173" s="108">
        <v>-724953</v>
      </c>
      <c r="AF173" s="107">
        <v>-223368</v>
      </c>
      <c r="AG173" s="108">
        <v>-188418</v>
      </c>
      <c r="AH173" s="108">
        <v>-39553</v>
      </c>
      <c r="AI173" s="108">
        <v>-253612</v>
      </c>
      <c r="AJ173" s="108">
        <v>-411786</v>
      </c>
      <c r="AK173" s="108">
        <v>-451339</v>
      </c>
      <c r="AL173" s="108">
        <v>-704951</v>
      </c>
      <c r="AM173" s="107">
        <v>-78641</v>
      </c>
      <c r="AN173" s="108">
        <f t="shared" si="605"/>
        <v>-84132</v>
      </c>
      <c r="AO173" s="108"/>
      <c r="AP173" s="108">
        <f t="shared" si="606"/>
        <v>-122184</v>
      </c>
      <c r="AQ173" s="108">
        <v>-162773</v>
      </c>
      <c r="AR173" s="108">
        <v>-245796</v>
      </c>
      <c r="AS173" s="108">
        <v>-367980</v>
      </c>
      <c r="AT173" s="107">
        <v>-79170</v>
      </c>
      <c r="AU173" s="107">
        <f t="shared" si="630"/>
        <v>-90411</v>
      </c>
      <c r="AV173" s="107">
        <f>AY173-AX173</f>
        <v>-90204</v>
      </c>
      <c r="AW173" s="107">
        <f t="shared" si="610"/>
        <v>-60355</v>
      </c>
      <c r="AX173" s="107">
        <v>-169581</v>
      </c>
      <c r="AY173" s="107">
        <v>-259785</v>
      </c>
      <c r="AZ173" s="107">
        <v>-320140</v>
      </c>
      <c r="BA173" s="107">
        <v>-50079</v>
      </c>
      <c r="BB173" s="107">
        <f t="shared" si="631"/>
        <v>-40109</v>
      </c>
      <c r="BC173" s="107">
        <f t="shared" si="632"/>
        <v>-44823</v>
      </c>
      <c r="BD173" s="107">
        <f>BG173-BF173</f>
        <v>-32723</v>
      </c>
      <c r="BE173" s="107">
        <v>-90188</v>
      </c>
      <c r="BF173" s="107">
        <v>-135011</v>
      </c>
      <c r="BG173" s="107">
        <v>-167734</v>
      </c>
      <c r="BH173" s="107">
        <v>-47395</v>
      </c>
      <c r="BI173" s="107">
        <f>BL173-BH173</f>
        <v>-57874</v>
      </c>
      <c r="BJ173" s="107">
        <f>BM173-BL173</f>
        <v>-49501</v>
      </c>
      <c r="BK173" s="107">
        <f>BN173-BM173</f>
        <v>-41698</v>
      </c>
      <c r="BL173" s="107">
        <v>-105269</v>
      </c>
      <c r="BM173" s="107">
        <v>-154770</v>
      </c>
      <c r="BN173" s="107">
        <v>-196468</v>
      </c>
      <c r="BO173" s="107">
        <v>-45697</v>
      </c>
      <c r="BP173" s="107">
        <f>BS173-BO173</f>
        <v>-81408</v>
      </c>
      <c r="BQ173" s="107">
        <f>BT173-BS173</f>
        <v>-15313</v>
      </c>
      <c r="BR173" s="107">
        <f>BU173-BT173</f>
        <v>-18401</v>
      </c>
      <c r="BS173" s="107">
        <v>-127105</v>
      </c>
      <c r="BT173" s="107">
        <v>-142418</v>
      </c>
      <c r="BU173" s="107">
        <v>-160819</v>
      </c>
      <c r="BV173" s="107">
        <v>-55642</v>
      </c>
      <c r="BW173" s="107">
        <f>BZ173-BV173</f>
        <v>-46042</v>
      </c>
      <c r="BX173" s="107">
        <f>CA173-BZ173</f>
        <v>-32115</v>
      </c>
      <c r="BY173" s="107">
        <f>CB173-CA173</f>
        <v>-35511</v>
      </c>
      <c r="BZ173" s="107">
        <v>-101684</v>
      </c>
      <c r="CA173" s="107">
        <v>-133799</v>
      </c>
      <c r="CB173" s="107">
        <v>-169310</v>
      </c>
      <c r="CC173" s="107">
        <v>-43775</v>
      </c>
      <c r="CD173" s="107">
        <f>CG173-CC173</f>
        <v>-37086</v>
      </c>
      <c r="CE173" s="107">
        <f>CH173-CG173</f>
        <v>-77052</v>
      </c>
      <c r="CF173" s="107">
        <f>CI173-CH173</f>
        <v>-114967</v>
      </c>
      <c r="CG173" s="107">
        <v>-80861</v>
      </c>
      <c r="CH173" s="107">
        <v>-157913</v>
      </c>
      <c r="CI173" s="107">
        <v>-272880</v>
      </c>
      <c r="CJ173" s="107">
        <v>-47086</v>
      </c>
      <c r="CK173" s="107">
        <f>CN173-CJ173</f>
        <v>-51673</v>
      </c>
      <c r="CL173" s="107"/>
      <c r="CM173" s="107"/>
      <c r="CN173" s="107">
        <v>-98759</v>
      </c>
      <c r="CO173" s="107"/>
    </row>
    <row r="174" spans="1:93" s="92" customFormat="1" x14ac:dyDescent="0.25">
      <c r="A174" s="121" t="str">
        <f>Language!AA172</f>
        <v>Variação Cambial</v>
      </c>
      <c r="B174" s="108">
        <v>2893</v>
      </c>
      <c r="C174" s="108">
        <v>5059</v>
      </c>
      <c r="D174" s="108">
        <v>-23217</v>
      </c>
      <c r="E174" s="106">
        <v>-88</v>
      </c>
      <c r="F174" s="108">
        <v>4030</v>
      </c>
      <c r="G174" s="108">
        <v>-14245</v>
      </c>
      <c r="H174" s="108">
        <v>-1374</v>
      </c>
      <c r="I174" s="106">
        <v>-343</v>
      </c>
      <c r="J174" s="108">
        <v>581</v>
      </c>
      <c r="K174" s="108">
        <v>-1502</v>
      </c>
      <c r="L174" s="108">
        <v>-449</v>
      </c>
      <c r="M174" s="106">
        <v>-450</v>
      </c>
      <c r="N174" s="108">
        <v>252</v>
      </c>
      <c r="O174" s="108">
        <v>117</v>
      </c>
      <c r="P174" s="108">
        <v>43</v>
      </c>
      <c r="Q174" s="108">
        <v>154</v>
      </c>
      <c r="R174" s="107">
        <v>-617</v>
      </c>
      <c r="S174" s="108">
        <v>-129</v>
      </c>
      <c r="T174" s="108">
        <f t="shared" si="661"/>
        <v>438</v>
      </c>
      <c r="U174" s="108">
        <f t="shared" si="662"/>
        <v>-46</v>
      </c>
      <c r="V174" s="108">
        <f t="shared" si="663"/>
        <v>-746</v>
      </c>
      <c r="W174" s="108">
        <v>-308</v>
      </c>
      <c r="X174" s="108">
        <v>-354</v>
      </c>
      <c r="Y174" s="107">
        <v>292</v>
      </c>
      <c r="Z174" s="108">
        <f t="shared" si="664"/>
        <v>560</v>
      </c>
      <c r="AA174" s="108">
        <f>AD174-Z174-Y174</f>
        <v>67</v>
      </c>
      <c r="AB174" s="108">
        <f t="shared" si="666"/>
        <v>-427</v>
      </c>
      <c r="AC174" s="108">
        <v>852</v>
      </c>
      <c r="AD174" s="108">
        <v>919</v>
      </c>
      <c r="AE174" s="108">
        <v>492</v>
      </c>
      <c r="AF174" s="107">
        <v>17</v>
      </c>
      <c r="AG174" s="108">
        <v>-1</v>
      </c>
      <c r="AH174" s="108">
        <v>189</v>
      </c>
      <c r="AI174" s="108">
        <v>-24470</v>
      </c>
      <c r="AJ174" s="108">
        <v>16</v>
      </c>
      <c r="AK174" s="108">
        <v>205</v>
      </c>
      <c r="AL174" s="256">
        <v>-24265</v>
      </c>
      <c r="AM174" s="108">
        <v>0</v>
      </c>
      <c r="AN174" s="108">
        <f t="shared" si="605"/>
        <v>0</v>
      </c>
      <c r="AO174" s="108"/>
      <c r="AP174" s="108">
        <f t="shared" si="606"/>
        <v>0</v>
      </c>
      <c r="AQ174" s="108">
        <v>0</v>
      </c>
      <c r="AR174" s="108"/>
      <c r="AS174" s="256"/>
      <c r="AT174" s="108"/>
      <c r="AU174" s="108"/>
      <c r="AV174" s="108"/>
      <c r="AW174" s="108">
        <f t="shared" si="610"/>
        <v>0</v>
      </c>
      <c r="AX174" s="108"/>
      <c r="AY174" s="108"/>
      <c r="AZ174" s="108">
        <v>0</v>
      </c>
      <c r="BA174" s="108">
        <v>0</v>
      </c>
      <c r="BB174" s="107">
        <f t="shared" si="631"/>
        <v>0</v>
      </c>
      <c r="BC174" s="107">
        <f t="shared" si="632"/>
        <v>0</v>
      </c>
      <c r="BD174" s="107">
        <f>BG174-BF174</f>
        <v>0</v>
      </c>
      <c r="BE174" s="108">
        <v>0</v>
      </c>
      <c r="BF174" s="108">
        <v>0</v>
      </c>
      <c r="BG174" s="108"/>
      <c r="BH174" s="108"/>
      <c r="BI174" s="108"/>
      <c r="BJ174" s="108"/>
      <c r="BK174" s="108"/>
      <c r="BL174" s="108"/>
      <c r="BM174" s="108"/>
      <c r="BN174" s="108"/>
      <c r="BO174" s="108"/>
      <c r="BP174" s="108"/>
      <c r="BQ174" s="108"/>
      <c r="BR174" s="108"/>
      <c r="BS174" s="108"/>
      <c r="BT174" s="108"/>
      <c r="BU174" s="108"/>
      <c r="BV174" s="108"/>
      <c r="BW174" s="108"/>
      <c r="BX174" s="108"/>
      <c r="BY174" s="108"/>
      <c r="BZ174" s="108"/>
      <c r="CA174" s="108"/>
      <c r="CB174" s="108"/>
      <c r="CC174" s="108"/>
      <c r="CD174" s="108"/>
      <c r="CE174" s="108"/>
      <c r="CF174" s="108"/>
      <c r="CG174" s="108"/>
      <c r="CH174" s="108"/>
      <c r="CI174" s="108"/>
      <c r="CJ174" s="108"/>
      <c r="CK174" s="108"/>
      <c r="CL174" s="108"/>
      <c r="CM174" s="108"/>
      <c r="CN174" s="108"/>
      <c r="CO174" s="108"/>
    </row>
    <row r="175" spans="1:93" s="92" customFormat="1" ht="13" x14ac:dyDescent="0.3">
      <c r="A175" s="181" t="str">
        <f>Language!AA173</f>
        <v>Provisão para Manutenção</v>
      </c>
      <c r="B175" s="182">
        <v>521</v>
      </c>
      <c r="C175" s="182">
        <v>2852</v>
      </c>
      <c r="D175" s="182">
        <v>2207</v>
      </c>
      <c r="E175" s="183">
        <v>2641</v>
      </c>
      <c r="F175" s="182">
        <v>1665</v>
      </c>
      <c r="G175" s="182">
        <v>0</v>
      </c>
      <c r="H175" s="182">
        <v>0</v>
      </c>
      <c r="I175" s="183">
        <v>0</v>
      </c>
      <c r="J175" s="182">
        <v>0</v>
      </c>
      <c r="K175" s="182">
        <v>0</v>
      </c>
      <c r="L175" s="182">
        <v>0</v>
      </c>
      <c r="M175" s="183">
        <v>0</v>
      </c>
      <c r="N175" s="182">
        <v>0</v>
      </c>
      <c r="O175" s="182">
        <v>-3388</v>
      </c>
      <c r="P175" s="182">
        <v>-3246</v>
      </c>
      <c r="Q175" s="182">
        <v>-3764</v>
      </c>
      <c r="R175" s="184">
        <v>0</v>
      </c>
      <c r="S175" s="182">
        <v>0</v>
      </c>
      <c r="T175" s="182">
        <f t="shared" si="661"/>
        <v>0</v>
      </c>
      <c r="U175" s="182">
        <f t="shared" si="662"/>
        <v>21894</v>
      </c>
      <c r="V175" s="182">
        <f t="shared" si="663"/>
        <v>0</v>
      </c>
      <c r="W175" s="182">
        <v>0</v>
      </c>
      <c r="X175" s="182">
        <v>21894</v>
      </c>
      <c r="Y175" s="184">
        <v>12828</v>
      </c>
      <c r="Z175" s="182">
        <f t="shared" si="664"/>
        <v>12893</v>
      </c>
      <c r="AA175" s="182">
        <f t="shared" si="665"/>
        <v>10267</v>
      </c>
      <c r="AB175" s="182">
        <f t="shared" si="666"/>
        <v>6406</v>
      </c>
      <c r="AC175" s="182">
        <v>25721</v>
      </c>
      <c r="AD175" s="182">
        <v>35988</v>
      </c>
      <c r="AE175" s="182">
        <v>42394</v>
      </c>
      <c r="AF175" s="184">
        <v>10778</v>
      </c>
      <c r="AG175" s="182">
        <v>-32418</v>
      </c>
      <c r="AH175" s="182">
        <v>-127</v>
      </c>
      <c r="AI175" s="182">
        <v>-20668</v>
      </c>
      <c r="AJ175" s="182">
        <v>-21640</v>
      </c>
      <c r="AK175" s="182">
        <v>-32545</v>
      </c>
      <c r="AL175" s="257">
        <v>-53213</v>
      </c>
      <c r="AM175" s="182">
        <f>AM99</f>
        <v>-12050</v>
      </c>
      <c r="AN175" s="182">
        <f t="shared" si="605"/>
        <v>-10486</v>
      </c>
      <c r="AO175" s="182"/>
      <c r="AP175" s="182">
        <f t="shared" si="606"/>
        <v>-3063</v>
      </c>
      <c r="AQ175" s="182">
        <f t="shared" ref="AQ175:AV175" si="667">AQ99</f>
        <v>-22536</v>
      </c>
      <c r="AR175" s="182">
        <f t="shared" si="667"/>
        <v>-33935</v>
      </c>
      <c r="AS175" s="257">
        <f t="shared" si="667"/>
        <v>-36998</v>
      </c>
      <c r="AT175" s="182">
        <f t="shared" si="667"/>
        <v>-11193</v>
      </c>
      <c r="AU175" s="182">
        <f t="shared" si="667"/>
        <v>-11225</v>
      </c>
      <c r="AV175" s="182">
        <f t="shared" si="667"/>
        <v>-11150</v>
      </c>
      <c r="AW175" s="182">
        <f t="shared" si="610"/>
        <v>-11455</v>
      </c>
      <c r="AX175" s="182">
        <f>AX99</f>
        <v>-22418</v>
      </c>
      <c r="AY175" s="182">
        <f>AY99</f>
        <v>-33568</v>
      </c>
      <c r="AZ175" s="182">
        <f>AZ99</f>
        <v>-45023</v>
      </c>
      <c r="BA175" s="182">
        <f>BA99</f>
        <v>-3705</v>
      </c>
      <c r="BB175" s="107">
        <f t="shared" si="631"/>
        <v>-3729</v>
      </c>
      <c r="BC175" s="107">
        <f t="shared" si="632"/>
        <v>-3798</v>
      </c>
      <c r="BD175" s="182">
        <f>BG175-BF175</f>
        <v>-3484</v>
      </c>
      <c r="BE175" s="182">
        <f>BE99</f>
        <v>-7434</v>
      </c>
      <c r="BF175" s="182">
        <f>BF99</f>
        <v>-11232</v>
      </c>
      <c r="BG175" s="182">
        <f>BG99</f>
        <v>-14716</v>
      </c>
      <c r="BH175" s="182">
        <f>BH99</f>
        <v>8637</v>
      </c>
      <c r="BI175" s="182">
        <f t="shared" ref="BI175:BL175" si="668">BI99</f>
        <v>9731</v>
      </c>
      <c r="BJ175" s="182">
        <f t="shared" si="668"/>
        <v>-27428</v>
      </c>
      <c r="BK175" s="182">
        <f t="shared" si="668"/>
        <v>-3122</v>
      </c>
      <c r="BL175" s="182">
        <f t="shared" si="668"/>
        <v>18368</v>
      </c>
      <c r="BM175" s="182">
        <f t="shared" ref="BM175:BN175" si="669">BM99</f>
        <v>-9060</v>
      </c>
      <c r="BN175" s="182">
        <f t="shared" si="669"/>
        <v>-12182</v>
      </c>
      <c r="BO175" s="182">
        <f t="shared" ref="BO175:BP175" si="670">BO99</f>
        <v>-210</v>
      </c>
      <c r="BP175" s="182">
        <f t="shared" si="670"/>
        <v>-210</v>
      </c>
      <c r="BQ175" s="182">
        <f t="shared" ref="BQ175:BS175" si="671">BQ99</f>
        <v>-210</v>
      </c>
      <c r="BR175" s="182">
        <f>BR99</f>
        <v>-210</v>
      </c>
      <c r="BS175" s="182">
        <f t="shared" si="671"/>
        <v>-420</v>
      </c>
      <c r="BT175" s="182">
        <f t="shared" ref="BT175:BU175" si="672">BT99</f>
        <v>-630</v>
      </c>
      <c r="BU175" s="182">
        <f t="shared" si="672"/>
        <v>-840</v>
      </c>
      <c r="BV175" s="182">
        <f t="shared" ref="BV175" si="673">BV99</f>
        <v>-170</v>
      </c>
      <c r="BW175" s="182">
        <f t="shared" ref="BW175:CB175" si="674">BW99</f>
        <v>-169</v>
      </c>
      <c r="BX175" s="182">
        <f t="shared" si="674"/>
        <v>-170</v>
      </c>
      <c r="BY175" s="182">
        <f t="shared" si="674"/>
        <v>-169</v>
      </c>
      <c r="BZ175" s="182">
        <f t="shared" si="674"/>
        <v>-339</v>
      </c>
      <c r="CA175" s="182">
        <f t="shared" si="674"/>
        <v>-509</v>
      </c>
      <c r="CB175" s="182">
        <f t="shared" si="674"/>
        <v>-678</v>
      </c>
      <c r="CC175" s="182">
        <f t="shared" ref="CC175:CD175" si="675">CC99</f>
        <v>-89</v>
      </c>
      <c r="CD175" s="182">
        <f t="shared" si="675"/>
        <v>2211</v>
      </c>
      <c r="CE175" s="182">
        <f t="shared" ref="CE175:CG175" si="676">CE99</f>
        <v>-114</v>
      </c>
      <c r="CF175" s="182">
        <f t="shared" si="676"/>
        <v>-258</v>
      </c>
      <c r="CG175" s="182">
        <f t="shared" si="676"/>
        <v>2122</v>
      </c>
      <c r="CH175" s="182">
        <f t="shared" ref="CH175:CI175" si="677">CH99</f>
        <v>2008</v>
      </c>
      <c r="CI175" s="182">
        <f t="shared" si="677"/>
        <v>1750</v>
      </c>
      <c r="CJ175" s="182">
        <v>-24</v>
      </c>
      <c r="CK175" s="182">
        <f t="shared" ref="CK175:CO175" si="678">CK99</f>
        <v>-25</v>
      </c>
      <c r="CL175" s="182">
        <f t="shared" si="678"/>
        <v>0</v>
      </c>
      <c r="CM175" s="182">
        <f t="shared" si="678"/>
        <v>0</v>
      </c>
      <c r="CN175" s="182">
        <f t="shared" si="678"/>
        <v>-49</v>
      </c>
      <c r="CO175" s="182">
        <f t="shared" si="678"/>
        <v>0</v>
      </c>
    </row>
    <row r="176" spans="1:93" s="92" customFormat="1" ht="13" x14ac:dyDescent="0.3">
      <c r="A176" s="181" t="str">
        <f>Language!AA174</f>
        <v>Despesas Não Recorrentes</v>
      </c>
      <c r="B176" s="182">
        <v>4</v>
      </c>
      <c r="C176" s="182">
        <v>-101</v>
      </c>
      <c r="D176" s="182">
        <v>140</v>
      </c>
      <c r="E176" s="183">
        <v>-8204</v>
      </c>
      <c r="F176" s="182">
        <v>157</v>
      </c>
      <c r="G176" s="182">
        <v>25</v>
      </c>
      <c r="H176" s="182">
        <v>3868</v>
      </c>
      <c r="I176" s="183">
        <v>202</v>
      </c>
      <c r="J176" s="182">
        <v>604</v>
      </c>
      <c r="K176" s="182">
        <v>104</v>
      </c>
      <c r="L176" s="182">
        <v>78</v>
      </c>
      <c r="M176" s="183">
        <v>472</v>
      </c>
      <c r="N176" s="182">
        <v>1216</v>
      </c>
      <c r="O176" s="182">
        <v>942</v>
      </c>
      <c r="P176" s="182">
        <v>7619</v>
      </c>
      <c r="Q176" s="182">
        <v>627959</v>
      </c>
      <c r="R176" s="184">
        <v>5965</v>
      </c>
      <c r="S176" s="182">
        <v>14682</v>
      </c>
      <c r="T176" s="182">
        <f t="shared" si="661"/>
        <v>13</v>
      </c>
      <c r="U176" s="182">
        <f t="shared" si="662"/>
        <v>33850</v>
      </c>
      <c r="V176" s="182">
        <f t="shared" si="663"/>
        <v>20647</v>
      </c>
      <c r="W176" s="182">
        <v>20660</v>
      </c>
      <c r="X176" s="182">
        <v>54510</v>
      </c>
      <c r="Y176" s="184">
        <v>-96</v>
      </c>
      <c r="Z176" s="182">
        <f t="shared" si="664"/>
        <v>167</v>
      </c>
      <c r="AA176" s="182">
        <f t="shared" si="665"/>
        <v>4755</v>
      </c>
      <c r="AB176" s="182">
        <f t="shared" si="666"/>
        <v>115</v>
      </c>
      <c r="AC176" s="182">
        <v>71</v>
      </c>
      <c r="AD176" s="182">
        <v>4826</v>
      </c>
      <c r="AE176" s="182">
        <v>4941</v>
      </c>
      <c r="AF176" s="184">
        <v>-352</v>
      </c>
      <c r="AG176" s="182">
        <v>353857</v>
      </c>
      <c r="AH176" s="182">
        <v>336175</v>
      </c>
      <c r="AI176" s="182">
        <v>179948</v>
      </c>
      <c r="AJ176" s="182">
        <v>353505</v>
      </c>
      <c r="AK176" s="182">
        <v>690032</v>
      </c>
      <c r="AL176" s="257">
        <v>869980</v>
      </c>
      <c r="AM176" s="182">
        <v>-14778</v>
      </c>
      <c r="AN176" s="182">
        <f t="shared" si="605"/>
        <v>5402</v>
      </c>
      <c r="AO176" s="182"/>
      <c r="AP176" s="182">
        <f t="shared" si="606"/>
        <v>-233034</v>
      </c>
      <c r="AQ176" s="182">
        <v>-9376</v>
      </c>
      <c r="AR176" s="182">
        <v>-15000</v>
      </c>
      <c r="AS176" s="257">
        <v>-248034</v>
      </c>
      <c r="AT176" s="182">
        <v>-1134</v>
      </c>
      <c r="AU176" s="182">
        <f>AX176-AT176</f>
        <v>-2751</v>
      </c>
      <c r="AV176" s="107">
        <f>AY176-AX176</f>
        <v>-20750</v>
      </c>
      <c r="AW176" s="107">
        <f t="shared" si="610"/>
        <v>28458</v>
      </c>
      <c r="AX176" s="182">
        <v>-3885</v>
      </c>
      <c r="AY176" s="182">
        <v>-24635</v>
      </c>
      <c r="AZ176" s="182">
        <v>3823</v>
      </c>
      <c r="BA176" s="182">
        <v>-378</v>
      </c>
      <c r="BB176" s="107">
        <f t="shared" si="631"/>
        <v>-5335</v>
      </c>
      <c r="BC176" s="107">
        <f t="shared" si="632"/>
        <v>-14234</v>
      </c>
      <c r="BD176" s="182">
        <f>BG176-BF176</f>
        <v>265315</v>
      </c>
      <c r="BE176" s="182">
        <v>-5713</v>
      </c>
      <c r="BF176" s="182">
        <v>-19947</v>
      </c>
      <c r="BG176" s="182">
        <v>245368</v>
      </c>
      <c r="BH176" s="182">
        <v>-2846</v>
      </c>
      <c r="BI176" s="182">
        <f>BL176-BH176</f>
        <v>1681</v>
      </c>
      <c r="BJ176" s="182">
        <f>BM176-BL176</f>
        <v>-682</v>
      </c>
      <c r="BK176" s="182">
        <f>BN176-BM176</f>
        <v>22489</v>
      </c>
      <c r="BL176" s="182">
        <v>-1165</v>
      </c>
      <c r="BM176" s="182">
        <v>-1847</v>
      </c>
      <c r="BN176" s="182">
        <v>20642</v>
      </c>
      <c r="BO176" s="182">
        <v>-1354</v>
      </c>
      <c r="BP176" s="182">
        <f>BS176-BO176</f>
        <v>-1058</v>
      </c>
      <c r="BQ176" s="182">
        <f>BT176-BS176</f>
        <v>4129</v>
      </c>
      <c r="BR176" s="182">
        <f>BU176-BT176</f>
        <v>1354</v>
      </c>
      <c r="BS176" s="182">
        <v>-2412</v>
      </c>
      <c r="BT176" s="182">
        <v>1717</v>
      </c>
      <c r="BU176" s="182">
        <v>3071</v>
      </c>
      <c r="BV176" s="182">
        <v>-520</v>
      </c>
      <c r="BW176" s="182">
        <f>BZ176-BV176</f>
        <v>-2123</v>
      </c>
      <c r="BX176" s="182">
        <f>CA176-BZ176</f>
        <v>-2746</v>
      </c>
      <c r="BY176" s="182">
        <f>CB176-CA176</f>
        <v>-3004</v>
      </c>
      <c r="BZ176" s="182">
        <v>-2643</v>
      </c>
      <c r="CA176" s="182">
        <v>-5389</v>
      </c>
      <c r="CB176" s="182">
        <v>-8393</v>
      </c>
      <c r="CC176" s="182">
        <v>-481</v>
      </c>
      <c r="CD176" s="182">
        <f>CG176-CC176</f>
        <v>-149</v>
      </c>
      <c r="CE176" s="182">
        <f>CH176-CG176</f>
        <v>3601</v>
      </c>
      <c r="CF176" s="182">
        <f>CI176-CH176</f>
        <v>-4853</v>
      </c>
      <c r="CG176" s="182">
        <v>-630</v>
      </c>
      <c r="CH176" s="182">
        <v>2971</v>
      </c>
      <c r="CI176" s="182">
        <v>-1882</v>
      </c>
      <c r="CJ176" s="182">
        <v>-6618</v>
      </c>
      <c r="CK176" s="182">
        <f>CN176-CJ176</f>
        <v>1589</v>
      </c>
      <c r="CL176" s="182"/>
      <c r="CM176" s="182"/>
      <c r="CN176" s="182">
        <v>-5029</v>
      </c>
      <c r="CO176" s="182"/>
    </row>
    <row r="177" spans="1:93" s="92" customFormat="1" ht="13" x14ac:dyDescent="0.3">
      <c r="A177" s="181" t="str">
        <f>Language!AA175</f>
        <v>Dívida Líquida</v>
      </c>
      <c r="B177" s="185" t="e">
        <f t="shared" ref="B177:P177" si="679">SUM(B178,B184,B189,B193,B194,B195)</f>
        <v>#REF!</v>
      </c>
      <c r="C177" s="185" t="e">
        <f t="shared" si="679"/>
        <v>#REF!</v>
      </c>
      <c r="D177" s="185" t="e">
        <f t="shared" si="679"/>
        <v>#REF!</v>
      </c>
      <c r="E177" s="186" t="e">
        <f t="shared" si="679"/>
        <v>#REF!</v>
      </c>
      <c r="F177" s="185" t="e">
        <f t="shared" si="679"/>
        <v>#REF!</v>
      </c>
      <c r="G177" s="185" t="e">
        <f t="shared" si="679"/>
        <v>#REF!</v>
      </c>
      <c r="H177" s="185" t="e">
        <f t="shared" si="679"/>
        <v>#REF!</v>
      </c>
      <c r="I177" s="186" t="e">
        <f t="shared" si="679"/>
        <v>#REF!</v>
      </c>
      <c r="J177" s="185" t="e">
        <f t="shared" si="679"/>
        <v>#REF!</v>
      </c>
      <c r="K177" s="185" t="e">
        <f t="shared" si="679"/>
        <v>#REF!</v>
      </c>
      <c r="L177" s="185" t="e">
        <f t="shared" si="679"/>
        <v>#REF!</v>
      </c>
      <c r="M177" s="186" t="e">
        <f t="shared" si="679"/>
        <v>#REF!</v>
      </c>
      <c r="N177" s="185" t="e">
        <f t="shared" si="679"/>
        <v>#REF!</v>
      </c>
      <c r="O177" s="185" t="e">
        <f t="shared" si="679"/>
        <v>#REF!</v>
      </c>
      <c r="P177" s="185" t="e">
        <f t="shared" si="679"/>
        <v>#REF!</v>
      </c>
      <c r="Q177" s="185" t="e">
        <f t="shared" ref="Q177:W177" si="680">SUM(Q178,Q184,Q189,Q193,Q194,Q195)</f>
        <v>#REF!</v>
      </c>
      <c r="R177" s="187" t="e">
        <f t="shared" si="680"/>
        <v>#REF!</v>
      </c>
      <c r="S177" s="185" t="e">
        <f t="shared" si="680"/>
        <v>#REF!</v>
      </c>
      <c r="T177" s="185" t="e">
        <f t="shared" si="680"/>
        <v>#REF!</v>
      </c>
      <c r="U177" s="185" t="e">
        <f>X177</f>
        <v>#REF!</v>
      </c>
      <c r="V177" s="185" t="e">
        <f>Y177</f>
        <v>#REF!</v>
      </c>
      <c r="W177" s="185" t="e">
        <f t="shared" si="680"/>
        <v>#REF!</v>
      </c>
      <c r="X177" s="185" t="e">
        <f>SUM(X178,X184,X189,X193,X194,X195)</f>
        <v>#REF!</v>
      </c>
      <c r="Y177" s="187" t="e">
        <f>SUM(Y178,Y184,Y189,Y193,Y194,Y195)</f>
        <v>#REF!</v>
      </c>
      <c r="Z177" s="185" t="e">
        <f>SUM(Z178,Z184,Z189,Z193,Z194,Z195)</f>
        <v>#REF!</v>
      </c>
      <c r="AA177" s="185" t="e">
        <f t="shared" ref="AA177" si="681">SUM(AA178,AA184,AA189,AA193,AA194,AA195)</f>
        <v>#REF!</v>
      </c>
      <c r="AB177" s="185" t="e">
        <f>AE177</f>
        <v>#REF!</v>
      </c>
      <c r="AC177" s="185" t="e">
        <f>SUM(AC178,AC184,AC189,AC193,AC194,AC195)</f>
        <v>#REF!</v>
      </c>
      <c r="AD177" s="185" t="e">
        <f>SUM(AD178,AD184,AD189,AD193,AD194,AD195)</f>
        <v>#REF!</v>
      </c>
      <c r="AE177" s="185" t="e">
        <f t="shared" ref="AE177" si="682">SUM(AE178,AE184,AE189,AE193,AE194,AE195)</f>
        <v>#REF!</v>
      </c>
      <c r="AF177" s="185">
        <v>3567661</v>
      </c>
      <c r="AG177" s="185">
        <v>2836645</v>
      </c>
      <c r="AH177" s="185">
        <v>2854454.6830000002</v>
      </c>
      <c r="AI177" s="185">
        <v>1609401</v>
      </c>
      <c r="AJ177" s="185">
        <v>2836645</v>
      </c>
      <c r="AK177" s="185">
        <v>2854454.6830000002</v>
      </c>
      <c r="AL177" s="258">
        <v>1609401</v>
      </c>
      <c r="AM177" s="185" t="e">
        <f>SUM(AM178,AM184,AM189,AM193,AM194,AM195)</f>
        <v>#REF!</v>
      </c>
      <c r="AN177" s="185">
        <f>AQ177</f>
        <v>1682723.852537374</v>
      </c>
      <c r="AO177" s="185"/>
      <c r="AP177" s="185">
        <f t="shared" si="606"/>
        <v>-37936</v>
      </c>
      <c r="AQ177" s="185">
        <f>SUM(AQ178,AQ184,AQ189,AQ193,AQ194,AQ195)</f>
        <v>1682723.852537374</v>
      </c>
      <c r="AR177" s="185">
        <f>SUM(AR178,AR184,AR189,AR193,AR194,AR195)</f>
        <v>1639686</v>
      </c>
      <c r="AS177" s="258">
        <f>SUM(AS178,AS184,AS189,AS193,AS194,AS195)</f>
        <v>1601750</v>
      </c>
      <c r="AT177" s="185">
        <f>SUM(AT178,AT184,AT189,AT193,AT194,AT195)</f>
        <v>1824467</v>
      </c>
      <c r="AU177" s="185">
        <f t="shared" ref="AU177" si="683">SUM(AU178,AU184,AU189,AU193,AU194,AU195)</f>
        <v>1860057</v>
      </c>
      <c r="AV177" s="185">
        <f>SUM(AV178,AV184,AV189,AV193,AV194,AV195)</f>
        <v>1869227</v>
      </c>
      <c r="AW177" s="185">
        <f>AZ177</f>
        <v>1842934</v>
      </c>
      <c r="AX177" s="185">
        <f t="shared" ref="AX177:BE177" si="684">SUM(AX178,AX184,AX189,AX193,AX194,AX195)</f>
        <v>1860057</v>
      </c>
      <c r="AY177" s="185">
        <f t="shared" si="684"/>
        <v>1869227</v>
      </c>
      <c r="AZ177" s="185">
        <f t="shared" si="684"/>
        <v>1842934</v>
      </c>
      <c r="BA177" s="185">
        <f t="shared" si="684"/>
        <v>1793077</v>
      </c>
      <c r="BB177" s="185">
        <f t="shared" si="684"/>
        <v>1752816</v>
      </c>
      <c r="BC177" s="185">
        <f t="shared" si="684"/>
        <v>1748542</v>
      </c>
      <c r="BD177" s="185">
        <f t="shared" si="684"/>
        <v>1680054</v>
      </c>
      <c r="BE177" s="185">
        <f t="shared" si="684"/>
        <v>1752816</v>
      </c>
      <c r="BF177" s="185">
        <f t="shared" ref="BF177:BG177" si="685">SUM(BF178,BF184,BF189,BF193,BF194,BF195)</f>
        <v>1748542</v>
      </c>
      <c r="BG177" s="185">
        <f t="shared" si="685"/>
        <v>1680054</v>
      </c>
      <c r="BH177" s="185">
        <f t="shared" ref="BH177:BL177" si="686">SUM(BH178,BH184,BH189,BH193,BH194,BH195)</f>
        <v>1661129</v>
      </c>
      <c r="BI177" s="185">
        <f t="shared" si="686"/>
        <v>1633015</v>
      </c>
      <c r="BJ177" s="185">
        <f t="shared" si="686"/>
        <v>1555952</v>
      </c>
      <c r="BK177" s="185">
        <f t="shared" si="686"/>
        <v>1564081</v>
      </c>
      <c r="BL177" s="185">
        <f t="shared" si="686"/>
        <v>1633015</v>
      </c>
      <c r="BM177" s="185">
        <f t="shared" ref="BM177:BN177" si="687">SUM(BM178,BM184,BM189,BM193,BM194,BM195)</f>
        <v>1555952</v>
      </c>
      <c r="BN177" s="185">
        <f t="shared" si="687"/>
        <v>1564081</v>
      </c>
      <c r="BO177" s="185">
        <f t="shared" ref="BO177" si="688">SUM(BO178,BO184,BO189,BO193,BO194,BO195)</f>
        <v>1582590</v>
      </c>
      <c r="BP177" s="185">
        <f>SUM(BP178,BP184,BP189,BP193,BP194,BP195)</f>
        <v>1626909</v>
      </c>
      <c r="BQ177" s="185">
        <f t="shared" ref="BQ177:BS177" si="689">SUM(BQ178,BQ184,BQ189,BQ193,BQ194,BQ195)</f>
        <v>1588723</v>
      </c>
      <c r="BR177" s="185">
        <f>SUM(BR178,BR184,BR189,BR193,BR194,BR195)+1</f>
        <v>1570252</v>
      </c>
      <c r="BS177" s="185">
        <f t="shared" si="689"/>
        <v>1626909</v>
      </c>
      <c r="BT177" s="185">
        <f t="shared" ref="BT177" si="690">SUM(BT178,BT184,BT189,BT193,BT194,BT195)</f>
        <v>1588723</v>
      </c>
      <c r="BU177" s="185">
        <f>SUM(BU178,BU184,BU189,BU193,BU194,BU195)+1</f>
        <v>1570252</v>
      </c>
      <c r="BV177" s="185">
        <f>SUM(BV178,BV184,BV189,BV193,BV194,BV195)</f>
        <v>1552557</v>
      </c>
      <c r="BW177" s="185">
        <f>SUM(BW178,BW184,BW189,BW193,BW194,BW195)</f>
        <v>1545185</v>
      </c>
      <c r="BX177" s="185">
        <f t="shared" ref="BX177:BY177" si="691">SUM(BX178,BX184,BX189,BX193,BX194,BX195)</f>
        <v>1494246</v>
      </c>
      <c r="BY177" s="185">
        <f t="shared" si="691"/>
        <v>1448054</v>
      </c>
      <c r="BZ177" s="185">
        <f t="shared" ref="BZ177:CI177" si="692">SUM(BZ178,BZ184,BZ189,BZ193,BZ194,BZ195)</f>
        <v>1545185</v>
      </c>
      <c r="CA177" s="185">
        <f t="shared" si="692"/>
        <v>1494246</v>
      </c>
      <c r="CB177" s="185">
        <f t="shared" si="692"/>
        <v>1448054</v>
      </c>
      <c r="CC177" s="185">
        <f t="shared" si="692"/>
        <v>1402449</v>
      </c>
      <c r="CD177" s="185">
        <f t="shared" si="692"/>
        <v>1365694</v>
      </c>
      <c r="CE177" s="185">
        <f t="shared" si="692"/>
        <v>1312531</v>
      </c>
      <c r="CF177" s="185">
        <f t="shared" si="692"/>
        <v>1351434</v>
      </c>
      <c r="CG177" s="185">
        <f t="shared" si="692"/>
        <v>1365694</v>
      </c>
      <c r="CH177" s="185">
        <f t="shared" si="692"/>
        <v>1312531</v>
      </c>
      <c r="CI177" s="185">
        <f t="shared" si="692"/>
        <v>1351434</v>
      </c>
      <c r="CJ177" s="185">
        <v>1293178</v>
      </c>
      <c r="CK177" s="185">
        <f t="shared" ref="CK177:CO177" si="693">SUM(CK178,CK184,CK189,CK193,CK194,CK195)</f>
        <v>1287467</v>
      </c>
      <c r="CL177" s="185">
        <f t="shared" si="693"/>
        <v>0</v>
      </c>
      <c r="CM177" s="185">
        <f t="shared" si="693"/>
        <v>0</v>
      </c>
      <c r="CN177" s="185">
        <f t="shared" si="693"/>
        <v>1287467</v>
      </c>
      <c r="CO177" s="185">
        <f t="shared" si="693"/>
        <v>0</v>
      </c>
    </row>
    <row r="178" spans="1:93" s="100" customFormat="1" ht="13" x14ac:dyDescent="0.3">
      <c r="A178" s="160" t="str">
        <f>Language!AA176</f>
        <v>Concessões Rodoviárias</v>
      </c>
      <c r="B178" s="161">
        <f t="shared" ref="B178:M178" si="694">SUM(B179,B180,B181)</f>
        <v>221701</v>
      </c>
      <c r="C178" s="161">
        <f t="shared" si="694"/>
        <v>289343</v>
      </c>
      <c r="D178" s="161">
        <f t="shared" si="694"/>
        <v>275970</v>
      </c>
      <c r="E178" s="162">
        <f t="shared" si="694"/>
        <v>270139</v>
      </c>
      <c r="F178" s="161">
        <f t="shared" si="694"/>
        <v>315783</v>
      </c>
      <c r="G178" s="161">
        <f t="shared" si="694"/>
        <v>315006</v>
      </c>
      <c r="H178" s="161">
        <f t="shared" si="694"/>
        <v>340676</v>
      </c>
      <c r="I178" s="162">
        <f t="shared" si="694"/>
        <v>338992</v>
      </c>
      <c r="J178" s="161">
        <f t="shared" si="694"/>
        <v>336523</v>
      </c>
      <c r="K178" s="161">
        <f t="shared" si="694"/>
        <v>392294</v>
      </c>
      <c r="L178" s="161">
        <f t="shared" si="694"/>
        <v>398322</v>
      </c>
      <c r="M178" s="162">
        <f t="shared" si="694"/>
        <v>459066</v>
      </c>
      <c r="N178" s="161">
        <f t="shared" ref="N178:S178" si="695">SUM(N179,N180,N181,N182)</f>
        <v>257712</v>
      </c>
      <c r="O178" s="161">
        <f t="shared" si="695"/>
        <v>433165</v>
      </c>
      <c r="P178" s="161">
        <f t="shared" si="695"/>
        <v>669815</v>
      </c>
      <c r="Q178" s="161">
        <f t="shared" si="695"/>
        <v>1068486</v>
      </c>
      <c r="R178" s="163">
        <f t="shared" si="695"/>
        <v>1534942</v>
      </c>
      <c r="S178" s="161">
        <f t="shared" si="695"/>
        <v>1754639</v>
      </c>
      <c r="T178" s="161">
        <f t="shared" ref="T178" si="696">SUM(T179,T180,T181,T182)</f>
        <v>1817259</v>
      </c>
      <c r="U178" s="161">
        <f t="shared" ref="U178:U194" si="697">X178</f>
        <v>2192673</v>
      </c>
      <c r="V178" s="161">
        <f>SUM(V179,V180,V181,V182,V183)</f>
        <v>3946144</v>
      </c>
      <c r="W178" s="161">
        <f>SUM(W179,W180,W181,W182)</f>
        <v>1866241</v>
      </c>
      <c r="X178" s="161">
        <f>SUM(X179,X180,X181,X182,X183)</f>
        <v>2192673</v>
      </c>
      <c r="Y178" s="163">
        <f>SUM(Y179,Y180,Y181,Y182,Y183)</f>
        <v>2182545</v>
      </c>
      <c r="Z178" s="161">
        <f>SUM(Z179,Z180,Z181,Z182,Z183)</f>
        <v>2015700</v>
      </c>
      <c r="AA178" s="161">
        <f t="shared" ref="AA178" si="698">SUM(AA179,AA180,AA181,AA182)</f>
        <v>1679106</v>
      </c>
      <c r="AB178" s="161">
        <f t="shared" ref="AB178:AB194" si="699">AE178</f>
        <v>1992020</v>
      </c>
      <c r="AC178" s="161">
        <f>SUM(AC179,AC180,AC181,AC182,AC183)</f>
        <v>2015700</v>
      </c>
      <c r="AD178" s="161">
        <f>SUM(AD179,AD180,AD181,AD182,AD183)</f>
        <v>2034044</v>
      </c>
      <c r="AE178" s="161">
        <f t="shared" ref="AE178" si="700">SUM(AE179,AE180,AE181,AE182,AE183)</f>
        <v>1992020</v>
      </c>
      <c r="AF178" s="161">
        <v>1971226</v>
      </c>
      <c r="AG178" s="161">
        <v>1961691</v>
      </c>
      <c r="AH178" s="161">
        <v>1899341</v>
      </c>
      <c r="AI178" s="161">
        <v>1777557</v>
      </c>
      <c r="AJ178" s="161">
        <v>1961691</v>
      </c>
      <c r="AK178" s="161">
        <v>1899341</v>
      </c>
      <c r="AL178" s="259">
        <v>1777557</v>
      </c>
      <c r="AM178" s="161">
        <f>SUM(AM179,AM180,AM181,AM182,AM183)</f>
        <v>1751411</v>
      </c>
      <c r="AN178" s="161">
        <f t="shared" ref="AN178:AN194" si="701">AQ178</f>
        <v>1702481</v>
      </c>
      <c r="AO178" s="161"/>
      <c r="AP178" s="161">
        <f t="shared" si="606"/>
        <v>18210</v>
      </c>
      <c r="AQ178" s="161">
        <f>SUM(AQ179,AQ180,AQ181,AQ182,AQ183)</f>
        <v>1702481</v>
      </c>
      <c r="AR178" s="161">
        <f>SUM(AR179,AR180,AR181,AR182,AR183)</f>
        <v>1705092</v>
      </c>
      <c r="AS178" s="259">
        <f>SUM(AS179,AS180,AS181,AS182,AS183)</f>
        <v>1723302</v>
      </c>
      <c r="AT178" s="161">
        <f>SUM(AT179,AT180,AT181,AT182,AT183)</f>
        <v>1751065</v>
      </c>
      <c r="AU178" s="161">
        <f t="shared" ref="AU178" si="702">SUM(AU179,AU180,AU181,AU182,AU183)</f>
        <v>1770604</v>
      </c>
      <c r="AV178" s="161">
        <f>SUM(AV179,AV180,AV181,AV182,AV183)</f>
        <v>1774622</v>
      </c>
      <c r="AW178" s="161">
        <f t="shared" ref="AW178:AW195" si="703">AZ178</f>
        <v>1757910</v>
      </c>
      <c r="AX178" s="161">
        <f t="shared" ref="AX178:BE178" si="704">SUM(AX179,AX180,AX181,AX182,AX183)</f>
        <v>1770604</v>
      </c>
      <c r="AY178" s="161">
        <f t="shared" si="704"/>
        <v>1774622</v>
      </c>
      <c r="AZ178" s="161">
        <f t="shared" si="704"/>
        <v>1757910</v>
      </c>
      <c r="BA178" s="161">
        <f t="shared" si="704"/>
        <v>1705115</v>
      </c>
      <c r="BB178" s="161">
        <f t="shared" si="704"/>
        <v>1665980</v>
      </c>
      <c r="BC178" s="161">
        <f t="shared" si="704"/>
        <v>1658663</v>
      </c>
      <c r="BD178" s="161">
        <f t="shared" si="704"/>
        <v>1609216</v>
      </c>
      <c r="BE178" s="161">
        <f t="shared" si="704"/>
        <v>1665980</v>
      </c>
      <c r="BF178" s="161">
        <f t="shared" ref="BF178:BG178" si="705">SUM(BF179,BF180,BF181,BF182,BF183)</f>
        <v>1658663</v>
      </c>
      <c r="BG178" s="161">
        <f t="shared" si="705"/>
        <v>1609216</v>
      </c>
      <c r="BH178" s="161">
        <f t="shared" ref="BH178:BL178" si="706">SUM(BH179,BH180,BH181,BH182,BH183)</f>
        <v>1616439</v>
      </c>
      <c r="BI178" s="161">
        <f t="shared" si="706"/>
        <v>1610373</v>
      </c>
      <c r="BJ178" s="161">
        <f t="shared" si="706"/>
        <v>1542348</v>
      </c>
      <c r="BK178" s="161">
        <f t="shared" si="706"/>
        <v>1556492</v>
      </c>
      <c r="BL178" s="161">
        <f t="shared" si="706"/>
        <v>1610373</v>
      </c>
      <c r="BM178" s="161">
        <f t="shared" ref="BM178:BN178" si="707">SUM(BM179,BM180,BM181,BM182,BM183)</f>
        <v>1542348</v>
      </c>
      <c r="BN178" s="161">
        <f t="shared" si="707"/>
        <v>1556492</v>
      </c>
      <c r="BO178" s="161">
        <f t="shared" ref="BO178:BP178" si="708">SUM(BO179,BO180,BO181,BO182,BO183)</f>
        <v>1549290</v>
      </c>
      <c r="BP178" s="161">
        <f t="shared" si="708"/>
        <v>1616364</v>
      </c>
      <c r="BQ178" s="161">
        <f t="shared" ref="BQ178:BS178" si="709">SUM(BQ179,BQ180,BQ181,BQ182,BQ183)</f>
        <v>1574058</v>
      </c>
      <c r="BR178" s="161">
        <f t="shared" si="709"/>
        <v>1546532</v>
      </c>
      <c r="BS178" s="161">
        <f t="shared" si="709"/>
        <v>1616364</v>
      </c>
      <c r="BT178" s="161">
        <f t="shared" ref="BT178:BU178" si="710">SUM(BT179,BT180,BT181,BT182,BT183)</f>
        <v>1574058</v>
      </c>
      <c r="BU178" s="161">
        <f t="shared" si="710"/>
        <v>1546532</v>
      </c>
      <c r="BV178" s="161">
        <f t="shared" ref="BV178" si="711">SUM(BV179,BV180,BV181,BV182,BV183)</f>
        <v>1534168</v>
      </c>
      <c r="BW178" s="161">
        <f>BZ178</f>
        <v>1528398</v>
      </c>
      <c r="BX178" s="161">
        <f t="shared" ref="BX178:CC178" si="712">SUM(BX179,BX180,BX181,BX182,BX183)</f>
        <v>1481302</v>
      </c>
      <c r="BY178" s="161">
        <f t="shared" si="712"/>
        <v>1428223</v>
      </c>
      <c r="BZ178" s="161">
        <f t="shared" si="712"/>
        <v>1528398</v>
      </c>
      <c r="CA178" s="161">
        <f t="shared" si="712"/>
        <v>1481302</v>
      </c>
      <c r="CB178" s="161">
        <f t="shared" si="712"/>
        <v>1428223</v>
      </c>
      <c r="CC178" s="161">
        <f t="shared" si="712"/>
        <v>1393965</v>
      </c>
      <c r="CD178" s="161">
        <f t="shared" ref="CD178:CE178" si="713">SUM(CD179,CD180,CD181,CD182,CD183)</f>
        <v>1361613</v>
      </c>
      <c r="CE178" s="161">
        <f t="shared" si="713"/>
        <v>1324511</v>
      </c>
      <c r="CF178" s="161">
        <f t="shared" ref="CF178:CG178" si="714">SUM(CF179,CF180,CF181,CF182,CF183)</f>
        <v>1352559</v>
      </c>
      <c r="CG178" s="161">
        <f t="shared" si="714"/>
        <v>1361613</v>
      </c>
      <c r="CH178" s="161">
        <f t="shared" ref="CH178:CI178" si="715">SUM(CH179,CH180,CH181,CH182,CH183)</f>
        <v>1324511</v>
      </c>
      <c r="CI178" s="161">
        <f t="shared" si="715"/>
        <v>1352559</v>
      </c>
      <c r="CJ178" s="161">
        <v>1303623</v>
      </c>
      <c r="CK178" s="161">
        <f t="shared" ref="CK178:CO178" si="716">SUM(CK179,CK180,CK181,CK182,CK183)</f>
        <v>1278819</v>
      </c>
      <c r="CL178" s="161">
        <f t="shared" si="716"/>
        <v>0</v>
      </c>
      <c r="CM178" s="161">
        <f t="shared" si="716"/>
        <v>0</v>
      </c>
      <c r="CN178" s="161">
        <f t="shared" si="716"/>
        <v>1278819</v>
      </c>
      <c r="CO178" s="161">
        <f t="shared" si="716"/>
        <v>0</v>
      </c>
    </row>
    <row r="179" spans="1:93" s="92" customFormat="1" x14ac:dyDescent="0.25">
      <c r="A179" s="164" t="str">
        <f>Language!AA177</f>
        <v>Concepa</v>
      </c>
      <c r="B179" s="165">
        <f>'Toll Roads'!B356</f>
        <v>144455</v>
      </c>
      <c r="C179" s="165">
        <f>'Toll Roads'!C356</f>
        <v>141748</v>
      </c>
      <c r="D179" s="165">
        <f>'Toll Roads'!D356</f>
        <v>133195</v>
      </c>
      <c r="E179" s="166">
        <f>'Toll Roads'!E356</f>
        <v>137249</v>
      </c>
      <c r="F179" s="165">
        <f>'Toll Roads'!F356</f>
        <v>178870</v>
      </c>
      <c r="G179" s="165">
        <f>'Toll Roads'!G356</f>
        <v>177587</v>
      </c>
      <c r="H179" s="165">
        <f>'Toll Roads'!H356</f>
        <v>186912</v>
      </c>
      <c r="I179" s="166">
        <f>'Toll Roads'!I356</f>
        <v>181449</v>
      </c>
      <c r="J179" s="165">
        <f>'Toll Roads'!J356</f>
        <v>173165</v>
      </c>
      <c r="K179" s="165">
        <f>'Toll Roads'!K356</f>
        <v>167109</v>
      </c>
      <c r="L179" s="165">
        <f>'Toll Roads'!L356</f>
        <v>156965</v>
      </c>
      <c r="M179" s="166">
        <f>'Toll Roads'!M356</f>
        <v>166113</v>
      </c>
      <c r="N179" s="165">
        <f>'Toll Roads'!N356</f>
        <v>155502</v>
      </c>
      <c r="O179" s="165">
        <f>'Toll Roads'!O356</f>
        <v>151001</v>
      </c>
      <c r="P179" s="165">
        <f>'Toll Roads'!P356</f>
        <v>156282</v>
      </c>
      <c r="Q179" s="165">
        <f>'Toll Roads'!Q356</f>
        <v>255366</v>
      </c>
      <c r="R179" s="167">
        <f>'Toll Roads'!R356</f>
        <v>397227</v>
      </c>
      <c r="S179" s="165">
        <f>'Toll Roads'!S356</f>
        <v>389308</v>
      </c>
      <c r="T179" s="165">
        <f>'Toll Roads'!W356</f>
        <v>380168</v>
      </c>
      <c r="U179" s="165">
        <f t="shared" si="697"/>
        <v>336572</v>
      </c>
      <c r="V179" s="165">
        <f>'Toll Roads'!V356</f>
        <v>786535</v>
      </c>
      <c r="W179" s="165">
        <f>'Toll Roads'!X356</f>
        <v>336572</v>
      </c>
      <c r="X179" s="165">
        <f>'Toll Roads'!X356</f>
        <v>336572</v>
      </c>
      <c r="Y179" s="167">
        <f>'Toll Roads'!Y356</f>
        <v>299251</v>
      </c>
      <c r="Z179" s="165">
        <f>'Toll Roads'!Z356</f>
        <v>112310</v>
      </c>
      <c r="AA179" s="165">
        <f>'Toll Roads'!AD356</f>
        <v>107693</v>
      </c>
      <c r="AB179" s="165">
        <f t="shared" si="699"/>
        <v>75878</v>
      </c>
      <c r="AC179" s="165">
        <f>'Toll Roads'!AC356</f>
        <v>112310</v>
      </c>
      <c r="AD179" s="165">
        <f>'Toll Roads'!AD356</f>
        <v>107693</v>
      </c>
      <c r="AE179" s="165">
        <f>'Toll Roads'!AE356</f>
        <v>75878</v>
      </c>
      <c r="AF179" s="165">
        <v>25996</v>
      </c>
      <c r="AG179" s="165">
        <v>5143</v>
      </c>
      <c r="AH179" s="165">
        <v>-4755</v>
      </c>
      <c r="AI179" s="165">
        <v>-6501</v>
      </c>
      <c r="AJ179" s="165">
        <v>5143</v>
      </c>
      <c r="AK179" s="165">
        <v>-4755</v>
      </c>
      <c r="AL179" s="260">
        <v>-6501</v>
      </c>
      <c r="AM179" s="165">
        <v>-4491</v>
      </c>
      <c r="AN179" s="165">
        <f t="shared" si="701"/>
        <v>-8753</v>
      </c>
      <c r="AO179" s="165"/>
      <c r="AP179" s="165">
        <f t="shared" si="606"/>
        <v>17.936759506771864</v>
      </c>
      <c r="AQ179" s="165">
        <v>-8753</v>
      </c>
      <c r="AR179" s="165">
        <v>-984.86830624164384</v>
      </c>
      <c r="AS179" s="260">
        <v>-966.93154673487197</v>
      </c>
      <c r="AT179" s="165">
        <v>0</v>
      </c>
      <c r="AU179" s="165">
        <f>AX179</f>
        <v>-591</v>
      </c>
      <c r="AV179" s="165">
        <f>AY179</f>
        <v>-39</v>
      </c>
      <c r="AW179" s="165">
        <f t="shared" si="703"/>
        <v>-24</v>
      </c>
      <c r="AX179" s="165">
        <v>-591</v>
      </c>
      <c r="AY179" s="165">
        <v>-39</v>
      </c>
      <c r="AZ179" s="165">
        <v>-24</v>
      </c>
      <c r="BA179" s="165">
        <v>0</v>
      </c>
      <c r="BB179" s="165">
        <f>BE179</f>
        <v>0</v>
      </c>
      <c r="BC179" s="165">
        <f>BF179</f>
        <v>0</v>
      </c>
      <c r="BD179" s="165">
        <f>BG179</f>
        <v>0</v>
      </c>
      <c r="BE179" s="165">
        <v>0</v>
      </c>
      <c r="BF179" s="165">
        <v>0</v>
      </c>
      <c r="BG179" s="165"/>
      <c r="BH179" s="165"/>
      <c r="BI179" s="165"/>
      <c r="BJ179" s="165"/>
      <c r="BK179" s="165"/>
      <c r="BL179" s="165"/>
      <c r="BM179" s="165"/>
      <c r="BN179" s="165"/>
      <c r="BO179" s="165"/>
      <c r="BP179" s="165"/>
      <c r="BQ179" s="165"/>
      <c r="BR179" s="165"/>
      <c r="BS179" s="165"/>
      <c r="BT179" s="165"/>
      <c r="BU179" s="165"/>
      <c r="BV179" s="165"/>
      <c r="BW179" s="165"/>
      <c r="BX179" s="165"/>
      <c r="BY179" s="165"/>
      <c r="BZ179" s="165"/>
      <c r="CA179" s="165"/>
      <c r="CB179" s="165"/>
      <c r="CC179" s="165"/>
      <c r="CD179" s="165"/>
      <c r="CE179" s="165"/>
      <c r="CF179" s="165"/>
      <c r="CG179" s="165"/>
      <c r="CH179" s="165"/>
      <c r="CI179" s="165"/>
      <c r="CJ179" s="165"/>
      <c r="CK179" s="165"/>
      <c r="CL179" s="165"/>
      <c r="CM179" s="165"/>
      <c r="CN179" s="165"/>
      <c r="CO179" s="165"/>
    </row>
    <row r="180" spans="1:93" s="92" customFormat="1" x14ac:dyDescent="0.25">
      <c r="A180" s="164" t="str">
        <f>Language!AA178</f>
        <v>Concer</v>
      </c>
      <c r="B180" s="165">
        <f>'Toll Roads'!B357</f>
        <v>42624</v>
      </c>
      <c r="C180" s="165">
        <f>'Toll Roads'!C357</f>
        <v>41609</v>
      </c>
      <c r="D180" s="165">
        <f>'Toll Roads'!D357</f>
        <v>38302</v>
      </c>
      <c r="E180" s="166">
        <f>'Toll Roads'!E357</f>
        <v>36091</v>
      </c>
      <c r="F180" s="165">
        <f>'Toll Roads'!F357</f>
        <v>40273</v>
      </c>
      <c r="G180" s="165">
        <f>'Toll Roads'!G357</f>
        <v>38230</v>
      </c>
      <c r="H180" s="165">
        <f>'Toll Roads'!H357</f>
        <v>49191</v>
      </c>
      <c r="I180" s="166">
        <f>'Toll Roads'!I357</f>
        <v>54110</v>
      </c>
      <c r="J180" s="165">
        <f>'Toll Roads'!J357</f>
        <v>57397</v>
      </c>
      <c r="K180" s="165">
        <f>'Toll Roads'!K357</f>
        <v>109632</v>
      </c>
      <c r="L180" s="165">
        <f>'Toll Roads'!L357</f>
        <v>126267</v>
      </c>
      <c r="M180" s="166">
        <f>'Toll Roads'!M357</f>
        <v>147935</v>
      </c>
      <c r="N180" s="165">
        <f>'Toll Roads'!N357</f>
        <v>165187</v>
      </c>
      <c r="O180" s="165">
        <f>'Toll Roads'!O357</f>
        <v>198813</v>
      </c>
      <c r="P180" s="165">
        <f>'Toll Roads'!P357</f>
        <v>238283</v>
      </c>
      <c r="Q180" s="165">
        <f>'Toll Roads'!Q357</f>
        <v>333794</v>
      </c>
      <c r="R180" s="167">
        <f>'Toll Roads'!R357</f>
        <v>429032</v>
      </c>
      <c r="S180" s="165">
        <f>'Toll Roads'!S357</f>
        <v>440451</v>
      </c>
      <c r="T180" s="165">
        <f>'Toll Roads'!W357</f>
        <v>448804</v>
      </c>
      <c r="U180" s="165">
        <f t="shared" si="697"/>
        <v>452241</v>
      </c>
      <c r="V180" s="165">
        <f>'Toll Roads'!V357</f>
        <v>869483</v>
      </c>
      <c r="W180" s="165">
        <f>'Toll Roads'!X357</f>
        <v>452241</v>
      </c>
      <c r="X180" s="165">
        <f>'Toll Roads'!X357</f>
        <v>452241</v>
      </c>
      <c r="Y180" s="167">
        <f>'Toll Roads'!Y357</f>
        <v>454857</v>
      </c>
      <c r="Z180" s="165">
        <f>'Toll Roads'!Z357</f>
        <v>459080</v>
      </c>
      <c r="AA180" s="165">
        <f>'Toll Roads'!AD357</f>
        <v>449410</v>
      </c>
      <c r="AB180" s="165">
        <f t="shared" si="699"/>
        <v>446544</v>
      </c>
      <c r="AC180" s="165">
        <f>'Toll Roads'!AC357</f>
        <v>459080</v>
      </c>
      <c r="AD180" s="165">
        <f>'Toll Roads'!AD357</f>
        <v>449410</v>
      </c>
      <c r="AE180" s="165">
        <f>'Toll Roads'!AE357</f>
        <v>446544</v>
      </c>
      <c r="AF180" s="165">
        <v>440047</v>
      </c>
      <c r="AG180" s="165">
        <v>443531</v>
      </c>
      <c r="AH180" s="165">
        <v>442719</v>
      </c>
      <c r="AI180" s="165">
        <v>415403</v>
      </c>
      <c r="AJ180" s="165">
        <v>443531</v>
      </c>
      <c r="AK180" s="165">
        <v>442719</v>
      </c>
      <c r="AL180" s="260">
        <v>415403</v>
      </c>
      <c r="AM180" s="165">
        <v>399410</v>
      </c>
      <c r="AN180" s="165">
        <f t="shared" si="701"/>
        <v>383484</v>
      </c>
      <c r="AO180" s="165"/>
      <c r="AP180" s="165">
        <f t="shared" si="606"/>
        <v>-7870.2750219118316</v>
      </c>
      <c r="AQ180" s="165">
        <v>383484</v>
      </c>
      <c r="AR180" s="165">
        <v>384086.64103863202</v>
      </c>
      <c r="AS180" s="260">
        <v>376216.36601672019</v>
      </c>
      <c r="AT180" s="165">
        <v>377745</v>
      </c>
      <c r="AU180" s="165">
        <f t="shared" ref="AU180:AU183" si="717">AX180</f>
        <v>365971</v>
      </c>
      <c r="AV180" s="165">
        <f t="shared" ref="AV180:AV183" si="718">AY180</f>
        <v>343415</v>
      </c>
      <c r="AW180" s="165">
        <f t="shared" si="703"/>
        <v>318716</v>
      </c>
      <c r="AX180" s="165">
        <v>365971</v>
      </c>
      <c r="AY180" s="165">
        <v>343415</v>
      </c>
      <c r="AZ180" s="165">
        <v>318716</v>
      </c>
      <c r="BA180" s="165">
        <v>297126</v>
      </c>
      <c r="BB180" s="165">
        <f t="shared" ref="BB180:BB183" si="719">BE180</f>
        <v>286646</v>
      </c>
      <c r="BC180" s="165">
        <f t="shared" ref="BC180:BD183" si="720">BF180</f>
        <v>268370</v>
      </c>
      <c r="BD180" s="165">
        <f t="shared" si="720"/>
        <v>221272</v>
      </c>
      <c r="BE180" s="165">
        <v>286646</v>
      </c>
      <c r="BF180" s="165">
        <v>268370</v>
      </c>
      <c r="BG180" s="165">
        <v>221272</v>
      </c>
      <c r="BH180" s="165">
        <v>213480</v>
      </c>
      <c r="BI180" s="165">
        <f>BL180</f>
        <v>201253</v>
      </c>
      <c r="BJ180" s="165">
        <f>BM180</f>
        <v>195201</v>
      </c>
      <c r="BK180" s="165">
        <f>BN180</f>
        <v>181268</v>
      </c>
      <c r="BL180" s="165">
        <v>201253</v>
      </c>
      <c r="BM180" s="201">
        <v>195201</v>
      </c>
      <c r="BN180" s="201">
        <v>181268</v>
      </c>
      <c r="BO180" s="201">
        <v>166105</v>
      </c>
      <c r="BP180" s="201">
        <f>BS180</f>
        <v>151185</v>
      </c>
      <c r="BQ180" s="201">
        <f>BT180</f>
        <v>132241</v>
      </c>
      <c r="BR180" s="201">
        <f>BU180</f>
        <v>113703</v>
      </c>
      <c r="BS180" s="201">
        <v>151185</v>
      </c>
      <c r="BT180" s="201">
        <v>132241</v>
      </c>
      <c r="BU180" s="201">
        <v>113703</v>
      </c>
      <c r="BV180" s="201">
        <v>96717</v>
      </c>
      <c r="BW180" s="201">
        <f>BZ180</f>
        <v>79230</v>
      </c>
      <c r="BX180" s="201">
        <f>CA180</f>
        <v>61986</v>
      </c>
      <c r="BY180" s="201">
        <f>CB180</f>
        <v>44151</v>
      </c>
      <c r="BZ180" s="201">
        <v>79230</v>
      </c>
      <c r="CA180" s="201">
        <v>61986</v>
      </c>
      <c r="CB180" s="201">
        <v>44151</v>
      </c>
      <c r="CC180" s="201">
        <v>26063</v>
      </c>
      <c r="CD180" s="201">
        <f>CG180</f>
        <v>10863</v>
      </c>
      <c r="CE180" s="201">
        <f>CH180</f>
        <v>9370</v>
      </c>
      <c r="CF180" s="201">
        <f>CI180</f>
        <v>58686</v>
      </c>
      <c r="CG180" s="201">
        <v>10863</v>
      </c>
      <c r="CH180" s="201">
        <v>9370</v>
      </c>
      <c r="CI180" s="201">
        <v>58686</v>
      </c>
      <c r="CJ180" s="201">
        <v>35673</v>
      </c>
      <c r="CK180" s="201">
        <f>CN180</f>
        <v>13309</v>
      </c>
      <c r="CL180" s="201"/>
      <c r="CM180" s="201"/>
      <c r="CN180" s="201">
        <v>13309</v>
      </c>
      <c r="CO180" s="201"/>
    </row>
    <row r="181" spans="1:93" s="92" customFormat="1" x14ac:dyDescent="0.25">
      <c r="A181" s="164" t="str">
        <f>Language!AA179</f>
        <v>Econorte</v>
      </c>
      <c r="B181" s="165">
        <f>'Toll Roads'!B358</f>
        <v>34622</v>
      </c>
      <c r="C181" s="165">
        <f>'Toll Roads'!C358</f>
        <v>105986</v>
      </c>
      <c r="D181" s="165">
        <f>'Toll Roads'!D358</f>
        <v>104473</v>
      </c>
      <c r="E181" s="166">
        <f>'Toll Roads'!E358</f>
        <v>96799</v>
      </c>
      <c r="F181" s="165">
        <f>'Toll Roads'!F358</f>
        <v>96640</v>
      </c>
      <c r="G181" s="165">
        <f>'Toll Roads'!G358</f>
        <v>99189</v>
      </c>
      <c r="H181" s="165">
        <f>'Toll Roads'!H358</f>
        <v>104573</v>
      </c>
      <c r="I181" s="166">
        <f>'Toll Roads'!I358</f>
        <v>103433</v>
      </c>
      <c r="J181" s="165">
        <f>'Toll Roads'!J358</f>
        <v>105961</v>
      </c>
      <c r="K181" s="165">
        <f>'Toll Roads'!K358</f>
        <v>115553</v>
      </c>
      <c r="L181" s="165">
        <f>'Toll Roads'!L358</f>
        <v>115090</v>
      </c>
      <c r="M181" s="166">
        <f>'Toll Roads'!M358</f>
        <v>145018</v>
      </c>
      <c r="N181" s="165">
        <f>'Toll Roads'!N358</f>
        <v>165211</v>
      </c>
      <c r="O181" s="165">
        <f>'Toll Roads'!O358</f>
        <v>179136</v>
      </c>
      <c r="P181" s="165">
        <f>'Toll Roads'!P358</f>
        <v>198662</v>
      </c>
      <c r="Q181" s="165">
        <f>'Toll Roads'!Q358</f>
        <v>194034</v>
      </c>
      <c r="R181" s="167">
        <f>'Toll Roads'!R358</f>
        <v>198271</v>
      </c>
      <c r="S181" s="165">
        <f>'Toll Roads'!S358</f>
        <v>222040</v>
      </c>
      <c r="T181" s="165">
        <f>'Toll Roads'!W358</f>
        <v>215352</v>
      </c>
      <c r="U181" s="165">
        <f t="shared" si="697"/>
        <v>212187</v>
      </c>
      <c r="V181" s="165">
        <f>'Toll Roads'!V358</f>
        <v>420311</v>
      </c>
      <c r="W181" s="165">
        <f>'Toll Roads'!X358</f>
        <v>212187</v>
      </c>
      <c r="X181" s="165">
        <f>'Toll Roads'!X358</f>
        <v>212187</v>
      </c>
      <c r="Y181" s="167">
        <f>'Toll Roads'!Y358</f>
        <v>202440</v>
      </c>
      <c r="Z181" s="165">
        <f>'Toll Roads'!Z358</f>
        <v>194140</v>
      </c>
      <c r="AA181" s="165">
        <f>'Toll Roads'!AD358</f>
        <v>205779</v>
      </c>
      <c r="AB181" s="165">
        <f t="shared" si="699"/>
        <v>211636</v>
      </c>
      <c r="AC181" s="165">
        <f>'Toll Roads'!AC358</f>
        <v>194140</v>
      </c>
      <c r="AD181" s="165">
        <f>'Toll Roads'!AD358</f>
        <v>205779</v>
      </c>
      <c r="AE181" s="165">
        <f>'Toll Roads'!AE358</f>
        <v>211636</v>
      </c>
      <c r="AF181" s="165">
        <v>210075</v>
      </c>
      <c r="AG181" s="165">
        <v>200401</v>
      </c>
      <c r="AH181" s="165">
        <v>186673</v>
      </c>
      <c r="AI181" s="165">
        <v>177650</v>
      </c>
      <c r="AJ181" s="165">
        <v>200401</v>
      </c>
      <c r="AK181" s="165">
        <v>186673</v>
      </c>
      <c r="AL181" s="260">
        <v>177650</v>
      </c>
      <c r="AM181" s="165">
        <v>163044</v>
      </c>
      <c r="AN181" s="165">
        <f t="shared" si="701"/>
        <v>112537</v>
      </c>
      <c r="AO181" s="165"/>
      <c r="AP181" s="165">
        <f t="shared" si="606"/>
        <v>-5391.7878269200883</v>
      </c>
      <c r="AQ181" s="165">
        <v>112537</v>
      </c>
      <c r="AR181" s="165">
        <v>92660.609689677018</v>
      </c>
      <c r="AS181" s="260">
        <v>87268.821862756929</v>
      </c>
      <c r="AT181" s="165">
        <v>98380</v>
      </c>
      <c r="AU181" s="165">
        <f t="shared" si="717"/>
        <v>103706</v>
      </c>
      <c r="AV181" s="165">
        <f t="shared" si="718"/>
        <v>95227</v>
      </c>
      <c r="AW181" s="165">
        <f t="shared" si="703"/>
        <v>78881</v>
      </c>
      <c r="AX181" s="165">
        <v>103706</v>
      </c>
      <c r="AY181" s="165">
        <v>95227</v>
      </c>
      <c r="AZ181" s="165">
        <v>78881</v>
      </c>
      <c r="BA181" s="165">
        <v>58333</v>
      </c>
      <c r="BB181" s="165">
        <f t="shared" si="719"/>
        <v>19632</v>
      </c>
      <c r="BC181" s="165">
        <f t="shared" si="720"/>
        <v>4744</v>
      </c>
      <c r="BD181" s="165">
        <f t="shared" si="720"/>
        <v>-3737</v>
      </c>
      <c r="BE181" s="165">
        <v>19632</v>
      </c>
      <c r="BF181" s="165">
        <v>4744</v>
      </c>
      <c r="BG181" s="165">
        <v>-3737</v>
      </c>
      <c r="BH181" s="165">
        <v>-11241</v>
      </c>
      <c r="BI181" s="165">
        <f t="shared" ref="BI181:BJ183" si="721">BL181</f>
        <v>-3541</v>
      </c>
      <c r="BJ181" s="165">
        <f t="shared" si="721"/>
        <v>-4459</v>
      </c>
      <c r="BK181" s="165">
        <f t="shared" ref="BK181:BK183" si="722">BN181</f>
        <v>-5593</v>
      </c>
      <c r="BL181" s="165">
        <v>-3541</v>
      </c>
      <c r="BM181" s="165">
        <v>-4459</v>
      </c>
      <c r="BN181" s="165">
        <v>-5593</v>
      </c>
      <c r="BO181" s="165">
        <v>-720</v>
      </c>
      <c r="BP181" s="201">
        <f t="shared" ref="BP181:BQ183" si="723">BS181</f>
        <v>-174</v>
      </c>
      <c r="BQ181" s="201">
        <f t="shared" si="723"/>
        <v>-31</v>
      </c>
      <c r="BR181" s="201">
        <f t="shared" ref="BR181:BR183" si="724">BU181</f>
        <v>-14</v>
      </c>
      <c r="BS181" s="165">
        <v>-174</v>
      </c>
      <c r="BT181" s="165">
        <v>-31</v>
      </c>
      <c r="BU181" s="165">
        <v>-14</v>
      </c>
      <c r="BV181" s="165">
        <v>-22</v>
      </c>
      <c r="BW181" s="201">
        <f t="shared" ref="BW181:BW183" si="725">BZ181</f>
        <v>-26</v>
      </c>
      <c r="BX181" s="201">
        <f t="shared" ref="BX181:BX183" si="726">CA181</f>
        <v>-55</v>
      </c>
      <c r="BY181" s="201">
        <f t="shared" ref="BY181:BY183" si="727">CB181</f>
        <v>-67</v>
      </c>
      <c r="BZ181" s="165">
        <v>-26</v>
      </c>
      <c r="CA181" s="165">
        <v>-55</v>
      </c>
      <c r="CB181" s="165">
        <v>-67</v>
      </c>
      <c r="CC181" s="165">
        <v>-29</v>
      </c>
      <c r="CD181" s="201">
        <f t="shared" ref="CD181:CD183" si="728">CG181</f>
        <v>-61</v>
      </c>
      <c r="CE181" s="201">
        <f t="shared" ref="CE181:CF183" si="729">CH181</f>
        <v>-182</v>
      </c>
      <c r="CF181" s="201">
        <f t="shared" si="729"/>
        <v>-276</v>
      </c>
      <c r="CG181" s="165">
        <v>-61</v>
      </c>
      <c r="CH181" s="165">
        <v>-182</v>
      </c>
      <c r="CI181" s="165">
        <v>-276</v>
      </c>
      <c r="CJ181" s="165">
        <v>126</v>
      </c>
      <c r="CK181" s="201">
        <f t="shared" ref="CK181:CK183" si="730">CN181</f>
        <v>41</v>
      </c>
      <c r="CL181" s="165"/>
      <c r="CM181" s="165"/>
      <c r="CN181" s="165">
        <v>41</v>
      </c>
      <c r="CO181" s="165"/>
    </row>
    <row r="182" spans="1:93" s="92" customFormat="1" x14ac:dyDescent="0.25">
      <c r="A182" s="164" t="str">
        <f>Language!AA180</f>
        <v>Concebra</v>
      </c>
      <c r="B182" s="165"/>
      <c r="C182" s="165"/>
      <c r="D182" s="165"/>
      <c r="E182" s="166"/>
      <c r="F182" s="165"/>
      <c r="G182" s="165"/>
      <c r="H182" s="165"/>
      <c r="I182" s="166"/>
      <c r="J182" s="165"/>
      <c r="K182" s="165"/>
      <c r="L182" s="165"/>
      <c r="M182" s="166"/>
      <c r="N182" s="165">
        <f>'Toll Roads'!N359</f>
        <v>-228188</v>
      </c>
      <c r="O182" s="165">
        <f>'Toll Roads'!O359</f>
        <v>-95785</v>
      </c>
      <c r="P182" s="165">
        <f>'Toll Roads'!P359</f>
        <v>76588</v>
      </c>
      <c r="Q182" s="165">
        <f>'Toll Roads'!Q359</f>
        <v>285292</v>
      </c>
      <c r="R182" s="167">
        <f>'Toll Roads'!R359</f>
        <v>510412</v>
      </c>
      <c r="S182" s="165">
        <f>'Toll Roads'!S359</f>
        <v>702840</v>
      </c>
      <c r="T182" s="165">
        <f>'Toll Roads'!W359</f>
        <v>772935</v>
      </c>
      <c r="U182" s="165">
        <f t="shared" si="697"/>
        <v>865241</v>
      </c>
      <c r="V182" s="165">
        <f>'Toll Roads'!V359</f>
        <v>1213252</v>
      </c>
      <c r="W182" s="165">
        <f>'Toll Roads'!X359</f>
        <v>865241</v>
      </c>
      <c r="X182" s="165">
        <f>'Toll Roads'!X359</f>
        <v>865241</v>
      </c>
      <c r="Y182" s="167">
        <f>'Toll Roads'!Y359</f>
        <v>878828</v>
      </c>
      <c r="Z182" s="165">
        <f>'Toll Roads'!Z359</f>
        <v>898258</v>
      </c>
      <c r="AA182" s="165">
        <f>'Toll Roads'!AD359</f>
        <v>916224</v>
      </c>
      <c r="AB182" s="165">
        <f t="shared" si="699"/>
        <v>899147</v>
      </c>
      <c r="AC182" s="165">
        <f>'Toll Roads'!AC359</f>
        <v>898258</v>
      </c>
      <c r="AD182" s="165">
        <f>'Toll Roads'!AD359</f>
        <v>916224</v>
      </c>
      <c r="AE182" s="165">
        <f>'Toll Roads'!AE359</f>
        <v>899147</v>
      </c>
      <c r="AF182" s="165">
        <v>945814</v>
      </c>
      <c r="AG182" s="165">
        <v>962105</v>
      </c>
      <c r="AH182" s="165">
        <v>922571</v>
      </c>
      <c r="AI182" s="165">
        <v>929030</v>
      </c>
      <c r="AJ182" s="165">
        <v>962105</v>
      </c>
      <c r="AK182" s="165">
        <v>922571</v>
      </c>
      <c r="AL182" s="260">
        <v>929030</v>
      </c>
      <c r="AM182" s="165">
        <v>941831</v>
      </c>
      <c r="AN182" s="165">
        <f t="shared" si="701"/>
        <v>961602</v>
      </c>
      <c r="AO182" s="165"/>
      <c r="AP182" s="165">
        <f t="shared" si="606"/>
        <v>23043.618127466645</v>
      </c>
      <c r="AQ182" s="165">
        <v>961602</v>
      </c>
      <c r="AR182" s="165">
        <v>973406.83883611287</v>
      </c>
      <c r="AS182" s="260">
        <v>996450.45696357952</v>
      </c>
      <c r="AT182" s="165">
        <v>1011667</v>
      </c>
      <c r="AU182" s="165">
        <f t="shared" si="717"/>
        <v>1040774</v>
      </c>
      <c r="AV182" s="165">
        <f t="shared" si="718"/>
        <v>1078982</v>
      </c>
      <c r="AW182" s="165">
        <f t="shared" si="703"/>
        <v>1087476</v>
      </c>
      <c r="AX182" s="165">
        <v>1040774</v>
      </c>
      <c r="AY182" s="165">
        <v>1078982</v>
      </c>
      <c r="AZ182" s="165">
        <v>1087476</v>
      </c>
      <c r="BA182" s="165">
        <v>1073186</v>
      </c>
      <c r="BB182" s="165">
        <f t="shared" si="719"/>
        <v>1080063</v>
      </c>
      <c r="BC182" s="165">
        <f t="shared" si="720"/>
        <v>1097647</v>
      </c>
      <c r="BD182" s="165">
        <f t="shared" si="720"/>
        <v>1122919</v>
      </c>
      <c r="BE182" s="165">
        <v>1080063</v>
      </c>
      <c r="BF182" s="165">
        <v>1097647</v>
      </c>
      <c r="BG182" s="165">
        <v>1122919</v>
      </c>
      <c r="BH182" s="165">
        <v>1147026</v>
      </c>
      <c r="BI182" s="165">
        <f t="shared" si="721"/>
        <v>1162278</v>
      </c>
      <c r="BJ182" s="165">
        <f t="shared" si="721"/>
        <v>1170107</v>
      </c>
      <c r="BK182" s="165">
        <f t="shared" si="722"/>
        <v>1204534</v>
      </c>
      <c r="BL182" s="165">
        <v>1162278</v>
      </c>
      <c r="BM182" s="165">
        <v>1170107</v>
      </c>
      <c r="BN182" s="165">
        <v>1204534</v>
      </c>
      <c r="BO182" s="165">
        <v>1223961</v>
      </c>
      <c r="BP182" s="201">
        <f t="shared" si="723"/>
        <v>1241154</v>
      </c>
      <c r="BQ182" s="201">
        <f t="shared" si="723"/>
        <v>1196498</v>
      </c>
      <c r="BR182" s="201">
        <f t="shared" si="724"/>
        <v>1177984</v>
      </c>
      <c r="BS182" s="165">
        <v>1241154</v>
      </c>
      <c r="BT182" s="165">
        <v>1196498</v>
      </c>
      <c r="BU182" s="165">
        <v>1177984</v>
      </c>
      <c r="BV182" s="165">
        <v>1168360</v>
      </c>
      <c r="BW182" s="201">
        <f t="shared" si="725"/>
        <v>1155801</v>
      </c>
      <c r="BX182" s="201">
        <f t="shared" si="726"/>
        <v>1122151</v>
      </c>
      <c r="BY182" s="201">
        <f t="shared" si="727"/>
        <v>1090344</v>
      </c>
      <c r="BZ182" s="165">
        <v>1155801</v>
      </c>
      <c r="CA182" s="165">
        <v>1122151</v>
      </c>
      <c r="CB182" s="165">
        <v>1090344</v>
      </c>
      <c r="CC182" s="165">
        <v>1071936</v>
      </c>
      <c r="CD182" s="201">
        <f t="shared" si="728"/>
        <v>1051748</v>
      </c>
      <c r="CE182" s="201">
        <f t="shared" si="729"/>
        <v>1019075</v>
      </c>
      <c r="CF182" s="201">
        <f t="shared" si="729"/>
        <v>989655</v>
      </c>
      <c r="CG182" s="165">
        <v>1051748</v>
      </c>
      <c r="CH182" s="165">
        <v>1019075</v>
      </c>
      <c r="CI182" s="165">
        <v>989655</v>
      </c>
      <c r="CJ182" s="165">
        <v>963077</v>
      </c>
      <c r="CK182" s="201">
        <f t="shared" si="730"/>
        <v>957050</v>
      </c>
      <c r="CL182" s="165"/>
      <c r="CM182" s="165"/>
      <c r="CN182" s="165">
        <v>957050</v>
      </c>
      <c r="CO182" s="165"/>
    </row>
    <row r="183" spans="1:93" s="92" customFormat="1" x14ac:dyDescent="0.25">
      <c r="A183" s="164" t="str">
        <f>Language!AA181</f>
        <v>Transbrasiliana</v>
      </c>
      <c r="B183" s="165"/>
      <c r="C183" s="165"/>
      <c r="D183" s="165"/>
      <c r="E183" s="166"/>
      <c r="F183" s="165"/>
      <c r="G183" s="165"/>
      <c r="H183" s="165"/>
      <c r="I183" s="166"/>
      <c r="J183" s="165"/>
      <c r="K183" s="165"/>
      <c r="L183" s="165"/>
      <c r="M183" s="166"/>
      <c r="N183" s="165"/>
      <c r="O183" s="165"/>
      <c r="P183" s="165"/>
      <c r="Q183" s="165"/>
      <c r="R183" s="167"/>
      <c r="S183" s="165"/>
      <c r="T183" s="165"/>
      <c r="U183" s="165">
        <f t="shared" si="697"/>
        <v>326432</v>
      </c>
      <c r="V183" s="165">
        <f>'Toll Roads'!V360</f>
        <v>656563</v>
      </c>
      <c r="W183" s="165"/>
      <c r="X183" s="165">
        <f>'Toll Roads'!X360</f>
        <v>326432</v>
      </c>
      <c r="Y183" s="167">
        <f>'Toll Roads'!Y360</f>
        <v>347169</v>
      </c>
      <c r="Z183" s="165">
        <f>'Toll Roads'!Z360</f>
        <v>351912</v>
      </c>
      <c r="AA183" s="165"/>
      <c r="AB183" s="165">
        <f t="shared" si="699"/>
        <v>358815</v>
      </c>
      <c r="AC183" s="165">
        <f>'Toll Roads'!AC360</f>
        <v>351912</v>
      </c>
      <c r="AD183" s="165">
        <f>'Toll Roads'!AD360</f>
        <v>354938</v>
      </c>
      <c r="AE183" s="165">
        <f>'Toll Roads'!AE360</f>
        <v>358815</v>
      </c>
      <c r="AF183" s="165">
        <v>349294</v>
      </c>
      <c r="AG183" s="165">
        <v>350511</v>
      </c>
      <c r="AH183" s="165">
        <v>352133</v>
      </c>
      <c r="AI183" s="165">
        <v>261975</v>
      </c>
      <c r="AJ183" s="165">
        <v>350511</v>
      </c>
      <c r="AK183" s="165">
        <v>352133</v>
      </c>
      <c r="AL183" s="260">
        <v>261975</v>
      </c>
      <c r="AM183" s="165">
        <v>251617</v>
      </c>
      <c r="AN183" s="165">
        <f t="shared" si="701"/>
        <v>253611</v>
      </c>
      <c r="AO183" s="165"/>
      <c r="AP183" s="165">
        <f t="shared" si="606"/>
        <v>8410.5079618585296</v>
      </c>
      <c r="AQ183" s="165">
        <v>253611</v>
      </c>
      <c r="AR183" s="165">
        <v>255922.77874181973</v>
      </c>
      <c r="AS183" s="260">
        <v>264333.28670367826</v>
      </c>
      <c r="AT183" s="165">
        <v>263273</v>
      </c>
      <c r="AU183" s="165">
        <f t="shared" si="717"/>
        <v>260744</v>
      </c>
      <c r="AV183" s="165">
        <f t="shared" si="718"/>
        <v>257037</v>
      </c>
      <c r="AW183" s="165">
        <f t="shared" si="703"/>
        <v>272861</v>
      </c>
      <c r="AX183" s="165">
        <v>260744</v>
      </c>
      <c r="AY183" s="165">
        <v>257037</v>
      </c>
      <c r="AZ183" s="165">
        <v>272861</v>
      </c>
      <c r="BA183" s="165">
        <v>276470</v>
      </c>
      <c r="BB183" s="165">
        <f t="shared" si="719"/>
        <v>279639</v>
      </c>
      <c r="BC183" s="165">
        <f t="shared" si="720"/>
        <v>287902</v>
      </c>
      <c r="BD183" s="165">
        <f t="shared" si="720"/>
        <v>268762</v>
      </c>
      <c r="BE183" s="165">
        <v>279639</v>
      </c>
      <c r="BF183" s="165">
        <v>287902</v>
      </c>
      <c r="BG183" s="165">
        <v>268762</v>
      </c>
      <c r="BH183" s="165">
        <v>267174</v>
      </c>
      <c r="BI183" s="165">
        <f t="shared" si="721"/>
        <v>250383</v>
      </c>
      <c r="BJ183" s="165">
        <f t="shared" si="721"/>
        <v>181499</v>
      </c>
      <c r="BK183" s="165">
        <f t="shared" si="722"/>
        <v>176283</v>
      </c>
      <c r="BL183" s="165">
        <v>250383</v>
      </c>
      <c r="BM183" s="165">
        <v>181499</v>
      </c>
      <c r="BN183" s="165">
        <v>176283</v>
      </c>
      <c r="BO183" s="165">
        <v>159944</v>
      </c>
      <c r="BP183" s="201">
        <f t="shared" si="723"/>
        <v>224199</v>
      </c>
      <c r="BQ183" s="201">
        <f t="shared" si="723"/>
        <v>245350</v>
      </c>
      <c r="BR183" s="201">
        <f t="shared" si="724"/>
        <v>254859</v>
      </c>
      <c r="BS183" s="165">
        <v>224199</v>
      </c>
      <c r="BT183" s="165">
        <v>245350</v>
      </c>
      <c r="BU183" s="165">
        <v>254859</v>
      </c>
      <c r="BV183" s="165">
        <v>269113</v>
      </c>
      <c r="BW183" s="201">
        <f t="shared" si="725"/>
        <v>293393</v>
      </c>
      <c r="BX183" s="201">
        <f t="shared" si="726"/>
        <v>297220</v>
      </c>
      <c r="BY183" s="201">
        <f t="shared" si="727"/>
        <v>293795</v>
      </c>
      <c r="BZ183" s="165">
        <v>293393</v>
      </c>
      <c r="CA183" s="165">
        <v>297220</v>
      </c>
      <c r="CB183" s="165">
        <v>293795</v>
      </c>
      <c r="CC183" s="165">
        <v>295995</v>
      </c>
      <c r="CD183" s="201">
        <f t="shared" si="728"/>
        <v>299063</v>
      </c>
      <c r="CE183" s="201">
        <f t="shared" si="729"/>
        <v>296248</v>
      </c>
      <c r="CF183" s="201">
        <f t="shared" si="729"/>
        <v>304494</v>
      </c>
      <c r="CG183" s="165">
        <v>299063</v>
      </c>
      <c r="CH183" s="165">
        <v>296248</v>
      </c>
      <c r="CI183" s="165">
        <v>304494</v>
      </c>
      <c r="CJ183" s="165">
        <v>304747</v>
      </c>
      <c r="CK183" s="201">
        <f t="shared" si="730"/>
        <v>308419</v>
      </c>
      <c r="CL183" s="165"/>
      <c r="CM183" s="165"/>
      <c r="CN183" s="165">
        <v>308419</v>
      </c>
      <c r="CO183" s="165"/>
    </row>
    <row r="184" spans="1:93" s="100" customFormat="1" ht="13" x14ac:dyDescent="0.3">
      <c r="A184" s="160" t="str">
        <f>Language!AA182</f>
        <v>Energia</v>
      </c>
      <c r="B184" s="161">
        <f t="shared" ref="B184:K184" si="731">SUM(B185,B186,B188)</f>
        <v>458240</v>
      </c>
      <c r="C184" s="161">
        <f t="shared" si="731"/>
        <v>500722</v>
      </c>
      <c r="D184" s="161">
        <f t="shared" si="731"/>
        <v>313672</v>
      </c>
      <c r="E184" s="162">
        <f t="shared" si="731"/>
        <v>375673</v>
      </c>
      <c r="F184" s="161">
        <f t="shared" si="731"/>
        <v>458239</v>
      </c>
      <c r="G184" s="161">
        <f t="shared" si="731"/>
        <v>500721</v>
      </c>
      <c r="H184" s="161">
        <f t="shared" si="731"/>
        <v>615726</v>
      </c>
      <c r="I184" s="162">
        <f t="shared" si="731"/>
        <v>656630</v>
      </c>
      <c r="J184" s="161">
        <f t="shared" si="731"/>
        <v>732727</v>
      </c>
      <c r="K184" s="161">
        <f t="shared" si="731"/>
        <v>741351</v>
      </c>
      <c r="L184" s="161">
        <f t="shared" ref="L184:Q184" si="732">SUM(L185,L186,L188)</f>
        <v>749347</v>
      </c>
      <c r="M184" s="162">
        <f t="shared" si="732"/>
        <v>762750</v>
      </c>
      <c r="N184" s="161">
        <f t="shared" si="732"/>
        <v>765284</v>
      </c>
      <c r="O184" s="161">
        <f t="shared" si="732"/>
        <v>764782</v>
      </c>
      <c r="P184" s="161">
        <f t="shared" si="732"/>
        <v>772133</v>
      </c>
      <c r="Q184" s="161">
        <f t="shared" si="732"/>
        <v>744408</v>
      </c>
      <c r="R184" s="163">
        <f t="shared" ref="R184:S184" si="733">SUM(R185,R186,R188)</f>
        <v>724826</v>
      </c>
      <c r="S184" s="161">
        <f t="shared" si="733"/>
        <v>732127</v>
      </c>
      <c r="T184" s="161">
        <f t="shared" ref="T184:W184" si="734">SUM(T185,T186,T188)</f>
        <v>756922</v>
      </c>
      <c r="U184" s="161">
        <f t="shared" si="697"/>
        <v>-6480</v>
      </c>
      <c r="V184" s="161">
        <f>SUM(V185,V186,V188,V187)</f>
        <v>725270</v>
      </c>
      <c r="W184" s="161">
        <f t="shared" si="734"/>
        <v>756922</v>
      </c>
      <c r="X184" s="161">
        <f>SUM(X185,X186,X188,X187)</f>
        <v>-6480</v>
      </c>
      <c r="Y184" s="163">
        <f>SUM(Y185,Y186,Y188,Y187)</f>
        <v>-8659</v>
      </c>
      <c r="Z184" s="161">
        <f>SUM(Z185,Z186,Z188,Z187)</f>
        <v>-9763</v>
      </c>
      <c r="AA184" s="161">
        <f t="shared" ref="AA184" si="735">SUM(AA185,AA186,AA188)</f>
        <v>0</v>
      </c>
      <c r="AB184" s="161">
        <f t="shared" si="699"/>
        <v>-11310</v>
      </c>
      <c r="AC184" s="161">
        <f>SUM(AC185,AC186,AC188,AC187)</f>
        <v>-9763</v>
      </c>
      <c r="AD184" s="161">
        <f>SUM(AD185,AD186,AD188,AD187)</f>
        <v>-10453</v>
      </c>
      <c r="AE184" s="161">
        <f t="shared" ref="AE184" si="736">SUM(AE185,AE186,AE188,AE187)</f>
        <v>-11310</v>
      </c>
      <c r="AF184" s="161">
        <v>-12195</v>
      </c>
      <c r="AG184" s="161">
        <v>-9375</v>
      </c>
      <c r="AH184" s="161">
        <v>-10870</v>
      </c>
      <c r="AI184" s="161">
        <v>-9256</v>
      </c>
      <c r="AJ184" s="161">
        <v>-9375</v>
      </c>
      <c r="AK184" s="161">
        <v>-10870</v>
      </c>
      <c r="AL184" s="259">
        <v>-9256</v>
      </c>
      <c r="AM184" s="161">
        <f>SUM(AM185,AM186,AM188,AM187)</f>
        <v>-10734</v>
      </c>
      <c r="AN184" s="161">
        <f t="shared" si="701"/>
        <v>-11807</v>
      </c>
      <c r="AO184" s="161"/>
      <c r="AP184" s="161">
        <f t="shared" si="606"/>
        <v>-7346</v>
      </c>
      <c r="AQ184" s="161">
        <f>SUM(AQ185,AQ186,AQ188,AQ187)</f>
        <v>-11807</v>
      </c>
      <c r="AR184" s="161">
        <f>SUM(AR185,AR186,AR188,AR187)</f>
        <v>-17222</v>
      </c>
      <c r="AS184" s="259">
        <f>SUM(AS185,AS186,AS188,AS187)</f>
        <v>-24568</v>
      </c>
      <c r="AT184" s="161">
        <f>SUM(AT185,AT186,AT188,AT187)</f>
        <v>-19106</v>
      </c>
      <c r="AU184" s="161">
        <f t="shared" ref="AU184" si="737">SUM(AU185,AU186,AU188,AU187)</f>
        <v>-20197</v>
      </c>
      <c r="AV184" s="161">
        <f>SUM(AV185,AV186,AV188,AV187)</f>
        <v>-20993</v>
      </c>
      <c r="AW184" s="161">
        <f t="shared" si="703"/>
        <v>-12130</v>
      </c>
      <c r="AX184" s="161">
        <f t="shared" ref="AX184:BE184" si="738">SUM(AX185,AX186,AX188,AX187)</f>
        <v>-20197</v>
      </c>
      <c r="AY184" s="161">
        <f t="shared" si="738"/>
        <v>-20993</v>
      </c>
      <c r="AZ184" s="161">
        <f t="shared" si="738"/>
        <v>-12130</v>
      </c>
      <c r="BA184" s="161">
        <f t="shared" si="738"/>
        <v>-17526</v>
      </c>
      <c r="BB184" s="161">
        <f t="shared" si="738"/>
        <v>-18654</v>
      </c>
      <c r="BC184" s="161">
        <f t="shared" si="738"/>
        <v>-13046</v>
      </c>
      <c r="BD184" s="161">
        <f t="shared" si="738"/>
        <v>-12703</v>
      </c>
      <c r="BE184" s="161">
        <f t="shared" si="738"/>
        <v>-18654</v>
      </c>
      <c r="BF184" s="161">
        <f t="shared" ref="BF184:BG184" si="739">SUM(BF185,BF186,BF188,BF187)</f>
        <v>-13046</v>
      </c>
      <c r="BG184" s="161">
        <f t="shared" si="739"/>
        <v>-12703</v>
      </c>
      <c r="BH184" s="161">
        <f t="shared" ref="BH184:BL184" si="740">SUM(BH185,BH186,BH188,BH187)</f>
        <v>-13185</v>
      </c>
      <c r="BI184" s="161">
        <f t="shared" si="740"/>
        <v>-7391</v>
      </c>
      <c r="BJ184" s="161">
        <f t="shared" si="740"/>
        <v>-12321</v>
      </c>
      <c r="BK184" s="161">
        <f t="shared" si="740"/>
        <v>-10240</v>
      </c>
      <c r="BL184" s="161">
        <f t="shared" si="740"/>
        <v>-7391</v>
      </c>
      <c r="BM184" s="161">
        <f t="shared" ref="BM184:BN184" si="741">SUM(BM185,BM186,BM188,BM187)</f>
        <v>-12321</v>
      </c>
      <c r="BN184" s="161">
        <f t="shared" si="741"/>
        <v>-10240</v>
      </c>
      <c r="BO184" s="161">
        <f t="shared" ref="BO184:BP184" si="742">SUM(BO185,BO186,BO188,BO187)</f>
        <v>-16011</v>
      </c>
      <c r="BP184" s="161">
        <f t="shared" si="742"/>
        <v>-20732</v>
      </c>
      <c r="BQ184" s="161">
        <f t="shared" ref="BQ184:BS184" si="743">SUM(BQ185,BQ186,BQ188,BQ187)</f>
        <v>-26417</v>
      </c>
      <c r="BR184" s="161">
        <f t="shared" si="743"/>
        <v>-19254</v>
      </c>
      <c r="BS184" s="161">
        <f t="shared" si="743"/>
        <v>-20732</v>
      </c>
      <c r="BT184" s="161">
        <f t="shared" ref="BT184:BU184" si="744">SUM(BT185,BT186,BT188,BT187)</f>
        <v>-26417</v>
      </c>
      <c r="BU184" s="161">
        <f t="shared" si="744"/>
        <v>-19254</v>
      </c>
      <c r="BV184" s="161">
        <f t="shared" ref="BV184" si="745">SUM(BV185,BV186,BV188,BV187)</f>
        <v>-21056</v>
      </c>
      <c r="BW184" s="161">
        <f t="shared" ref="BW184:CB184" si="746">SUM(BW185,BW186,BW188,BW187)</f>
        <v>-21170</v>
      </c>
      <c r="BX184" s="161">
        <f t="shared" si="746"/>
        <v>-21898</v>
      </c>
      <c r="BY184" s="161">
        <f t="shared" si="746"/>
        <v>-14774</v>
      </c>
      <c r="BZ184" s="161">
        <f t="shared" si="746"/>
        <v>-21170</v>
      </c>
      <c r="CA184" s="161">
        <f t="shared" si="746"/>
        <v>-21898</v>
      </c>
      <c r="CB184" s="161">
        <f t="shared" si="746"/>
        <v>-14774</v>
      </c>
      <c r="CC184" s="161">
        <f t="shared" ref="CC184:CD184" si="747">SUM(CC185,CC186,CC188,CC187)</f>
        <v>-22777</v>
      </c>
      <c r="CD184" s="161">
        <f t="shared" si="747"/>
        <v>-29344</v>
      </c>
      <c r="CE184" s="161">
        <f t="shared" ref="CE184:CG184" si="748">SUM(CE185,CE186,CE188,CE187)</f>
        <v>-32298</v>
      </c>
      <c r="CF184" s="161">
        <f t="shared" si="748"/>
        <v>-17240</v>
      </c>
      <c r="CG184" s="161">
        <f t="shared" si="748"/>
        <v>-29344</v>
      </c>
      <c r="CH184" s="161">
        <f t="shared" ref="CH184:CI184" si="749">SUM(CH185,CH186,CH188,CH187)</f>
        <v>-32298</v>
      </c>
      <c r="CI184" s="161">
        <f t="shared" si="749"/>
        <v>-17240</v>
      </c>
      <c r="CJ184" s="161">
        <v>-23007</v>
      </c>
      <c r="CK184" s="161">
        <f t="shared" ref="CK184:CO184" si="750">SUM(CK185,CK186,CK188,CK187)</f>
        <v>-17327</v>
      </c>
      <c r="CL184" s="161">
        <f t="shared" si="750"/>
        <v>0</v>
      </c>
      <c r="CM184" s="161">
        <f t="shared" si="750"/>
        <v>0</v>
      </c>
      <c r="CN184" s="161">
        <f t="shared" si="750"/>
        <v>-17327</v>
      </c>
      <c r="CO184" s="161">
        <f t="shared" si="750"/>
        <v>0</v>
      </c>
    </row>
    <row r="185" spans="1:93" s="92" customFormat="1" x14ac:dyDescent="0.25">
      <c r="A185" s="164" t="str">
        <f>Language!AA183</f>
        <v>Rio Verde</v>
      </c>
      <c r="B185" s="165">
        <f>Energy!B213</f>
        <v>294436</v>
      </c>
      <c r="C185" s="165">
        <f>Energy!C213</f>
        <v>296372</v>
      </c>
      <c r="D185" s="165">
        <f>Energy!D213</f>
        <v>316286</v>
      </c>
      <c r="E185" s="166">
        <f>Energy!E213</f>
        <v>308442</v>
      </c>
      <c r="F185" s="165">
        <f>Energy!F213</f>
        <v>294436</v>
      </c>
      <c r="G185" s="165">
        <f>Energy!G213</f>
        <v>296372</v>
      </c>
      <c r="H185" s="165">
        <f>Energy!H213</f>
        <v>282940</v>
      </c>
      <c r="I185" s="166">
        <f>Energy!I213</f>
        <v>286662</v>
      </c>
      <c r="J185" s="165">
        <f>Energy!J213</f>
        <v>282362</v>
      </c>
      <c r="K185" s="165">
        <f>Energy!K213</f>
        <v>273164</v>
      </c>
      <c r="L185" s="165">
        <f>Energy!L213</f>
        <v>268188</v>
      </c>
      <c r="M185" s="166">
        <f>Energy!M213</f>
        <v>265135</v>
      </c>
      <c r="N185" s="165">
        <f>Energy!N213</f>
        <v>257270</v>
      </c>
      <c r="O185" s="165">
        <f>Energy!O213</f>
        <v>251455</v>
      </c>
      <c r="P185" s="165">
        <f>Energy!P213</f>
        <v>243626</v>
      </c>
      <c r="Q185" s="165">
        <f>Energy!Q213</f>
        <v>240879</v>
      </c>
      <c r="R185" s="167">
        <f>Energy!R213</f>
        <v>233107</v>
      </c>
      <c r="S185" s="165">
        <f>Energy!S213</f>
        <v>229005</v>
      </c>
      <c r="T185" s="165">
        <f>Energy!T213</f>
        <v>223262</v>
      </c>
      <c r="U185" s="165">
        <f t="shared" si="697"/>
        <v>0</v>
      </c>
      <c r="V185" s="165">
        <f>Energy!V213</f>
        <v>229005</v>
      </c>
      <c r="W185" s="165">
        <f>Energy!W213</f>
        <v>223262</v>
      </c>
      <c r="X185" s="165">
        <f>Energy!X213</f>
        <v>0</v>
      </c>
      <c r="Y185" s="167">
        <f>Energy!Y213</f>
        <v>0</v>
      </c>
      <c r="Z185" s="165">
        <f>Energy!Z213</f>
        <v>0</v>
      </c>
      <c r="AA185" s="165">
        <f>Energy!AA213</f>
        <v>0</v>
      </c>
      <c r="AB185" s="165">
        <f t="shared" si="699"/>
        <v>0</v>
      </c>
      <c r="AC185" s="165">
        <f>Energy!AC213</f>
        <v>0</v>
      </c>
      <c r="AD185" s="165">
        <f>Energy!AD213</f>
        <v>0</v>
      </c>
      <c r="AE185" s="165">
        <f>Energy!AE213</f>
        <v>0</v>
      </c>
      <c r="AF185" s="165">
        <v>0</v>
      </c>
      <c r="AG185" s="165">
        <v>0</v>
      </c>
      <c r="AH185" s="165">
        <v>0</v>
      </c>
      <c r="AI185" s="165">
        <v>0</v>
      </c>
      <c r="AJ185" s="165">
        <v>0</v>
      </c>
      <c r="AK185" s="165">
        <v>0</v>
      </c>
      <c r="AL185" s="260">
        <v>0</v>
      </c>
      <c r="AM185" s="165">
        <f>Energy!AM213</f>
        <v>0</v>
      </c>
      <c r="AN185" s="165">
        <f t="shared" si="701"/>
        <v>0</v>
      </c>
      <c r="AO185" s="165"/>
      <c r="AP185" s="165">
        <f t="shared" si="606"/>
        <v>0</v>
      </c>
      <c r="AQ185" s="165">
        <v>0</v>
      </c>
      <c r="AR185" s="165"/>
      <c r="AS185" s="260"/>
      <c r="AT185" s="165"/>
      <c r="AU185" s="165"/>
      <c r="AV185" s="165">
        <f t="shared" ref="AV185:AV188" si="751">AY185</f>
        <v>0</v>
      </c>
      <c r="AW185" s="165">
        <f t="shared" si="703"/>
        <v>0</v>
      </c>
      <c r="AX185" s="165"/>
      <c r="AY185" s="165"/>
      <c r="AZ185" s="165">
        <v>0</v>
      </c>
      <c r="BA185" s="165">
        <v>0</v>
      </c>
      <c r="BB185" s="165">
        <v>0</v>
      </c>
      <c r="BC185" s="165">
        <f t="shared" ref="BC185:BD190" si="752">BF185</f>
        <v>0</v>
      </c>
      <c r="BD185" s="165"/>
      <c r="BE185" s="165">
        <v>0</v>
      </c>
      <c r="BF185" s="165">
        <v>0</v>
      </c>
      <c r="BG185" s="165">
        <v>0</v>
      </c>
      <c r="BH185" s="165">
        <v>0</v>
      </c>
      <c r="BI185" s="165">
        <v>0</v>
      </c>
      <c r="BJ185" s="165">
        <v>0</v>
      </c>
      <c r="BK185" s="165">
        <v>0</v>
      </c>
      <c r="BL185" s="165">
        <v>0</v>
      </c>
      <c r="BM185" s="165">
        <v>0</v>
      </c>
      <c r="BN185" s="165">
        <v>0</v>
      </c>
      <c r="BO185" s="165">
        <v>0</v>
      </c>
      <c r="BP185" s="165">
        <v>0</v>
      </c>
      <c r="BQ185" s="165">
        <v>0</v>
      </c>
      <c r="BR185" s="165">
        <v>0</v>
      </c>
      <c r="BS185" s="165">
        <v>0</v>
      </c>
      <c r="BT185" s="165">
        <v>0</v>
      </c>
      <c r="BU185" s="165">
        <v>0</v>
      </c>
      <c r="BV185" s="165">
        <v>0</v>
      </c>
      <c r="BW185" s="165">
        <v>0</v>
      </c>
      <c r="BX185" s="165">
        <v>0</v>
      </c>
      <c r="BY185" s="165">
        <v>0</v>
      </c>
      <c r="BZ185" s="165">
        <v>0</v>
      </c>
      <c r="CA185" s="165">
        <v>0</v>
      </c>
      <c r="CB185" s="165">
        <v>0</v>
      </c>
      <c r="CC185" s="165">
        <v>0</v>
      </c>
      <c r="CD185" s="165">
        <v>0</v>
      </c>
      <c r="CE185" s="165">
        <v>0</v>
      </c>
      <c r="CF185" s="165">
        <v>0</v>
      </c>
      <c r="CG185" s="165">
        <v>0</v>
      </c>
      <c r="CH185" s="165">
        <v>0</v>
      </c>
      <c r="CI185" s="165">
        <v>0</v>
      </c>
      <c r="CJ185" s="165">
        <v>0</v>
      </c>
      <c r="CK185" s="165">
        <v>0</v>
      </c>
      <c r="CL185" s="165">
        <v>0</v>
      </c>
      <c r="CM185" s="165">
        <v>0</v>
      </c>
      <c r="CN185" s="165">
        <v>0</v>
      </c>
      <c r="CO185" s="165">
        <v>0</v>
      </c>
    </row>
    <row r="186" spans="1:93" s="92" customFormat="1" x14ac:dyDescent="0.25">
      <c r="A186" s="164" t="str">
        <f>Language!AA184</f>
        <v>Rio Canoas</v>
      </c>
      <c r="B186" s="165">
        <f>Energy!B214</f>
        <v>163804</v>
      </c>
      <c r="C186" s="165">
        <f>Energy!C214</f>
        <v>204350</v>
      </c>
      <c r="D186" s="165">
        <f>Energy!D214</f>
        <v>-2613</v>
      </c>
      <c r="E186" s="166">
        <f>Energy!E214</f>
        <v>67231</v>
      </c>
      <c r="F186" s="165">
        <f>Energy!F214</f>
        <v>163804</v>
      </c>
      <c r="G186" s="165">
        <f>Energy!G214</f>
        <v>204350</v>
      </c>
      <c r="H186" s="165">
        <f>Energy!H214</f>
        <v>332787</v>
      </c>
      <c r="I186" s="166">
        <f>Energy!I214</f>
        <v>370816</v>
      </c>
      <c r="J186" s="165">
        <f>Energy!J214</f>
        <v>452134</v>
      </c>
      <c r="K186" s="165">
        <f>Energy!K214</f>
        <v>468206</v>
      </c>
      <c r="L186" s="165">
        <f>Energy!L214</f>
        <v>481203</v>
      </c>
      <c r="M186" s="166">
        <f>Energy!M214</f>
        <v>497672</v>
      </c>
      <c r="N186" s="165">
        <f>Energy!N214</f>
        <v>508653</v>
      </c>
      <c r="O186" s="165">
        <f>Energy!O214</f>
        <v>520636</v>
      </c>
      <c r="P186" s="165">
        <f>Energy!P214</f>
        <v>529927</v>
      </c>
      <c r="Q186" s="165">
        <f>Energy!Q214</f>
        <v>508035</v>
      </c>
      <c r="R186" s="167">
        <f>Energy!R214</f>
        <v>503829</v>
      </c>
      <c r="S186" s="165">
        <f>Energy!S214</f>
        <v>506816</v>
      </c>
      <c r="T186" s="165">
        <f>Energy!T214</f>
        <v>491510</v>
      </c>
      <c r="U186" s="165">
        <f t="shared" si="697"/>
        <v>0</v>
      </c>
      <c r="V186" s="165">
        <f>Energy!V214</f>
        <v>506816</v>
      </c>
      <c r="W186" s="165">
        <f>Energy!W214</f>
        <v>491510</v>
      </c>
      <c r="X186" s="165">
        <f>Energy!X214</f>
        <v>0</v>
      </c>
      <c r="Y186" s="167">
        <f>Energy!Y214</f>
        <v>0</v>
      </c>
      <c r="Z186" s="165">
        <f>Energy!Z214</f>
        <v>0</v>
      </c>
      <c r="AA186" s="165">
        <f>Energy!AA214</f>
        <v>0</v>
      </c>
      <c r="AB186" s="165">
        <f t="shared" si="699"/>
        <v>0</v>
      </c>
      <c r="AC186" s="165">
        <f>Energy!AC214</f>
        <v>0</v>
      </c>
      <c r="AD186" s="165">
        <f>Energy!AD214</f>
        <v>0</v>
      </c>
      <c r="AE186" s="165">
        <f>Energy!AE214</f>
        <v>0</v>
      </c>
      <c r="AF186" s="165">
        <v>0</v>
      </c>
      <c r="AG186" s="165">
        <v>0</v>
      </c>
      <c r="AH186" s="165">
        <v>0</v>
      </c>
      <c r="AI186" s="165">
        <v>0</v>
      </c>
      <c r="AJ186" s="165">
        <v>0</v>
      </c>
      <c r="AK186" s="165">
        <v>0</v>
      </c>
      <c r="AL186" s="260">
        <v>0</v>
      </c>
      <c r="AM186" s="165">
        <f>Energy!AM214</f>
        <v>0</v>
      </c>
      <c r="AN186" s="165">
        <f t="shared" si="701"/>
        <v>0</v>
      </c>
      <c r="AO186" s="165"/>
      <c r="AP186" s="165">
        <f t="shared" si="606"/>
        <v>0</v>
      </c>
      <c r="AQ186" s="165">
        <v>0</v>
      </c>
      <c r="AR186" s="165"/>
      <c r="AS186" s="260"/>
      <c r="AT186" s="165"/>
      <c r="AU186" s="165"/>
      <c r="AV186" s="165">
        <f t="shared" si="751"/>
        <v>0</v>
      </c>
      <c r="AW186" s="165">
        <f t="shared" si="703"/>
        <v>0</v>
      </c>
      <c r="AX186" s="165"/>
      <c r="AY186" s="165"/>
      <c r="AZ186" s="165">
        <v>0</v>
      </c>
      <c r="BA186" s="165">
        <v>0</v>
      </c>
      <c r="BB186" s="165">
        <v>0</v>
      </c>
      <c r="BC186" s="165">
        <f t="shared" si="752"/>
        <v>0</v>
      </c>
      <c r="BD186" s="165"/>
      <c r="BE186" s="165">
        <v>0</v>
      </c>
      <c r="BF186" s="165">
        <v>0</v>
      </c>
      <c r="BG186" s="165">
        <v>0</v>
      </c>
      <c r="BH186" s="165">
        <v>0</v>
      </c>
      <c r="BI186" s="165">
        <v>0</v>
      </c>
      <c r="BJ186" s="165">
        <v>0</v>
      </c>
      <c r="BK186" s="165">
        <v>0</v>
      </c>
      <c r="BL186" s="165">
        <v>0</v>
      </c>
      <c r="BM186" s="165">
        <v>0</v>
      </c>
      <c r="BN186" s="165">
        <v>0</v>
      </c>
      <c r="BO186" s="165">
        <v>0</v>
      </c>
      <c r="BP186" s="165">
        <v>0</v>
      </c>
      <c r="BQ186" s="165">
        <v>0</v>
      </c>
      <c r="BR186" s="165">
        <v>0</v>
      </c>
      <c r="BS186" s="165">
        <v>0</v>
      </c>
      <c r="BT186" s="165">
        <v>0</v>
      </c>
      <c r="BU186" s="165">
        <v>0</v>
      </c>
      <c r="BV186" s="165">
        <v>0</v>
      </c>
      <c r="BW186" s="165">
        <v>0</v>
      </c>
      <c r="BX186" s="165">
        <v>0</v>
      </c>
      <c r="BY186" s="165">
        <v>0</v>
      </c>
      <c r="BZ186" s="165">
        <v>0</v>
      </c>
      <c r="CA186" s="165">
        <v>0</v>
      </c>
      <c r="CB186" s="165">
        <v>0</v>
      </c>
      <c r="CC186" s="165">
        <v>0</v>
      </c>
      <c r="CD186" s="165">
        <v>0</v>
      </c>
      <c r="CE186" s="165">
        <v>0</v>
      </c>
      <c r="CF186" s="165">
        <v>0</v>
      </c>
      <c r="CG186" s="165">
        <v>0</v>
      </c>
      <c r="CH186" s="165">
        <v>0</v>
      </c>
      <c r="CI186" s="165">
        <v>0</v>
      </c>
      <c r="CJ186" s="165">
        <v>0</v>
      </c>
      <c r="CK186" s="165">
        <v>0</v>
      </c>
      <c r="CL186" s="165">
        <v>0</v>
      </c>
      <c r="CM186" s="165">
        <v>0</v>
      </c>
      <c r="CN186" s="165">
        <v>0</v>
      </c>
      <c r="CO186" s="165">
        <v>0</v>
      </c>
    </row>
    <row r="187" spans="1:93" s="92" customFormat="1" x14ac:dyDescent="0.25">
      <c r="A187" s="164" t="str">
        <f>Language!AA185</f>
        <v>Tijoá</v>
      </c>
      <c r="B187" s="165"/>
      <c r="C187" s="165"/>
      <c r="D187" s="165"/>
      <c r="E187" s="166"/>
      <c r="F187" s="165"/>
      <c r="G187" s="165"/>
      <c r="H187" s="165"/>
      <c r="I187" s="166"/>
      <c r="J187" s="165"/>
      <c r="K187" s="165"/>
      <c r="L187" s="165"/>
      <c r="M187" s="166"/>
      <c r="N187" s="165"/>
      <c r="O187" s="165"/>
      <c r="P187" s="165"/>
      <c r="Q187" s="165"/>
      <c r="R187" s="167"/>
      <c r="S187" s="165"/>
      <c r="T187" s="165"/>
      <c r="U187" s="165">
        <f t="shared" si="697"/>
        <v>-6480</v>
      </c>
      <c r="V187" s="165">
        <f>Energy!V215</f>
        <v>-6857</v>
      </c>
      <c r="W187" s="165"/>
      <c r="X187" s="165">
        <f>Energy!X215</f>
        <v>-6480</v>
      </c>
      <c r="Y187" s="167">
        <f>Energy!Y215</f>
        <v>-8659</v>
      </c>
      <c r="Z187" s="165">
        <f>Energy!Z215</f>
        <v>-9763</v>
      </c>
      <c r="AA187" s="165"/>
      <c r="AB187" s="165">
        <f t="shared" si="699"/>
        <v>-11310</v>
      </c>
      <c r="AC187" s="165">
        <f>Energy!AC215</f>
        <v>-9763</v>
      </c>
      <c r="AD187" s="165">
        <f>Energy!AD215</f>
        <v>-10453</v>
      </c>
      <c r="AE187" s="165">
        <f>Energy!AE215</f>
        <v>-11310</v>
      </c>
      <c r="AF187" s="165">
        <v>-12195</v>
      </c>
      <c r="AG187" s="165">
        <v>-9375</v>
      </c>
      <c r="AH187" s="165">
        <v>-10870</v>
      </c>
      <c r="AI187" s="165">
        <v>-7004</v>
      </c>
      <c r="AJ187" s="165">
        <v>-9375</v>
      </c>
      <c r="AK187" s="165">
        <v>-10870</v>
      </c>
      <c r="AL187" s="260">
        <v>-7004</v>
      </c>
      <c r="AM187" s="165">
        <v>-7928</v>
      </c>
      <c r="AN187" s="165">
        <f t="shared" si="701"/>
        <v>-8921</v>
      </c>
      <c r="AO187" s="165"/>
      <c r="AP187" s="165">
        <f t="shared" si="606"/>
        <v>-7266</v>
      </c>
      <c r="AQ187" s="165">
        <v>-8921</v>
      </c>
      <c r="AR187" s="165">
        <v>-13970</v>
      </c>
      <c r="AS187" s="260">
        <v>-21236</v>
      </c>
      <c r="AT187" s="165">
        <v>-16172</v>
      </c>
      <c r="AU187" s="165">
        <f>AX187</f>
        <v>-16468</v>
      </c>
      <c r="AV187" s="165">
        <f t="shared" si="751"/>
        <v>-17163</v>
      </c>
      <c r="AW187" s="165">
        <f t="shared" si="703"/>
        <v>-7526</v>
      </c>
      <c r="AX187" s="165">
        <v>-16468</v>
      </c>
      <c r="AY187" s="165">
        <v>-17163</v>
      </c>
      <c r="AZ187" s="165">
        <v>-7526</v>
      </c>
      <c r="BA187" s="165">
        <v>-14638</v>
      </c>
      <c r="BB187" s="165">
        <f>BE187</f>
        <v>-16302</v>
      </c>
      <c r="BC187" s="165">
        <f t="shared" si="752"/>
        <v>-10718</v>
      </c>
      <c r="BD187" s="165">
        <f t="shared" si="752"/>
        <v>-10413</v>
      </c>
      <c r="BE187" s="165">
        <v>-16302</v>
      </c>
      <c r="BF187" s="165">
        <v>-10718</v>
      </c>
      <c r="BG187" s="165">
        <v>-10413</v>
      </c>
      <c r="BH187" s="165">
        <v>-12625</v>
      </c>
      <c r="BI187" s="165">
        <f t="shared" ref="BI187:BK188" si="753">BL187</f>
        <v>-6857</v>
      </c>
      <c r="BJ187" s="165">
        <f t="shared" si="753"/>
        <v>-10669</v>
      </c>
      <c r="BK187" s="165">
        <f t="shared" si="753"/>
        <v>-6533</v>
      </c>
      <c r="BL187" s="165">
        <v>-6857</v>
      </c>
      <c r="BM187" s="165">
        <v>-10669</v>
      </c>
      <c r="BN187" s="165">
        <v>-6533</v>
      </c>
      <c r="BO187" s="165">
        <v>-15965</v>
      </c>
      <c r="BP187" s="165">
        <f t="shared" ref="BP187:BR188" si="754">BS187</f>
        <v>-17397</v>
      </c>
      <c r="BQ187" s="165">
        <f t="shared" si="754"/>
        <v>-17928</v>
      </c>
      <c r="BR187" s="165">
        <f t="shared" si="754"/>
        <v>-5897</v>
      </c>
      <c r="BS187" s="165">
        <v>-17397</v>
      </c>
      <c r="BT187" s="165">
        <v>-17928</v>
      </c>
      <c r="BU187" s="165">
        <v>-5897</v>
      </c>
      <c r="BV187" s="165">
        <v>-17150</v>
      </c>
      <c r="BW187" s="165">
        <f t="shared" ref="BW187:BY188" si="755">BZ187</f>
        <v>-8794</v>
      </c>
      <c r="BX187" s="165">
        <f t="shared" si="755"/>
        <v>-10979</v>
      </c>
      <c r="BY187" s="165">
        <f t="shared" si="755"/>
        <v>-7573</v>
      </c>
      <c r="BZ187" s="165">
        <v>-8794</v>
      </c>
      <c r="CA187" s="165">
        <v>-10979</v>
      </c>
      <c r="CB187" s="165">
        <v>-7573</v>
      </c>
      <c r="CC187" s="165">
        <v>-15232</v>
      </c>
      <c r="CD187" s="165">
        <f t="shared" ref="CD187:CF188" si="756">CG187</f>
        <v>-5919</v>
      </c>
      <c r="CE187" s="165">
        <f t="shared" si="756"/>
        <v>-10067</v>
      </c>
      <c r="CF187" s="165">
        <f t="shared" si="756"/>
        <v>-10542</v>
      </c>
      <c r="CG187" s="165">
        <v>-5919</v>
      </c>
      <c r="CH187" s="165">
        <v>-10067</v>
      </c>
      <c r="CI187" s="165">
        <v>-10542</v>
      </c>
      <c r="CJ187" s="165">
        <v>-22677</v>
      </c>
      <c r="CK187" s="165">
        <f>CN187</f>
        <v>-17322</v>
      </c>
      <c r="CL187" s="165"/>
      <c r="CM187" s="165"/>
      <c r="CN187" s="165">
        <v>-17322</v>
      </c>
      <c r="CO187" s="165"/>
    </row>
    <row r="188" spans="1:93" s="92" customFormat="1" x14ac:dyDescent="0.25">
      <c r="A188" s="164" t="str">
        <f>Language!AA186</f>
        <v>Outros</v>
      </c>
      <c r="B188" s="165">
        <f>Energy!B216</f>
        <v>0</v>
      </c>
      <c r="C188" s="165">
        <f>Energy!C216</f>
        <v>0</v>
      </c>
      <c r="D188" s="165">
        <f>Energy!D216</f>
        <v>-1</v>
      </c>
      <c r="E188" s="166">
        <f>Energy!E216</f>
        <v>0</v>
      </c>
      <c r="F188" s="165">
        <f>Energy!F216</f>
        <v>-1</v>
      </c>
      <c r="G188" s="165">
        <f>Energy!G216</f>
        <v>-1</v>
      </c>
      <c r="H188" s="165">
        <f>Energy!H216</f>
        <v>-1</v>
      </c>
      <c r="I188" s="166">
        <f>Energy!I216</f>
        <v>-848</v>
      </c>
      <c r="J188" s="165">
        <f>Energy!J216</f>
        <v>-1769</v>
      </c>
      <c r="K188" s="165">
        <f>Energy!K216</f>
        <v>-19</v>
      </c>
      <c r="L188" s="165">
        <f>Energy!L216</f>
        <v>-44</v>
      </c>
      <c r="M188" s="166">
        <f>Energy!M216</f>
        <v>-57</v>
      </c>
      <c r="N188" s="165">
        <f>Energy!N216</f>
        <v>-639</v>
      </c>
      <c r="O188" s="165">
        <f>Energy!O216</f>
        <v>-7309</v>
      </c>
      <c r="P188" s="165">
        <f>Energy!P216</f>
        <v>-1420</v>
      </c>
      <c r="Q188" s="165">
        <f>Energy!Q216</f>
        <v>-4506</v>
      </c>
      <c r="R188" s="167">
        <f>Energy!R216</f>
        <v>-12110</v>
      </c>
      <c r="S188" s="165">
        <f>Energy!S216</f>
        <v>-3694</v>
      </c>
      <c r="T188" s="165">
        <f>Energy!T216</f>
        <v>42150</v>
      </c>
      <c r="U188" s="165">
        <f t="shared" si="697"/>
        <v>0</v>
      </c>
      <c r="V188" s="165">
        <f>Energy!V216</f>
        <v>-3694</v>
      </c>
      <c r="W188" s="165">
        <f>Energy!W216</f>
        <v>42150</v>
      </c>
      <c r="X188" s="165">
        <f>Energy!X216</f>
        <v>0</v>
      </c>
      <c r="Y188" s="167">
        <f>Energy!Y216</f>
        <v>0</v>
      </c>
      <c r="Z188" s="165">
        <f>Energy!Z216</f>
        <v>0</v>
      </c>
      <c r="AA188" s="165">
        <f>Energy!AA216</f>
        <v>0</v>
      </c>
      <c r="AB188" s="165">
        <f t="shared" si="699"/>
        <v>0</v>
      </c>
      <c r="AC188" s="165">
        <f>Energy!AC216</f>
        <v>0</v>
      </c>
      <c r="AD188" s="165">
        <f>Energy!AD216</f>
        <v>0</v>
      </c>
      <c r="AE188" s="165">
        <f>Energy!AE216</f>
        <v>0</v>
      </c>
      <c r="AF188" s="165">
        <v>0</v>
      </c>
      <c r="AG188" s="165">
        <v>0</v>
      </c>
      <c r="AH188" s="165">
        <v>0</v>
      </c>
      <c r="AI188" s="165">
        <v>-2252</v>
      </c>
      <c r="AJ188" s="165">
        <v>0</v>
      </c>
      <c r="AK188" s="165">
        <v>0</v>
      </c>
      <c r="AL188" s="260">
        <v>-2252</v>
      </c>
      <c r="AM188" s="165">
        <v>-2806</v>
      </c>
      <c r="AN188" s="165">
        <f t="shared" si="701"/>
        <v>-2886</v>
      </c>
      <c r="AO188" s="165"/>
      <c r="AP188" s="165">
        <f t="shared" si="606"/>
        <v>-80</v>
      </c>
      <c r="AQ188" s="165">
        <v>-2886</v>
      </c>
      <c r="AR188" s="165">
        <v>-3252</v>
      </c>
      <c r="AS188" s="260">
        <v>-3332</v>
      </c>
      <c r="AT188" s="165">
        <v>-2934</v>
      </c>
      <c r="AU188" s="165">
        <f>AX188</f>
        <v>-3729</v>
      </c>
      <c r="AV188" s="165">
        <f t="shared" si="751"/>
        <v>-3830</v>
      </c>
      <c r="AW188" s="165">
        <f t="shared" si="703"/>
        <v>-4604</v>
      </c>
      <c r="AX188" s="165">
        <v>-3729</v>
      </c>
      <c r="AY188" s="165">
        <v>-3830</v>
      </c>
      <c r="AZ188" s="165">
        <v>-4604</v>
      </c>
      <c r="BA188" s="165">
        <v>-2888</v>
      </c>
      <c r="BB188" s="165">
        <f>BE188</f>
        <v>-2352</v>
      </c>
      <c r="BC188" s="165">
        <f t="shared" si="752"/>
        <v>-2328</v>
      </c>
      <c r="BD188" s="165">
        <f t="shared" si="752"/>
        <v>-2290</v>
      </c>
      <c r="BE188" s="165">
        <v>-2352</v>
      </c>
      <c r="BF188" s="165">
        <v>-2328</v>
      </c>
      <c r="BG188" s="165">
        <v>-2290</v>
      </c>
      <c r="BH188" s="165">
        <v>-560</v>
      </c>
      <c r="BI188" s="165">
        <f t="shared" si="753"/>
        <v>-534</v>
      </c>
      <c r="BJ188" s="165">
        <f t="shared" si="753"/>
        <v>-1652</v>
      </c>
      <c r="BK188" s="165">
        <f t="shared" si="753"/>
        <v>-3707</v>
      </c>
      <c r="BL188" s="165">
        <v>-534</v>
      </c>
      <c r="BM188" s="165">
        <v>-1652</v>
      </c>
      <c r="BN188" s="165">
        <v>-3707</v>
      </c>
      <c r="BO188" s="165">
        <v>-46</v>
      </c>
      <c r="BP188" s="165">
        <f>BS188</f>
        <v>-3335</v>
      </c>
      <c r="BQ188" s="165">
        <f t="shared" si="754"/>
        <v>-8489</v>
      </c>
      <c r="BR188" s="165">
        <f t="shared" si="754"/>
        <v>-13357</v>
      </c>
      <c r="BS188" s="165">
        <v>-3335</v>
      </c>
      <c r="BT188" s="165">
        <v>-8489</v>
      </c>
      <c r="BU188" s="165">
        <v>-13357</v>
      </c>
      <c r="BV188" s="165">
        <v>-3906</v>
      </c>
      <c r="BW188" s="165">
        <f t="shared" si="755"/>
        <v>-12376</v>
      </c>
      <c r="BX188" s="165">
        <f t="shared" si="755"/>
        <v>-10919</v>
      </c>
      <c r="BY188" s="165">
        <f t="shared" si="755"/>
        <v>-7201</v>
      </c>
      <c r="BZ188" s="165">
        <v>-12376</v>
      </c>
      <c r="CA188" s="165">
        <v>-10919</v>
      </c>
      <c r="CB188" s="165">
        <v>-7201</v>
      </c>
      <c r="CC188" s="165">
        <v>-7545</v>
      </c>
      <c r="CD188" s="165">
        <f t="shared" si="756"/>
        <v>-23425</v>
      </c>
      <c r="CE188" s="165">
        <f t="shared" si="756"/>
        <v>-22231</v>
      </c>
      <c r="CF188" s="165">
        <f t="shared" si="756"/>
        <v>-6698</v>
      </c>
      <c r="CG188" s="165">
        <v>-23425</v>
      </c>
      <c r="CH188" s="165">
        <v>-22231</v>
      </c>
      <c r="CI188" s="165">
        <v>-6698</v>
      </c>
      <c r="CJ188" s="165">
        <v>-330</v>
      </c>
      <c r="CK188" s="165">
        <f>CN188</f>
        <v>-5</v>
      </c>
      <c r="CL188" s="165"/>
      <c r="CM188" s="165"/>
      <c r="CN188" s="165">
        <v>-5</v>
      </c>
      <c r="CO188" s="165"/>
    </row>
    <row r="189" spans="1:93" s="100" customFormat="1" ht="13" x14ac:dyDescent="0.3">
      <c r="A189" s="160" t="str">
        <f>Language!AA187</f>
        <v>Portos</v>
      </c>
      <c r="B189" s="161" t="e">
        <f>SUM(B190,B191,B192)</f>
        <v>#REF!</v>
      </c>
      <c r="C189" s="161" t="e">
        <f t="shared" ref="C189:K189" si="757">SUM(C190,C191,C192)</f>
        <v>#REF!</v>
      </c>
      <c r="D189" s="161" t="e">
        <f t="shared" si="757"/>
        <v>#REF!</v>
      </c>
      <c r="E189" s="162" t="e">
        <f t="shared" si="757"/>
        <v>#REF!</v>
      </c>
      <c r="F189" s="161" t="e">
        <f t="shared" si="757"/>
        <v>#REF!</v>
      </c>
      <c r="G189" s="161" t="e">
        <f t="shared" si="757"/>
        <v>#REF!</v>
      </c>
      <c r="H189" s="161" t="e">
        <f t="shared" si="757"/>
        <v>#REF!</v>
      </c>
      <c r="I189" s="162" t="e">
        <f t="shared" si="757"/>
        <v>#REF!</v>
      </c>
      <c r="J189" s="161" t="e">
        <f t="shared" si="757"/>
        <v>#REF!</v>
      </c>
      <c r="K189" s="161" t="e">
        <f t="shared" si="757"/>
        <v>#REF!</v>
      </c>
      <c r="L189" s="161" t="e">
        <f t="shared" ref="L189:M189" si="758">SUM(L190,L191,L192)</f>
        <v>#REF!</v>
      </c>
      <c r="M189" s="162" t="e">
        <f t="shared" si="758"/>
        <v>#REF!</v>
      </c>
      <c r="N189" s="161" t="e">
        <f t="shared" ref="N189:Q189" si="759">SUM(N190,N191,N192)</f>
        <v>#REF!</v>
      </c>
      <c r="O189" s="161" t="e">
        <f t="shared" si="759"/>
        <v>#REF!</v>
      </c>
      <c r="P189" s="161" t="e">
        <f t="shared" si="759"/>
        <v>#REF!</v>
      </c>
      <c r="Q189" s="161" t="e">
        <f t="shared" si="759"/>
        <v>#REF!</v>
      </c>
      <c r="R189" s="163" t="e">
        <f t="shared" ref="R189:S189" si="760">SUM(R190,R191,R192)</f>
        <v>#REF!</v>
      </c>
      <c r="S189" s="161" t="e">
        <f t="shared" si="760"/>
        <v>#REF!</v>
      </c>
      <c r="T189" s="161" t="e">
        <f t="shared" ref="T189:W189" si="761">SUM(T190,T191,T192)</f>
        <v>#REF!</v>
      </c>
      <c r="U189" s="161" t="e">
        <f t="shared" si="697"/>
        <v>#REF!</v>
      </c>
      <c r="V189" s="161" t="e">
        <f t="shared" ref="V189:X189" si="762">SUM(V190,V191,V192)</f>
        <v>#REF!</v>
      </c>
      <c r="W189" s="161" t="e">
        <f t="shared" si="761"/>
        <v>#REF!</v>
      </c>
      <c r="X189" s="161" t="e">
        <f t="shared" si="762"/>
        <v>#REF!</v>
      </c>
      <c r="Y189" s="163" t="e">
        <f t="shared" ref="Y189:AA189" si="763">SUM(Y190,Y191,Y192)</f>
        <v>#REF!</v>
      </c>
      <c r="Z189" s="161" t="e">
        <f t="shared" si="763"/>
        <v>#REF!</v>
      </c>
      <c r="AA189" s="161" t="e">
        <f t="shared" si="763"/>
        <v>#REF!</v>
      </c>
      <c r="AB189" s="161" t="e">
        <f t="shared" si="699"/>
        <v>#REF!</v>
      </c>
      <c r="AC189" s="161" t="e">
        <f t="shared" ref="AC189:AD189" si="764">SUM(AC190,AC191,AC192)</f>
        <v>#REF!</v>
      </c>
      <c r="AD189" s="161" t="e">
        <f t="shared" si="764"/>
        <v>#REF!</v>
      </c>
      <c r="AE189" s="161" t="e">
        <f t="shared" ref="AE189" si="765">SUM(AE190,AE191,AE192)</f>
        <v>#REF!</v>
      </c>
      <c r="AF189" s="161">
        <v>930211</v>
      </c>
      <c r="AG189" s="161">
        <v>238463</v>
      </c>
      <c r="AH189" s="161">
        <v>963021</v>
      </c>
      <c r="AI189" s="161">
        <v>0</v>
      </c>
      <c r="AJ189" s="161">
        <v>238463</v>
      </c>
      <c r="AK189" s="161">
        <v>963021</v>
      </c>
      <c r="AL189" s="259">
        <v>0</v>
      </c>
      <c r="AM189" s="161" t="e">
        <f t="shared" ref="AM189:AQ189" si="766">SUM(AM190,AM191,AM192)</f>
        <v>#REF!</v>
      </c>
      <c r="AN189" s="161">
        <f t="shared" si="701"/>
        <v>0</v>
      </c>
      <c r="AO189" s="161"/>
      <c r="AP189" s="161">
        <f t="shared" si="606"/>
        <v>0</v>
      </c>
      <c r="AQ189" s="161">
        <f t="shared" si="766"/>
        <v>0</v>
      </c>
      <c r="AR189" s="161">
        <f t="shared" ref="AR189:AS189" si="767">SUM(AR190,AR191,AR192)</f>
        <v>0</v>
      </c>
      <c r="AS189" s="259">
        <f t="shared" si="767"/>
        <v>0</v>
      </c>
      <c r="AT189" s="161">
        <f t="shared" ref="AT189" si="768">SUM(AT190,AT191,AT192)</f>
        <v>0</v>
      </c>
      <c r="AU189" s="161"/>
      <c r="AV189" s="161">
        <f t="shared" ref="AV189:AY189" si="769">SUM(AV190,AV191,AV192)</f>
        <v>0</v>
      </c>
      <c r="AW189" s="161">
        <f t="shared" si="703"/>
        <v>0</v>
      </c>
      <c r="AX189" s="161">
        <v>0</v>
      </c>
      <c r="AY189" s="161">
        <f t="shared" si="769"/>
        <v>0</v>
      </c>
      <c r="AZ189" s="161">
        <v>0</v>
      </c>
      <c r="BA189" s="161">
        <v>0</v>
      </c>
      <c r="BB189" s="161">
        <f>BE189</f>
        <v>-9121</v>
      </c>
      <c r="BC189" s="161">
        <f t="shared" si="752"/>
        <v>-9118</v>
      </c>
      <c r="BD189" s="161">
        <f t="shared" si="752"/>
        <v>-10022</v>
      </c>
      <c r="BE189" s="161">
        <f>SUM(BE190:BE192)</f>
        <v>-9121</v>
      </c>
      <c r="BF189" s="161">
        <f>SUM(BF190:BF192)</f>
        <v>-9118</v>
      </c>
      <c r="BG189" s="161">
        <f>SUM(BG190:BG192)</f>
        <v>-10022</v>
      </c>
      <c r="BH189" s="161">
        <f>SUM(BH190:BH192)</f>
        <v>-10071</v>
      </c>
      <c r="BI189" s="161">
        <f t="shared" ref="BI189:BL189" si="770">SUM(BI190:BI192)</f>
        <v>-10153</v>
      </c>
      <c r="BJ189" s="161">
        <f t="shared" si="770"/>
        <v>-10282</v>
      </c>
      <c r="BK189" s="161">
        <f t="shared" si="770"/>
        <v>-8607</v>
      </c>
      <c r="BL189" s="161">
        <f t="shared" si="770"/>
        <v>-10153</v>
      </c>
      <c r="BM189" s="161">
        <f t="shared" ref="BM189:BN189" si="771">SUM(BM190:BM192)</f>
        <v>-10282</v>
      </c>
      <c r="BN189" s="161">
        <f t="shared" si="771"/>
        <v>-8607</v>
      </c>
      <c r="BO189" s="161">
        <f t="shared" ref="BO189:BP189" si="772">SUM(BO190:BO192)</f>
        <v>-8821</v>
      </c>
      <c r="BP189" s="161">
        <f t="shared" si="772"/>
        <v>-7832</v>
      </c>
      <c r="BQ189" s="161">
        <f t="shared" ref="BQ189:BS189" si="773">SUM(BQ190:BQ192)</f>
        <v>-8090</v>
      </c>
      <c r="BR189" s="161">
        <f t="shared" si="773"/>
        <v>-6259</v>
      </c>
      <c r="BS189" s="161">
        <f t="shared" si="773"/>
        <v>-7832</v>
      </c>
      <c r="BT189" s="161">
        <f t="shared" ref="BT189:BU189" si="774">SUM(BT190:BT192)</f>
        <v>-8090</v>
      </c>
      <c r="BU189" s="161">
        <f t="shared" si="774"/>
        <v>-6259</v>
      </c>
      <c r="BV189" s="161">
        <f t="shared" ref="BV189" si="775">SUM(BV190:BV192)</f>
        <v>-6465</v>
      </c>
      <c r="BW189" s="161">
        <f t="shared" ref="BW189:CB189" si="776">SUM(BW190:BW192)</f>
        <v>-5468</v>
      </c>
      <c r="BX189" s="161">
        <f t="shared" si="776"/>
        <v>-5580</v>
      </c>
      <c r="BY189" s="161">
        <f t="shared" si="776"/>
        <v>-654</v>
      </c>
      <c r="BZ189" s="161">
        <f t="shared" si="776"/>
        <v>-5468</v>
      </c>
      <c r="CA189" s="161">
        <f t="shared" si="776"/>
        <v>-5580</v>
      </c>
      <c r="CB189" s="161">
        <f t="shared" si="776"/>
        <v>-654</v>
      </c>
      <c r="CC189" s="161">
        <f t="shared" ref="CC189:CD189" si="777">SUM(CC190:CC192)</f>
        <v>-651</v>
      </c>
      <c r="CD189" s="161">
        <f t="shared" si="777"/>
        <v>-604</v>
      </c>
      <c r="CE189" s="161">
        <f t="shared" ref="CE189:CG189" si="778">SUM(CE190:CE192)</f>
        <v>-578</v>
      </c>
      <c r="CF189" s="161">
        <f t="shared" si="778"/>
        <v>-6711</v>
      </c>
      <c r="CG189" s="161">
        <f t="shared" si="778"/>
        <v>-604</v>
      </c>
      <c r="CH189" s="161">
        <f t="shared" ref="CH189:CI189" si="779">SUM(CH190:CH192)</f>
        <v>-578</v>
      </c>
      <c r="CI189" s="161">
        <f t="shared" si="779"/>
        <v>-6711</v>
      </c>
      <c r="CJ189" s="161">
        <v>-3338</v>
      </c>
      <c r="CK189" s="161">
        <f t="shared" ref="CK189:CO189" si="780">SUM(CK190:CK192)</f>
        <v>-229</v>
      </c>
      <c r="CL189" s="161">
        <f t="shared" si="780"/>
        <v>0</v>
      </c>
      <c r="CM189" s="161">
        <f t="shared" si="780"/>
        <v>0</v>
      </c>
      <c r="CN189" s="161">
        <f t="shared" si="780"/>
        <v>-229</v>
      </c>
      <c r="CO189" s="161">
        <f t="shared" si="780"/>
        <v>0</v>
      </c>
    </row>
    <row r="190" spans="1:93" s="92" customFormat="1" x14ac:dyDescent="0.25">
      <c r="A190" s="164" t="str">
        <f>Language!AA188</f>
        <v>Portonave</v>
      </c>
      <c r="B190" s="165" t="e">
        <f>#REF!</f>
        <v>#REF!</v>
      </c>
      <c r="C190" s="165" t="e">
        <f>#REF!</f>
        <v>#REF!</v>
      </c>
      <c r="D190" s="165" t="e">
        <f>#REF!</f>
        <v>#REF!</v>
      </c>
      <c r="E190" s="166" t="e">
        <f>#REF!</f>
        <v>#REF!</v>
      </c>
      <c r="F190" s="165" t="e">
        <f>#REF!</f>
        <v>#REF!</v>
      </c>
      <c r="G190" s="165" t="e">
        <f>#REF!</f>
        <v>#REF!</v>
      </c>
      <c r="H190" s="165" t="e">
        <f>#REF!</f>
        <v>#REF!</v>
      </c>
      <c r="I190" s="166" t="e">
        <f>#REF!</f>
        <v>#REF!</v>
      </c>
      <c r="J190" s="165" t="e">
        <f>#REF!</f>
        <v>#REF!</v>
      </c>
      <c r="K190" s="165" t="e">
        <f>#REF!</f>
        <v>#REF!</v>
      </c>
      <c r="L190" s="165" t="e">
        <f>#REF!</f>
        <v>#REF!</v>
      </c>
      <c r="M190" s="166" t="e">
        <f>#REF!</f>
        <v>#REF!</v>
      </c>
      <c r="N190" s="165" t="e">
        <f>#REF!</f>
        <v>#REF!</v>
      </c>
      <c r="O190" s="165" t="e">
        <f>#REF!</f>
        <v>#REF!</v>
      </c>
      <c r="P190" s="165" t="e">
        <f>#REF!</f>
        <v>#REF!</v>
      </c>
      <c r="Q190" s="165" t="e">
        <f>#REF!</f>
        <v>#REF!</v>
      </c>
      <c r="R190" s="167" t="e">
        <f>#REF!</f>
        <v>#REF!</v>
      </c>
      <c r="S190" s="165" t="e">
        <f>#REF!</f>
        <v>#REF!</v>
      </c>
      <c r="T190" s="165" t="e">
        <f>#REF!</f>
        <v>#REF!</v>
      </c>
      <c r="U190" s="165" t="e">
        <f t="shared" si="697"/>
        <v>#REF!</v>
      </c>
      <c r="V190" s="165" t="e">
        <f>#REF!</f>
        <v>#REF!</v>
      </c>
      <c r="W190" s="165" t="e">
        <f>#REF!</f>
        <v>#REF!</v>
      </c>
      <c r="X190" s="165" t="e">
        <f>#REF!</f>
        <v>#REF!</v>
      </c>
      <c r="Y190" s="167" t="e">
        <f>#REF!</f>
        <v>#REF!</v>
      </c>
      <c r="Z190" s="165" t="e">
        <f>#REF!</f>
        <v>#REF!</v>
      </c>
      <c r="AA190" s="165" t="e">
        <f>#REF!</f>
        <v>#REF!</v>
      </c>
      <c r="AB190" s="165" t="e">
        <f t="shared" si="699"/>
        <v>#REF!</v>
      </c>
      <c r="AC190" s="165" t="e">
        <f>#REF!</f>
        <v>#REF!</v>
      </c>
      <c r="AD190" s="165" t="e">
        <f>#REF!</f>
        <v>#REF!</v>
      </c>
      <c r="AE190" s="165" t="e">
        <f>#REF!</f>
        <v>#REF!</v>
      </c>
      <c r="AF190" s="165">
        <v>198708</v>
      </c>
      <c r="AG190" s="165">
        <v>238954</v>
      </c>
      <c r="AH190" s="165">
        <v>186961</v>
      </c>
      <c r="AI190" s="165">
        <v>0</v>
      </c>
      <c r="AJ190" s="165">
        <v>238954</v>
      </c>
      <c r="AK190" s="165">
        <v>186961</v>
      </c>
      <c r="AL190" s="260">
        <v>0</v>
      </c>
      <c r="AM190" s="165" t="e">
        <f>#REF!</f>
        <v>#REF!</v>
      </c>
      <c r="AN190" s="165">
        <f t="shared" si="701"/>
        <v>0</v>
      </c>
      <c r="AO190" s="165"/>
      <c r="AP190" s="165">
        <f t="shared" si="606"/>
        <v>0</v>
      </c>
      <c r="AQ190" s="165">
        <v>0</v>
      </c>
      <c r="AR190" s="165"/>
      <c r="AS190" s="260"/>
      <c r="AT190" s="165"/>
      <c r="AU190" s="165"/>
      <c r="AV190" s="165">
        <f t="shared" ref="AV190:AV195" si="781">AY190</f>
        <v>0</v>
      </c>
      <c r="AW190" s="165">
        <f t="shared" si="703"/>
        <v>0</v>
      </c>
      <c r="AX190" s="165"/>
      <c r="AY190" s="165"/>
      <c r="AZ190" s="165">
        <v>0</v>
      </c>
      <c r="BA190" s="165">
        <v>0</v>
      </c>
      <c r="BB190" s="165">
        <f>BE190</f>
        <v>0</v>
      </c>
      <c r="BC190" s="165">
        <f t="shared" si="752"/>
        <v>0</v>
      </c>
      <c r="BD190" s="165">
        <f t="shared" si="752"/>
        <v>0</v>
      </c>
      <c r="BE190" s="165">
        <v>0</v>
      </c>
      <c r="BF190" s="165">
        <v>0</v>
      </c>
      <c r="BG190" s="165">
        <v>0</v>
      </c>
      <c r="BH190" s="165"/>
      <c r="BI190" s="165"/>
      <c r="BJ190" s="165"/>
      <c r="BK190" s="165"/>
      <c r="BL190" s="165"/>
      <c r="BM190" s="165"/>
      <c r="BN190" s="165"/>
      <c r="BO190" s="165"/>
      <c r="BP190" s="165"/>
      <c r="BQ190" s="165"/>
      <c r="BR190" s="165"/>
      <c r="BS190" s="165"/>
      <c r="BT190" s="165"/>
      <c r="BU190" s="165"/>
      <c r="BV190" s="165"/>
      <c r="BW190" s="165"/>
      <c r="BX190" s="165"/>
      <c r="BY190" s="165"/>
      <c r="BZ190" s="165"/>
      <c r="CA190" s="165"/>
      <c r="CB190" s="165"/>
      <c r="CC190" s="165"/>
      <c r="CD190" s="165"/>
      <c r="CE190" s="165"/>
      <c r="CF190" s="165"/>
      <c r="CG190" s="165"/>
      <c r="CH190" s="165"/>
      <c r="CI190" s="165"/>
      <c r="CJ190" s="165"/>
      <c r="CK190" s="165"/>
      <c r="CL190" s="165"/>
      <c r="CM190" s="165"/>
      <c r="CN190" s="165"/>
      <c r="CO190" s="165"/>
    </row>
    <row r="191" spans="1:93" s="92" customFormat="1" x14ac:dyDescent="0.25">
      <c r="A191" s="164" t="str">
        <f>Language!AA189</f>
        <v>Iceport</v>
      </c>
      <c r="B191" s="165" t="e">
        <f>#REF!</f>
        <v>#REF!</v>
      </c>
      <c r="C191" s="165" t="e">
        <f>#REF!</f>
        <v>#REF!</v>
      </c>
      <c r="D191" s="165" t="e">
        <f>#REF!</f>
        <v>#REF!</v>
      </c>
      <c r="E191" s="166" t="e">
        <f>#REF!</f>
        <v>#REF!</v>
      </c>
      <c r="F191" s="165" t="e">
        <f>#REF!</f>
        <v>#REF!</v>
      </c>
      <c r="G191" s="165" t="e">
        <f>#REF!</f>
        <v>#REF!</v>
      </c>
      <c r="H191" s="165" t="e">
        <f>#REF!</f>
        <v>#REF!</v>
      </c>
      <c r="I191" s="166" t="e">
        <f>#REF!</f>
        <v>#REF!</v>
      </c>
      <c r="J191" s="165" t="e">
        <f>#REF!</f>
        <v>#REF!</v>
      </c>
      <c r="K191" s="165" t="e">
        <f>#REF!</f>
        <v>#REF!</v>
      </c>
      <c r="L191" s="165" t="e">
        <f>#REF!</f>
        <v>#REF!</v>
      </c>
      <c r="M191" s="166" t="e">
        <f>#REF!</f>
        <v>#REF!</v>
      </c>
      <c r="N191" s="165" t="e">
        <f>#REF!</f>
        <v>#REF!</v>
      </c>
      <c r="O191" s="165" t="e">
        <f>#REF!</f>
        <v>#REF!</v>
      </c>
      <c r="P191" s="165" t="e">
        <f>#REF!</f>
        <v>#REF!</v>
      </c>
      <c r="Q191" s="165" t="e">
        <f>#REF!</f>
        <v>#REF!</v>
      </c>
      <c r="R191" s="167" t="e">
        <f>#REF!</f>
        <v>#REF!</v>
      </c>
      <c r="S191" s="165" t="e">
        <f>#REF!</f>
        <v>#REF!</v>
      </c>
      <c r="T191" s="165" t="e">
        <f>#REF!</f>
        <v>#REF!</v>
      </c>
      <c r="U191" s="165" t="e">
        <f t="shared" si="697"/>
        <v>#REF!</v>
      </c>
      <c r="V191" s="165" t="e">
        <f>#REF!</f>
        <v>#REF!</v>
      </c>
      <c r="W191" s="165" t="e">
        <f>#REF!</f>
        <v>#REF!</v>
      </c>
      <c r="X191" s="165" t="e">
        <f>#REF!</f>
        <v>#REF!</v>
      </c>
      <c r="Y191" s="167" t="e">
        <f>#REF!</f>
        <v>#REF!</v>
      </c>
      <c r="Z191" s="165" t="e">
        <f>#REF!</f>
        <v>#REF!</v>
      </c>
      <c r="AA191" s="165" t="e">
        <f>#REF!</f>
        <v>#REF!</v>
      </c>
      <c r="AB191" s="165" t="e">
        <f t="shared" si="699"/>
        <v>#REF!</v>
      </c>
      <c r="AC191" s="165" t="e">
        <f>#REF!</f>
        <v>#REF!</v>
      </c>
      <c r="AD191" s="165" t="e">
        <f>#REF!</f>
        <v>#REF!</v>
      </c>
      <c r="AE191" s="165" t="e">
        <f>#REF!</f>
        <v>#REF!</v>
      </c>
      <c r="AF191" s="165">
        <v>-431</v>
      </c>
      <c r="AG191" s="165">
        <v>-491</v>
      </c>
      <c r="AH191" s="165">
        <v>-348</v>
      </c>
      <c r="AI191" s="165">
        <v>0</v>
      </c>
      <c r="AJ191" s="165">
        <v>-491</v>
      </c>
      <c r="AK191" s="165">
        <v>-348</v>
      </c>
      <c r="AL191" s="260">
        <v>0</v>
      </c>
      <c r="AM191" s="165" t="e">
        <f>#REF!</f>
        <v>#REF!</v>
      </c>
      <c r="AN191" s="165">
        <f t="shared" si="701"/>
        <v>0</v>
      </c>
      <c r="AO191" s="165"/>
      <c r="AP191" s="165">
        <f t="shared" si="606"/>
        <v>0</v>
      </c>
      <c r="AQ191" s="165">
        <v>0</v>
      </c>
      <c r="AR191" s="165"/>
      <c r="AS191" s="260"/>
      <c r="AT191" s="165"/>
      <c r="AU191" s="165"/>
      <c r="AV191" s="165">
        <f t="shared" si="781"/>
        <v>0</v>
      </c>
      <c r="AW191" s="165">
        <f t="shared" si="703"/>
        <v>0</v>
      </c>
      <c r="AX191" s="165"/>
      <c r="AY191" s="165"/>
      <c r="AZ191" s="165">
        <v>0</v>
      </c>
      <c r="BA191" s="165">
        <v>0</v>
      </c>
      <c r="BB191" s="165">
        <f t="shared" ref="BB191:BB195" si="782">BE191</f>
        <v>0</v>
      </c>
      <c r="BC191" s="165">
        <f t="shared" ref="BC191:BD192" si="783">BF191</f>
        <v>0</v>
      </c>
      <c r="BD191" s="165">
        <f t="shared" si="783"/>
        <v>0</v>
      </c>
      <c r="BE191" s="165">
        <v>0</v>
      </c>
      <c r="BF191" s="165">
        <v>0</v>
      </c>
      <c r="BG191" s="165">
        <v>0</v>
      </c>
      <c r="BH191" s="165"/>
      <c r="BI191" s="165"/>
      <c r="BJ191" s="165"/>
      <c r="BK191" s="165"/>
      <c r="BL191" s="165"/>
      <c r="BM191" s="165"/>
      <c r="BN191" s="165"/>
      <c r="BO191" s="165"/>
      <c r="BP191" s="165"/>
      <c r="BQ191" s="165"/>
      <c r="BR191" s="165"/>
      <c r="BS191" s="165"/>
      <c r="BT191" s="165"/>
      <c r="BU191" s="165"/>
      <c r="BV191" s="165"/>
      <c r="BW191" s="165"/>
      <c r="BX191" s="165"/>
      <c r="BY191" s="165"/>
    </row>
    <row r="192" spans="1:93" s="92" customFormat="1" x14ac:dyDescent="0.25">
      <c r="A192" s="164" t="str">
        <f>Language!AA190</f>
        <v>Outros</v>
      </c>
      <c r="B192" s="165" t="e">
        <f>#REF!</f>
        <v>#REF!</v>
      </c>
      <c r="C192" s="165" t="e">
        <f>#REF!</f>
        <v>#REF!</v>
      </c>
      <c r="D192" s="165" t="e">
        <f>#REF!</f>
        <v>#REF!</v>
      </c>
      <c r="E192" s="166" t="e">
        <f>#REF!</f>
        <v>#REF!</v>
      </c>
      <c r="F192" s="165" t="e">
        <f>#REF!</f>
        <v>#REF!</v>
      </c>
      <c r="G192" s="165" t="e">
        <f>#REF!</f>
        <v>#REF!</v>
      </c>
      <c r="H192" s="165" t="e">
        <f>#REF!</f>
        <v>#REF!</v>
      </c>
      <c r="I192" s="166" t="e">
        <f>#REF!</f>
        <v>#REF!</v>
      </c>
      <c r="J192" s="165" t="e">
        <f>#REF!</f>
        <v>#REF!</v>
      </c>
      <c r="K192" s="165" t="e">
        <f>#REF!</f>
        <v>#REF!</v>
      </c>
      <c r="L192" s="165" t="e">
        <f>#REF!</f>
        <v>#REF!</v>
      </c>
      <c r="M192" s="166" t="e">
        <f>#REF!</f>
        <v>#REF!</v>
      </c>
      <c r="N192" s="165" t="e">
        <f>#REF!</f>
        <v>#REF!</v>
      </c>
      <c r="O192" s="165" t="e">
        <f>#REF!</f>
        <v>#REF!</v>
      </c>
      <c r="P192" s="165" t="e">
        <f>#REF!</f>
        <v>#REF!</v>
      </c>
      <c r="Q192" s="165" t="e">
        <f>#REF!</f>
        <v>#REF!</v>
      </c>
      <c r="R192" s="167" t="e">
        <f>#REF!</f>
        <v>#REF!</v>
      </c>
      <c r="S192" s="165" t="e">
        <f>#REF!</f>
        <v>#REF!</v>
      </c>
      <c r="T192" s="165" t="e">
        <f>#REF!</f>
        <v>#REF!</v>
      </c>
      <c r="U192" s="165" t="e">
        <f t="shared" si="697"/>
        <v>#REF!</v>
      </c>
      <c r="V192" s="165" t="e">
        <f>#REF!</f>
        <v>#REF!</v>
      </c>
      <c r="W192" s="165" t="e">
        <f>#REF!</f>
        <v>#REF!</v>
      </c>
      <c r="X192" s="165" t="e">
        <f>#REF!</f>
        <v>#REF!</v>
      </c>
      <c r="Y192" s="167" t="e">
        <f>#REF!</f>
        <v>#REF!</v>
      </c>
      <c r="Z192" s="165" t="e">
        <f>#REF!</f>
        <v>#REF!</v>
      </c>
      <c r="AA192" s="165" t="e">
        <f>#REF!</f>
        <v>#REF!</v>
      </c>
      <c r="AB192" s="165" t="e">
        <f t="shared" si="699"/>
        <v>#REF!</v>
      </c>
      <c r="AC192" s="165" t="e">
        <f>#REF!</f>
        <v>#REF!</v>
      </c>
      <c r="AD192" s="165" t="e">
        <f>#REF!</f>
        <v>#REF!</v>
      </c>
      <c r="AE192" s="165" t="e">
        <f>#REF!</f>
        <v>#REF!</v>
      </c>
      <c r="AF192" s="165">
        <v>731934</v>
      </c>
      <c r="AG192" s="165">
        <v>0</v>
      </c>
      <c r="AH192" s="165">
        <v>776408</v>
      </c>
      <c r="AI192" s="165">
        <v>0</v>
      </c>
      <c r="AJ192" s="165">
        <v>0</v>
      </c>
      <c r="AK192" s="165">
        <v>776408</v>
      </c>
      <c r="AL192" s="260">
        <v>0</v>
      </c>
      <c r="AM192" s="165" t="e">
        <f>#REF!</f>
        <v>#REF!</v>
      </c>
      <c r="AN192" s="165">
        <f t="shared" si="701"/>
        <v>0</v>
      </c>
      <c r="AO192" s="165"/>
      <c r="AP192" s="165">
        <f t="shared" si="606"/>
        <v>0</v>
      </c>
      <c r="AQ192" s="165">
        <v>0</v>
      </c>
      <c r="AR192" s="165"/>
      <c r="AS192" s="260"/>
      <c r="AT192" s="165"/>
      <c r="AU192" s="165"/>
      <c r="AV192" s="165">
        <f t="shared" si="781"/>
        <v>0</v>
      </c>
      <c r="AW192" s="165">
        <f t="shared" si="703"/>
        <v>0</v>
      </c>
      <c r="AX192" s="165"/>
      <c r="AY192" s="165"/>
      <c r="AZ192" s="165">
        <v>0</v>
      </c>
      <c r="BA192" s="165">
        <v>0</v>
      </c>
      <c r="BB192" s="165">
        <f t="shared" si="782"/>
        <v>-9121</v>
      </c>
      <c r="BC192" s="165">
        <f t="shared" si="783"/>
        <v>-9118</v>
      </c>
      <c r="BD192" s="165">
        <f t="shared" si="783"/>
        <v>-10022</v>
      </c>
      <c r="BE192" s="165">
        <v>-9121</v>
      </c>
      <c r="BF192" s="165">
        <v>-9118</v>
      </c>
      <c r="BG192" s="165">
        <v>-10022</v>
      </c>
      <c r="BH192" s="165">
        <v>-10071</v>
      </c>
      <c r="BI192" s="165">
        <f>BL192</f>
        <v>-10153</v>
      </c>
      <c r="BJ192" s="165">
        <f>BM192</f>
        <v>-10282</v>
      </c>
      <c r="BK192" s="165">
        <f>BN192</f>
        <v>-8607</v>
      </c>
      <c r="BL192" s="165">
        <v>-10153</v>
      </c>
      <c r="BM192" s="165">
        <v>-10282</v>
      </c>
      <c r="BN192" s="165">
        <v>-8607</v>
      </c>
      <c r="BO192" s="165">
        <v>-8821</v>
      </c>
      <c r="BP192" s="165">
        <f>BS192</f>
        <v>-7832</v>
      </c>
      <c r="BQ192" s="165">
        <f>BT192</f>
        <v>-8090</v>
      </c>
      <c r="BR192" s="165">
        <f>BU192</f>
        <v>-6259</v>
      </c>
      <c r="BS192" s="165">
        <v>-7832</v>
      </c>
      <c r="BT192" s="165">
        <v>-8090</v>
      </c>
      <c r="BU192" s="165">
        <v>-6259</v>
      </c>
      <c r="BV192" s="165">
        <v>-6465</v>
      </c>
      <c r="BW192" s="165">
        <f>BZ192</f>
        <v>-5468</v>
      </c>
      <c r="BX192" s="165">
        <f>CA192</f>
        <v>-5580</v>
      </c>
      <c r="BY192" s="165">
        <f>CB192</f>
        <v>-654</v>
      </c>
      <c r="BZ192" s="165">
        <v>-5468</v>
      </c>
      <c r="CA192" s="165">
        <v>-5580</v>
      </c>
      <c r="CB192" s="165">
        <v>-654</v>
      </c>
      <c r="CC192" s="165">
        <v>-651</v>
      </c>
      <c r="CD192" s="165">
        <f>CG192</f>
        <v>-604</v>
      </c>
      <c r="CE192" s="165">
        <f>CH192</f>
        <v>-578</v>
      </c>
      <c r="CF192" s="165">
        <f>CI192</f>
        <v>-6711</v>
      </c>
      <c r="CG192" s="165">
        <v>-604</v>
      </c>
      <c r="CH192" s="165">
        <v>-578</v>
      </c>
      <c r="CI192" s="165">
        <v>-6711</v>
      </c>
      <c r="CJ192" s="165">
        <v>-3338</v>
      </c>
      <c r="CK192" s="165">
        <f>CN192</f>
        <v>-229</v>
      </c>
      <c r="CL192" s="165"/>
      <c r="CM192" s="165"/>
      <c r="CN192" s="165">
        <v>-229</v>
      </c>
      <c r="CO192" s="165"/>
    </row>
    <row r="193" spans="1:93" s="100" customFormat="1" ht="13" x14ac:dyDescent="0.3">
      <c r="A193" s="160" t="str">
        <f>Language!AA191</f>
        <v>Cabotagem</v>
      </c>
      <c r="B193" s="161" t="e">
        <f>#REF!</f>
        <v>#REF!</v>
      </c>
      <c r="C193" s="161" t="e">
        <f>#REF!</f>
        <v>#REF!</v>
      </c>
      <c r="D193" s="161" t="e">
        <f>#REF!</f>
        <v>#REF!</v>
      </c>
      <c r="E193" s="162" t="e">
        <f>#REF!</f>
        <v>#REF!</v>
      </c>
      <c r="F193" s="161" t="e">
        <f>#REF!</f>
        <v>#REF!</v>
      </c>
      <c r="G193" s="161" t="e">
        <f>#REF!</f>
        <v>#REF!</v>
      </c>
      <c r="H193" s="161" t="e">
        <f>#REF!</f>
        <v>#REF!</v>
      </c>
      <c r="I193" s="162" t="e">
        <f>#REF!</f>
        <v>#REF!</v>
      </c>
      <c r="J193" s="161" t="e">
        <f>#REF!</f>
        <v>#REF!</v>
      </c>
      <c r="K193" s="161" t="e">
        <f>#REF!</f>
        <v>#REF!</v>
      </c>
      <c r="L193" s="161" t="e">
        <f>#REF!</f>
        <v>#REF!</v>
      </c>
      <c r="M193" s="162" t="e">
        <f>#REF!</f>
        <v>#REF!</v>
      </c>
      <c r="N193" s="161" t="e">
        <f>#REF!</f>
        <v>#REF!</v>
      </c>
      <c r="O193" s="161" t="e">
        <f>#REF!</f>
        <v>#REF!</v>
      </c>
      <c r="P193" s="161" t="e">
        <f>#REF!</f>
        <v>#REF!</v>
      </c>
      <c r="Q193" s="161" t="e">
        <f>#REF!</f>
        <v>#REF!</v>
      </c>
      <c r="R193" s="163" t="e">
        <f>#REF!</f>
        <v>#REF!</v>
      </c>
      <c r="S193" s="161" t="e">
        <f>#REF!</f>
        <v>#REF!</v>
      </c>
      <c r="T193" s="161" t="e">
        <f>#REF!</f>
        <v>#REF!</v>
      </c>
      <c r="U193" s="161" t="e">
        <f t="shared" si="697"/>
        <v>#REF!</v>
      </c>
      <c r="V193" s="161" t="e">
        <f>#REF!</f>
        <v>#REF!</v>
      </c>
      <c r="W193" s="161" t="e">
        <f>#REF!</f>
        <v>#REF!</v>
      </c>
      <c r="X193" s="161" t="e">
        <f>#REF!</f>
        <v>#REF!</v>
      </c>
      <c r="Y193" s="163" t="e">
        <f>#REF!</f>
        <v>#REF!</v>
      </c>
      <c r="Z193" s="161" t="e">
        <f>#REF!</f>
        <v>#REF!</v>
      </c>
      <c r="AA193" s="161" t="e">
        <f>#REF!</f>
        <v>#REF!</v>
      </c>
      <c r="AB193" s="161" t="e">
        <f t="shared" si="699"/>
        <v>#REF!</v>
      </c>
      <c r="AC193" s="161" t="e">
        <f>#REF!</f>
        <v>#REF!</v>
      </c>
      <c r="AD193" s="161" t="e">
        <f>#REF!</f>
        <v>#REF!</v>
      </c>
      <c r="AE193" s="161" t="e">
        <f>#REF!</f>
        <v>#REF!</v>
      </c>
      <c r="AF193" s="161">
        <v>0</v>
      </c>
      <c r="AG193" s="161">
        <v>0</v>
      </c>
      <c r="AH193" s="161">
        <v>0</v>
      </c>
      <c r="AI193" s="161">
        <v>0</v>
      </c>
      <c r="AJ193" s="161">
        <v>0</v>
      </c>
      <c r="AK193" s="161">
        <v>0</v>
      </c>
      <c r="AL193" s="259">
        <v>0</v>
      </c>
      <c r="AM193" s="161" t="e">
        <f>#REF!</f>
        <v>#REF!</v>
      </c>
      <c r="AN193" s="161">
        <f t="shared" si="701"/>
        <v>0</v>
      </c>
      <c r="AO193" s="161"/>
      <c r="AP193" s="161">
        <f t="shared" si="606"/>
        <v>0</v>
      </c>
      <c r="AQ193" s="161">
        <v>0</v>
      </c>
      <c r="AR193" s="161"/>
      <c r="AS193" s="259"/>
      <c r="AT193" s="161"/>
      <c r="AU193" s="161"/>
      <c r="AV193" s="165">
        <f t="shared" si="781"/>
        <v>0</v>
      </c>
      <c r="AW193" s="165">
        <f t="shared" si="703"/>
        <v>0</v>
      </c>
      <c r="AX193" s="161"/>
      <c r="AY193" s="161"/>
      <c r="AZ193" s="161">
        <v>0</v>
      </c>
      <c r="BA193" s="161">
        <v>0</v>
      </c>
      <c r="BB193" s="165">
        <f t="shared" si="782"/>
        <v>0</v>
      </c>
      <c r="BC193" s="161">
        <v>0</v>
      </c>
      <c r="BD193" s="161"/>
      <c r="BE193" s="161">
        <v>0</v>
      </c>
      <c r="BF193" s="161">
        <v>0</v>
      </c>
      <c r="BG193" s="161">
        <v>0</v>
      </c>
      <c r="BH193" s="161">
        <v>0</v>
      </c>
      <c r="BI193" s="161">
        <v>0</v>
      </c>
      <c r="BJ193" s="161">
        <v>0</v>
      </c>
      <c r="BK193" s="161">
        <v>0</v>
      </c>
      <c r="BL193" s="161">
        <v>0</v>
      </c>
      <c r="BM193" s="161">
        <v>0</v>
      </c>
      <c r="BN193" s="161">
        <v>0</v>
      </c>
      <c r="BO193" s="161">
        <v>0</v>
      </c>
      <c r="BP193" s="161">
        <v>0</v>
      </c>
      <c r="BQ193" s="161">
        <v>0</v>
      </c>
      <c r="BR193" s="161">
        <v>0</v>
      </c>
      <c r="BS193" s="161">
        <v>0</v>
      </c>
      <c r="BT193" s="161">
        <v>0</v>
      </c>
      <c r="BU193" s="161">
        <v>0</v>
      </c>
      <c r="BV193" s="161">
        <v>0</v>
      </c>
      <c r="BW193" s="161">
        <v>0</v>
      </c>
      <c r="BX193" s="161">
        <v>0</v>
      </c>
      <c r="BY193" s="161">
        <v>0</v>
      </c>
      <c r="BZ193" s="161">
        <v>0</v>
      </c>
      <c r="CA193" s="161">
        <v>0</v>
      </c>
      <c r="CB193" s="161">
        <v>0</v>
      </c>
      <c r="CC193" s="161">
        <v>0</v>
      </c>
      <c r="CD193" s="161">
        <v>0</v>
      </c>
      <c r="CE193" s="161">
        <v>0</v>
      </c>
      <c r="CF193" s="161">
        <v>0</v>
      </c>
      <c r="CG193" s="161">
        <v>0</v>
      </c>
      <c r="CH193" s="161">
        <v>0</v>
      </c>
      <c r="CI193" s="161">
        <v>0</v>
      </c>
      <c r="CJ193" s="161">
        <v>0</v>
      </c>
      <c r="CK193" s="161">
        <v>0</v>
      </c>
      <c r="CL193" s="161">
        <v>0</v>
      </c>
      <c r="CM193" s="161">
        <v>0</v>
      </c>
      <c r="CN193" s="161">
        <v>0</v>
      </c>
      <c r="CO193" s="161">
        <v>0</v>
      </c>
    </row>
    <row r="194" spans="1:93" s="100" customFormat="1" ht="13" x14ac:dyDescent="0.3">
      <c r="A194" s="160" t="str">
        <f>Language!AA192</f>
        <v>Aeroportos</v>
      </c>
      <c r="B194" s="161" t="e">
        <f>#REF!</f>
        <v>#REF!</v>
      </c>
      <c r="C194" s="161" t="e">
        <f>#REF!</f>
        <v>#REF!</v>
      </c>
      <c r="D194" s="161" t="e">
        <f>#REF!</f>
        <v>#REF!</v>
      </c>
      <c r="E194" s="162" t="e">
        <f>#REF!</f>
        <v>#REF!</v>
      </c>
      <c r="F194" s="161" t="e">
        <f>#REF!</f>
        <v>#REF!</v>
      </c>
      <c r="G194" s="161" t="e">
        <f>#REF!</f>
        <v>#REF!</v>
      </c>
      <c r="H194" s="161" t="e">
        <f>#REF!</f>
        <v>#REF!</v>
      </c>
      <c r="I194" s="162" t="e">
        <f>#REF!</f>
        <v>#REF!</v>
      </c>
      <c r="J194" s="161" t="e">
        <f>#REF!</f>
        <v>#REF!</v>
      </c>
      <c r="K194" s="161" t="e">
        <f>#REF!</f>
        <v>#REF!</v>
      </c>
      <c r="L194" s="161" t="e">
        <f>#REF!</f>
        <v>#REF!</v>
      </c>
      <c r="M194" s="162" t="e">
        <f>#REF!</f>
        <v>#REF!</v>
      </c>
      <c r="N194" s="161" t="e">
        <f>#REF!</f>
        <v>#REF!</v>
      </c>
      <c r="O194" s="161" t="e">
        <f>#REF!</f>
        <v>#REF!</v>
      </c>
      <c r="P194" s="161" t="e">
        <f>#REF!</f>
        <v>#REF!</v>
      </c>
      <c r="Q194" s="161" t="e">
        <f>#REF!</f>
        <v>#REF!</v>
      </c>
      <c r="R194" s="163" t="e">
        <f>#REF!</f>
        <v>#REF!</v>
      </c>
      <c r="S194" s="161" t="e">
        <f>#REF!</f>
        <v>#REF!</v>
      </c>
      <c r="T194" s="161" t="e">
        <f>#REF!</f>
        <v>#REF!</v>
      </c>
      <c r="U194" s="161" t="e">
        <f t="shared" si="697"/>
        <v>#REF!</v>
      </c>
      <c r="V194" s="161" t="e">
        <f>#REF!</f>
        <v>#REF!</v>
      </c>
      <c r="W194" s="161" t="e">
        <f>#REF!</f>
        <v>#REF!</v>
      </c>
      <c r="X194" s="161" t="e">
        <f>#REF!</f>
        <v>#REF!</v>
      </c>
      <c r="Y194" s="163" t="e">
        <f>#REF!</f>
        <v>#REF!</v>
      </c>
      <c r="Z194" s="161" t="e">
        <f>#REF!</f>
        <v>#REF!</v>
      </c>
      <c r="AA194" s="161" t="e">
        <f>#REF!</f>
        <v>#REF!</v>
      </c>
      <c r="AB194" s="161" t="e">
        <f t="shared" si="699"/>
        <v>#REF!</v>
      </c>
      <c r="AC194" s="161" t="e">
        <f>#REF!</f>
        <v>#REF!</v>
      </c>
      <c r="AD194" s="161" t="e">
        <f>#REF!</f>
        <v>#REF!</v>
      </c>
      <c r="AE194" s="161" t="e">
        <f>#REF!</f>
        <v>#REF!</v>
      </c>
      <c r="AF194" s="161">
        <v>617831</v>
      </c>
      <c r="AG194" s="161">
        <v>594804</v>
      </c>
      <c r="AH194" s="161">
        <v>0</v>
      </c>
      <c r="AI194" s="161">
        <v>0</v>
      </c>
      <c r="AJ194" s="161">
        <v>594804</v>
      </c>
      <c r="AK194" s="161">
        <v>0</v>
      </c>
      <c r="AL194" s="259">
        <v>0</v>
      </c>
      <c r="AM194" s="161">
        <v>0</v>
      </c>
      <c r="AN194" s="161">
        <f t="shared" si="701"/>
        <v>0</v>
      </c>
      <c r="AO194" s="161"/>
      <c r="AP194" s="161">
        <f t="shared" si="606"/>
        <v>0</v>
      </c>
      <c r="AQ194" s="161">
        <v>0</v>
      </c>
      <c r="AR194" s="161"/>
      <c r="AS194" s="259"/>
      <c r="AT194" s="161"/>
      <c r="AU194" s="161"/>
      <c r="AV194" s="165">
        <f t="shared" si="781"/>
        <v>0</v>
      </c>
      <c r="AW194" s="165">
        <f t="shared" si="703"/>
        <v>0</v>
      </c>
      <c r="AX194" s="161"/>
      <c r="AY194" s="161"/>
      <c r="AZ194" s="161">
        <v>0</v>
      </c>
      <c r="BA194" s="161">
        <v>0</v>
      </c>
      <c r="BB194" s="165">
        <f t="shared" si="782"/>
        <v>0</v>
      </c>
      <c r="BC194" s="161">
        <v>0</v>
      </c>
      <c r="BD194" s="161"/>
      <c r="BE194" s="161">
        <v>0</v>
      </c>
      <c r="BF194" s="161">
        <v>0</v>
      </c>
      <c r="BG194" s="161">
        <v>0</v>
      </c>
      <c r="BH194" s="161">
        <v>0</v>
      </c>
      <c r="BI194" s="161">
        <v>0</v>
      </c>
      <c r="BJ194" s="161">
        <v>0</v>
      </c>
      <c r="BK194" s="161">
        <v>0</v>
      </c>
      <c r="BL194" s="161">
        <v>0</v>
      </c>
      <c r="BM194" s="161">
        <v>0</v>
      </c>
      <c r="BN194" s="161">
        <v>0</v>
      </c>
      <c r="BO194" s="161">
        <v>0</v>
      </c>
      <c r="BP194" s="161">
        <v>0</v>
      </c>
      <c r="BQ194" s="161">
        <v>0</v>
      </c>
      <c r="BR194" s="161">
        <v>0</v>
      </c>
      <c r="BS194" s="161">
        <v>0</v>
      </c>
      <c r="BT194" s="161">
        <v>0</v>
      </c>
      <c r="BU194" s="161">
        <v>0</v>
      </c>
      <c r="BV194" s="161">
        <v>0</v>
      </c>
      <c r="BW194" s="161">
        <v>0</v>
      </c>
      <c r="BX194" s="161">
        <v>0</v>
      </c>
      <c r="BY194" s="161">
        <v>0</v>
      </c>
      <c r="BZ194" s="161">
        <v>0</v>
      </c>
      <c r="CA194" s="161">
        <v>0</v>
      </c>
      <c r="CB194" s="161">
        <v>0</v>
      </c>
      <c r="CC194" s="161">
        <v>0</v>
      </c>
      <c r="CD194" s="161">
        <v>0</v>
      </c>
      <c r="CE194" s="161">
        <v>0</v>
      </c>
      <c r="CF194" s="161">
        <v>0</v>
      </c>
      <c r="CG194" s="161">
        <v>0</v>
      </c>
      <c r="CH194" s="161">
        <v>0</v>
      </c>
      <c r="CI194" s="161">
        <v>0</v>
      </c>
      <c r="CJ194" s="161">
        <v>0</v>
      </c>
      <c r="CK194" s="161">
        <v>0</v>
      </c>
      <c r="CL194" s="161">
        <v>0</v>
      </c>
      <c r="CM194" s="161">
        <v>0</v>
      </c>
      <c r="CN194" s="161">
        <v>0</v>
      </c>
      <c r="CO194" s="161">
        <v>0</v>
      </c>
    </row>
    <row r="195" spans="1:93" s="100" customFormat="1" ht="13" x14ac:dyDescent="0.3">
      <c r="A195" s="160" t="str">
        <f>Language!AA193</f>
        <v>Holding e Outros</v>
      </c>
      <c r="B195" s="177">
        <v>-16717</v>
      </c>
      <c r="C195" s="177">
        <v>-16812</v>
      </c>
      <c r="D195" s="177">
        <v>-10685</v>
      </c>
      <c r="E195" s="178">
        <v>-12585</v>
      </c>
      <c r="F195" s="177">
        <v>-18101</v>
      </c>
      <c r="G195" s="177">
        <v>-15263</v>
      </c>
      <c r="H195" s="177">
        <v>-27345</v>
      </c>
      <c r="I195" s="178">
        <v>-17985.3655</v>
      </c>
      <c r="J195" s="177">
        <v>-29618.434490745007</v>
      </c>
      <c r="K195" s="177">
        <v>-34806.06599999997</v>
      </c>
      <c r="L195" s="177">
        <v>-22827.427000000011</v>
      </c>
      <c r="M195" s="178">
        <v>-48350.238443999988</v>
      </c>
      <c r="N195" s="177">
        <v>-44401</v>
      </c>
      <c r="O195" s="177">
        <v>-41349.994829999996</v>
      </c>
      <c r="P195" s="177">
        <v>-28009.528234547994</v>
      </c>
      <c r="Q195" s="177">
        <v>-648046.94643545197</v>
      </c>
      <c r="R195" s="179">
        <v>-54940</v>
      </c>
      <c r="S195" s="177">
        <v>-81472.191599049998</v>
      </c>
      <c r="T195" s="177" t="e">
        <v>#REF!</v>
      </c>
      <c r="U195" s="177" t="e">
        <v>#REF!</v>
      </c>
      <c r="V195" s="177">
        <v>-206911.19159905001</v>
      </c>
      <c r="W195" s="177" t="e">
        <v>#REF!</v>
      </c>
      <c r="X195" s="177">
        <v>-102855</v>
      </c>
      <c r="Y195" s="179">
        <v>-29061</v>
      </c>
      <c r="Z195" s="177">
        <v>-10678</v>
      </c>
      <c r="AA195" s="177">
        <v>-35384.000000000036</v>
      </c>
      <c r="AB195" s="177">
        <v>-50101.999999999942</v>
      </c>
      <c r="AC195" s="177">
        <v>-39739</v>
      </c>
      <c r="AD195" s="177">
        <v>-75123</v>
      </c>
      <c r="AE195" s="177">
        <v>-125224.99999999997</v>
      </c>
      <c r="AF195" s="177">
        <v>-40589</v>
      </c>
      <c r="AG195" s="177">
        <v>-415804</v>
      </c>
      <c r="AH195" s="177">
        <v>-122689</v>
      </c>
      <c r="AI195" s="177">
        <v>1783940</v>
      </c>
      <c r="AJ195" s="177">
        <v>-469736</v>
      </c>
      <c r="AK195" s="177">
        <v>206289</v>
      </c>
      <c r="AL195" s="261">
        <v>461726</v>
      </c>
      <c r="AM195" s="177">
        <v>2506.5555056179728</v>
      </c>
      <c r="AN195" s="177">
        <v>-10456.702968243859</v>
      </c>
      <c r="AO195" s="177">
        <v>-40233.852537374107</v>
      </c>
      <c r="AP195" s="177">
        <v>-48800.000000000065</v>
      </c>
      <c r="AQ195" s="177">
        <v>-7950.147462625886</v>
      </c>
      <c r="AR195" s="177">
        <v>-48183.999999999993</v>
      </c>
      <c r="AS195" s="261">
        <v>-96984.000000000058</v>
      </c>
      <c r="AT195" s="177">
        <v>92508</v>
      </c>
      <c r="AU195" s="177">
        <f>AX195</f>
        <v>109650</v>
      </c>
      <c r="AV195" s="161">
        <f t="shared" si="781"/>
        <v>115598</v>
      </c>
      <c r="AW195" s="161">
        <f t="shared" si="703"/>
        <v>97154</v>
      </c>
      <c r="AX195" s="177">
        <v>109650</v>
      </c>
      <c r="AY195" s="177">
        <v>115598</v>
      </c>
      <c r="AZ195" s="177">
        <v>97154</v>
      </c>
      <c r="BA195" s="177">
        <v>105488</v>
      </c>
      <c r="BB195" s="161">
        <f t="shared" si="782"/>
        <v>114611</v>
      </c>
      <c r="BC195" s="177">
        <f>BF195</f>
        <v>112043</v>
      </c>
      <c r="BD195" s="177">
        <f>BG195</f>
        <v>93563</v>
      </c>
      <c r="BE195" s="177">
        <v>114611</v>
      </c>
      <c r="BF195" s="177">
        <v>112043</v>
      </c>
      <c r="BG195" s="177">
        <v>93563</v>
      </c>
      <c r="BH195" s="177">
        <v>67946</v>
      </c>
      <c r="BI195" s="177">
        <f>BL195</f>
        <v>40186</v>
      </c>
      <c r="BJ195" s="177">
        <f>BM195</f>
        <v>36207</v>
      </c>
      <c r="BK195" s="177">
        <f>BN195</f>
        <v>26436</v>
      </c>
      <c r="BL195" s="177">
        <v>40186</v>
      </c>
      <c r="BM195" s="177">
        <v>36207</v>
      </c>
      <c r="BN195" s="177">
        <v>26436</v>
      </c>
      <c r="BO195" s="177">
        <v>58132</v>
      </c>
      <c r="BP195" s="177">
        <f>BS195</f>
        <v>39109</v>
      </c>
      <c r="BQ195" s="177">
        <f>BT195</f>
        <v>49172</v>
      </c>
      <c r="BR195" s="177">
        <f>BU195</f>
        <v>49232</v>
      </c>
      <c r="BS195" s="177">
        <v>39109</v>
      </c>
      <c r="BT195" s="177">
        <v>49172</v>
      </c>
      <c r="BU195" s="177">
        <v>49232</v>
      </c>
      <c r="BV195" s="177">
        <v>45910</v>
      </c>
      <c r="BW195" s="177">
        <f>BZ195</f>
        <v>43425</v>
      </c>
      <c r="BX195" s="177">
        <f>CA195</f>
        <v>40422</v>
      </c>
      <c r="BY195" s="177">
        <f>CB195</f>
        <v>35259</v>
      </c>
      <c r="BZ195" s="177">
        <v>43425</v>
      </c>
      <c r="CA195" s="177">
        <v>40422</v>
      </c>
      <c r="CB195" s="177">
        <v>35259</v>
      </c>
      <c r="CC195" s="177">
        <v>31912</v>
      </c>
      <c r="CD195" s="177">
        <f>CG195</f>
        <v>34029</v>
      </c>
      <c r="CE195" s="177">
        <f>CH195</f>
        <v>20896</v>
      </c>
      <c r="CF195" s="177">
        <f>CI195</f>
        <v>22826</v>
      </c>
      <c r="CG195" s="177">
        <v>34029</v>
      </c>
      <c r="CH195" s="177">
        <v>20896</v>
      </c>
      <c r="CI195" s="177">
        <v>22826</v>
      </c>
      <c r="CJ195" s="177">
        <v>15900</v>
      </c>
      <c r="CK195" s="177">
        <f>CN195</f>
        <v>26204</v>
      </c>
      <c r="CL195" s="177"/>
      <c r="CM195" s="177"/>
      <c r="CN195" s="805">
        <v>26204</v>
      </c>
      <c r="CO195" s="177"/>
    </row>
    <row r="196" spans="1:93" s="92" customFormat="1" ht="13" x14ac:dyDescent="0.3">
      <c r="A196" s="142" t="str">
        <f>Language!AA194</f>
        <v>Receita Líquida Ajustada</v>
      </c>
      <c r="B196" s="143">
        <f t="shared" ref="B196:T196" si="784">SUM(B197,-B198)</f>
        <v>161022</v>
      </c>
      <c r="C196" s="143">
        <f t="shared" si="784"/>
        <v>157304</v>
      </c>
      <c r="D196" s="143">
        <f t="shared" si="784"/>
        <v>172442</v>
      </c>
      <c r="E196" s="144">
        <f t="shared" si="784"/>
        <v>201359</v>
      </c>
      <c r="F196" s="143">
        <f t="shared" si="784"/>
        <v>201926</v>
      </c>
      <c r="G196" s="143">
        <f t="shared" si="784"/>
        <v>191448</v>
      </c>
      <c r="H196" s="143">
        <f t="shared" si="784"/>
        <v>212198</v>
      </c>
      <c r="I196" s="144">
        <f t="shared" si="784"/>
        <v>229354</v>
      </c>
      <c r="J196" s="143">
        <f t="shared" si="784"/>
        <v>260242</v>
      </c>
      <c r="K196" s="143">
        <f t="shared" si="784"/>
        <v>215585</v>
      </c>
      <c r="L196" s="143">
        <f t="shared" si="784"/>
        <v>231459</v>
      </c>
      <c r="M196" s="144">
        <f t="shared" si="784"/>
        <v>272874</v>
      </c>
      <c r="N196" s="143">
        <f t="shared" si="784"/>
        <v>457050</v>
      </c>
      <c r="O196" s="143">
        <f t="shared" si="784"/>
        <v>262796</v>
      </c>
      <c r="P196" s="143">
        <f t="shared" si="784"/>
        <v>304170</v>
      </c>
      <c r="Q196" s="143">
        <f t="shared" si="784"/>
        <v>293021</v>
      </c>
      <c r="R196" s="145">
        <f t="shared" si="784"/>
        <v>512487</v>
      </c>
      <c r="S196" s="143">
        <f t="shared" si="784"/>
        <v>323355</v>
      </c>
      <c r="T196" s="143">
        <f t="shared" si="784"/>
        <v>409066</v>
      </c>
      <c r="U196" s="143">
        <f t="shared" ref="U196:AA196" si="785">SUM(U197,-U198)</f>
        <v>377768</v>
      </c>
      <c r="V196" s="143">
        <f t="shared" si="785"/>
        <v>835842</v>
      </c>
      <c r="W196" s="143">
        <f t="shared" si="785"/>
        <v>1244908</v>
      </c>
      <c r="X196" s="143">
        <f t="shared" si="785"/>
        <v>1622676</v>
      </c>
      <c r="Y196" s="145">
        <f t="shared" si="785"/>
        <v>378293</v>
      </c>
      <c r="Z196" s="143">
        <f t="shared" si="785"/>
        <v>346157</v>
      </c>
      <c r="AA196" s="143">
        <f t="shared" si="785"/>
        <v>359835</v>
      </c>
      <c r="AB196" s="143">
        <f t="shared" ref="AB196" si="786">SUM(AB197,-AB198)</f>
        <v>392536</v>
      </c>
      <c r="AC196" s="143">
        <f>SUM(AC197,-AC198)</f>
        <v>724450</v>
      </c>
      <c r="AD196" s="143">
        <f>SUM(AD197,-AD198)</f>
        <v>1084285</v>
      </c>
      <c r="AE196" s="143">
        <f t="shared" ref="AE196" si="787">SUM(AE197,-AE198)</f>
        <v>1476821</v>
      </c>
      <c r="AF196" s="145">
        <v>398002</v>
      </c>
      <c r="AG196" s="143">
        <v>376809</v>
      </c>
      <c r="AH196" s="143">
        <v>298723</v>
      </c>
      <c r="AI196" s="143">
        <v>319674</v>
      </c>
      <c r="AJ196" s="143">
        <v>774811</v>
      </c>
      <c r="AK196" s="143">
        <v>1073534</v>
      </c>
      <c r="AL196" s="262">
        <v>1393208</v>
      </c>
      <c r="AM196" s="143">
        <f>SUM(AM197,-AM198)</f>
        <v>279250</v>
      </c>
      <c r="AN196" s="143">
        <f>AQ196-AM196</f>
        <v>256300</v>
      </c>
      <c r="AO196" s="143"/>
      <c r="AP196" s="143">
        <f t="shared" si="606"/>
        <v>234709</v>
      </c>
      <c r="AQ196" s="143">
        <f>SUM(AQ197,-AQ198)</f>
        <v>535550</v>
      </c>
      <c r="AR196" s="143">
        <f>SUM(AR197,-AR198)</f>
        <v>787771</v>
      </c>
      <c r="AS196" s="262">
        <f>SUM(AS197,-AS198)</f>
        <v>1022480</v>
      </c>
      <c r="AT196" s="143">
        <f>SUM(AT197,-AT198)</f>
        <v>208207</v>
      </c>
      <c r="AU196" s="143">
        <f t="shared" ref="AU196" si="788">SUM(AU197,-AU198)</f>
        <v>221347</v>
      </c>
      <c r="AV196" s="143">
        <f>SUM(AV197,-AV198)</f>
        <v>253237</v>
      </c>
      <c r="AW196" s="143">
        <f>SUM(AW197,-AW198)</f>
        <v>268604</v>
      </c>
      <c r="AX196" s="143">
        <f t="shared" ref="AX196:BE196" si="789">SUM(AX197,-AX198)</f>
        <v>429554</v>
      </c>
      <c r="AY196" s="143">
        <f t="shared" si="789"/>
        <v>682791</v>
      </c>
      <c r="AZ196" s="143">
        <f t="shared" si="789"/>
        <v>951395</v>
      </c>
      <c r="BA196" s="143">
        <f t="shared" si="789"/>
        <v>245389</v>
      </c>
      <c r="BB196" s="143">
        <f t="shared" si="789"/>
        <v>211626</v>
      </c>
      <c r="BC196" s="143">
        <f t="shared" si="789"/>
        <v>232294</v>
      </c>
      <c r="BD196" s="143">
        <f t="shared" si="789"/>
        <v>245199</v>
      </c>
      <c r="BE196" s="143">
        <f t="shared" si="789"/>
        <v>457015</v>
      </c>
      <c r="BF196" s="143">
        <f t="shared" ref="BF196:BG196" si="790">SUM(BF197,-BF198)</f>
        <v>689309</v>
      </c>
      <c r="BG196" s="143">
        <f t="shared" si="790"/>
        <v>934508</v>
      </c>
      <c r="BH196" s="143">
        <f t="shared" ref="BH196:BL196" si="791">SUM(BH197,-BH198)</f>
        <v>229630</v>
      </c>
      <c r="BI196" s="143">
        <f t="shared" si="791"/>
        <v>240424</v>
      </c>
      <c r="BJ196" s="143">
        <f t="shared" si="791"/>
        <v>261238</v>
      </c>
      <c r="BK196" s="143">
        <f t="shared" si="791"/>
        <v>235790</v>
      </c>
      <c r="BL196" s="143">
        <f t="shared" si="791"/>
        <v>470054</v>
      </c>
      <c r="BM196" s="143">
        <f t="shared" ref="BM196:BN196" si="792">SUM(BM197,-BM198)</f>
        <v>731292</v>
      </c>
      <c r="BN196" s="143">
        <f t="shared" si="792"/>
        <v>967082</v>
      </c>
      <c r="BO196" s="143">
        <f t="shared" ref="BO196:BP196" si="793">SUM(BO197,-BO198)</f>
        <v>180883</v>
      </c>
      <c r="BP196" s="143">
        <f t="shared" si="793"/>
        <v>492420</v>
      </c>
      <c r="BQ196" s="143">
        <f t="shared" ref="BQ196:BS196" si="794">SUM(BQ197,-BQ198)</f>
        <v>182221</v>
      </c>
      <c r="BR196" s="143">
        <f t="shared" si="794"/>
        <v>232852</v>
      </c>
      <c r="BS196" s="143">
        <f t="shared" si="794"/>
        <v>673303</v>
      </c>
      <c r="BT196" s="143">
        <f t="shared" ref="BT196:BU196" si="795">SUM(BT197,-BT198)</f>
        <v>855524</v>
      </c>
      <c r="BU196" s="143">
        <f t="shared" si="795"/>
        <v>1088376</v>
      </c>
      <c r="BV196" s="143">
        <f t="shared" ref="BV196" si="796">SUM(BV197,-BV198)</f>
        <v>209837</v>
      </c>
      <c r="BW196" s="143">
        <f t="shared" ref="BW196:CB196" si="797">SUM(BW197,-BW198)</f>
        <v>194249</v>
      </c>
      <c r="BX196" s="143">
        <f t="shared" si="797"/>
        <v>222836</v>
      </c>
      <c r="BY196" s="143">
        <f t="shared" si="797"/>
        <v>246742</v>
      </c>
      <c r="BZ196" s="143">
        <f t="shared" si="797"/>
        <v>404086</v>
      </c>
      <c r="CA196" s="143">
        <f t="shared" si="797"/>
        <v>626922</v>
      </c>
      <c r="CB196" s="143">
        <f t="shared" si="797"/>
        <v>873664</v>
      </c>
      <c r="CC196" s="143">
        <f t="shared" ref="CC196" si="798">SUM(CC197,-CC198)</f>
        <v>262080</v>
      </c>
      <c r="CD196" s="143">
        <f>SUM(CD197,-CD198+CD199)</f>
        <v>266567</v>
      </c>
      <c r="CE196" s="143">
        <f t="shared" ref="CE196:CF196" si="799">SUM(CE197,-CE198)</f>
        <v>397674</v>
      </c>
      <c r="CF196" s="143">
        <f t="shared" si="799"/>
        <v>321794</v>
      </c>
      <c r="CG196" s="143">
        <f>SUM(CG197,-CG198+CG199)</f>
        <v>528766</v>
      </c>
      <c r="CH196" s="143">
        <f t="shared" ref="CH196:CI196" si="800">SUM(CH197,-CH198)</f>
        <v>924933</v>
      </c>
      <c r="CI196" s="143">
        <f t="shared" si="800"/>
        <v>1246727</v>
      </c>
      <c r="CJ196" s="143">
        <v>280567</v>
      </c>
      <c r="CK196" s="143">
        <f t="shared" ref="CK196:CO196" si="801">SUM(CK197,-CK198)</f>
        <v>266536</v>
      </c>
      <c r="CL196" s="143">
        <f t="shared" si="801"/>
        <v>0</v>
      </c>
      <c r="CM196" s="143">
        <f t="shared" si="801"/>
        <v>0</v>
      </c>
      <c r="CN196" s="143">
        <f t="shared" si="801"/>
        <v>547103</v>
      </c>
      <c r="CO196" s="143">
        <f t="shared" si="801"/>
        <v>0</v>
      </c>
    </row>
    <row r="197" spans="1:93" s="92" customFormat="1" x14ac:dyDescent="0.25">
      <c r="A197" s="121" t="str">
        <f>Language!AA195</f>
        <v>(+) Receita Líquida</v>
      </c>
      <c r="B197" s="165">
        <f t="shared" ref="B197:R197" si="802">B96</f>
        <v>189558</v>
      </c>
      <c r="C197" s="165">
        <f t="shared" si="802"/>
        <v>162773</v>
      </c>
      <c r="D197" s="165">
        <f t="shared" si="802"/>
        <v>196291</v>
      </c>
      <c r="E197" s="166">
        <f t="shared" si="802"/>
        <v>238160</v>
      </c>
      <c r="F197" s="165">
        <f t="shared" si="802"/>
        <v>230646</v>
      </c>
      <c r="G197" s="165">
        <f t="shared" si="802"/>
        <v>225713</v>
      </c>
      <c r="H197" s="165">
        <f t="shared" si="802"/>
        <v>245008</v>
      </c>
      <c r="I197" s="166">
        <f t="shared" si="802"/>
        <v>332792</v>
      </c>
      <c r="J197" s="165">
        <f>J96</f>
        <v>331716</v>
      </c>
      <c r="K197" s="165">
        <f t="shared" si="802"/>
        <v>314672</v>
      </c>
      <c r="L197" s="165">
        <f t="shared" si="802"/>
        <v>387649</v>
      </c>
      <c r="M197" s="166">
        <f t="shared" si="802"/>
        <v>426957</v>
      </c>
      <c r="N197" s="165">
        <f t="shared" si="802"/>
        <v>577691</v>
      </c>
      <c r="O197" s="165">
        <f>O96</f>
        <v>505262</v>
      </c>
      <c r="P197" s="165">
        <f t="shared" si="802"/>
        <v>585878</v>
      </c>
      <c r="Q197" s="165">
        <f t="shared" si="802"/>
        <v>790457</v>
      </c>
      <c r="R197" s="167">
        <f t="shared" si="802"/>
        <v>844230</v>
      </c>
      <c r="S197" s="165">
        <f t="shared" ref="S197:T197" si="803">S96</f>
        <v>673595</v>
      </c>
      <c r="T197" s="165">
        <f t="shared" si="803"/>
        <v>668132</v>
      </c>
      <c r="U197" s="165">
        <f>U96</f>
        <v>655068</v>
      </c>
      <c r="V197" s="165">
        <f>V96</f>
        <v>1517825</v>
      </c>
      <c r="W197" s="165">
        <f t="shared" ref="W197:X197" si="804">W96</f>
        <v>2185957</v>
      </c>
      <c r="X197" s="165">
        <f t="shared" si="804"/>
        <v>2841025</v>
      </c>
      <c r="Y197" s="167">
        <f t="shared" ref="Y197:AA197" si="805">Y96</f>
        <v>505335</v>
      </c>
      <c r="Z197" s="165">
        <f t="shared" si="805"/>
        <v>444640</v>
      </c>
      <c r="AA197" s="165">
        <f t="shared" si="805"/>
        <v>417942</v>
      </c>
      <c r="AB197" s="165">
        <f>AB96</f>
        <v>481443</v>
      </c>
      <c r="AC197" s="165">
        <f t="shared" ref="AC197:AD197" si="806">AC96</f>
        <v>949975</v>
      </c>
      <c r="AD197" s="165">
        <f t="shared" si="806"/>
        <v>1367917</v>
      </c>
      <c r="AE197" s="165">
        <f t="shared" ref="AE197" si="807">AE96</f>
        <v>1849360</v>
      </c>
      <c r="AF197" s="167">
        <v>434188</v>
      </c>
      <c r="AG197" s="165">
        <v>465379</v>
      </c>
      <c r="AH197" s="165">
        <v>368425</v>
      </c>
      <c r="AI197" s="165">
        <v>376025</v>
      </c>
      <c r="AJ197" s="165">
        <v>899567</v>
      </c>
      <c r="AK197" s="165">
        <v>1267992</v>
      </c>
      <c r="AL197" s="260">
        <v>1644017</v>
      </c>
      <c r="AM197" s="165">
        <f t="shared" ref="AM197:AQ197" si="808">AM96</f>
        <v>312110</v>
      </c>
      <c r="AN197" s="165">
        <f t="shared" ref="AN197:AN199" si="809">AQ197-AM197</f>
        <v>298316</v>
      </c>
      <c r="AO197" s="165"/>
      <c r="AP197" s="165">
        <f t="shared" si="606"/>
        <v>283808</v>
      </c>
      <c r="AQ197" s="165">
        <f t="shared" si="808"/>
        <v>610426</v>
      </c>
      <c r="AR197" s="165">
        <f t="shared" ref="AR197:AS197" si="810">AR96</f>
        <v>914127</v>
      </c>
      <c r="AS197" s="260">
        <f t="shared" si="810"/>
        <v>1197935</v>
      </c>
      <c r="AT197" s="165">
        <f t="shared" ref="AT197:AU197" si="811">AT96</f>
        <v>231078</v>
      </c>
      <c r="AU197" s="165">
        <f t="shared" si="811"/>
        <v>235571</v>
      </c>
      <c r="AV197" s="165">
        <f>AY197-AX197</f>
        <v>280712</v>
      </c>
      <c r="AW197" s="165">
        <f>AZ197-AY197</f>
        <v>299281</v>
      </c>
      <c r="AX197" s="165">
        <f t="shared" ref="AX197" si="812">AX96</f>
        <v>466649</v>
      </c>
      <c r="AY197" s="165">
        <f t="shared" ref="AY197:AZ197" si="813">AY96</f>
        <v>747361</v>
      </c>
      <c r="AZ197" s="165">
        <f t="shared" si="813"/>
        <v>1046642</v>
      </c>
      <c r="BA197" s="165">
        <f t="shared" ref="BA197:BB197" si="814">BA96</f>
        <v>271303</v>
      </c>
      <c r="BB197" s="165">
        <f t="shared" si="814"/>
        <v>235132</v>
      </c>
      <c r="BC197" s="165">
        <f t="shared" ref="BC197:BD197" si="815">BC96</f>
        <v>259538</v>
      </c>
      <c r="BD197" s="165">
        <f t="shared" si="815"/>
        <v>280003</v>
      </c>
      <c r="BE197" s="165">
        <f t="shared" ref="BE197:BF197" si="816">BE96</f>
        <v>506435</v>
      </c>
      <c r="BF197" s="165">
        <f t="shared" si="816"/>
        <v>765973</v>
      </c>
      <c r="BG197" s="165">
        <f t="shared" ref="BG197:BH197" si="817">BG96</f>
        <v>1045976</v>
      </c>
      <c r="BH197" s="165">
        <f t="shared" si="817"/>
        <v>262923</v>
      </c>
      <c r="BI197" s="165">
        <f t="shared" ref="BI197:BL197" si="818">BI96</f>
        <v>277618</v>
      </c>
      <c r="BJ197" s="165">
        <f t="shared" si="818"/>
        <v>307688</v>
      </c>
      <c r="BK197" s="165">
        <f t="shared" si="818"/>
        <v>277352</v>
      </c>
      <c r="BL197" s="165">
        <f t="shared" si="818"/>
        <v>540541</v>
      </c>
      <c r="BM197" s="165">
        <f t="shared" ref="BM197:BN197" si="819">BM96</f>
        <v>848229</v>
      </c>
      <c r="BN197" s="165">
        <f t="shared" si="819"/>
        <v>1125581</v>
      </c>
      <c r="BO197" s="165">
        <f t="shared" ref="BO197:BP197" si="820">BO96</f>
        <v>203121</v>
      </c>
      <c r="BP197" s="165">
        <f t="shared" si="820"/>
        <v>519789</v>
      </c>
      <c r="BQ197" s="165">
        <f t="shared" ref="BQ197:BS197" si="821">BQ96</f>
        <v>220454</v>
      </c>
      <c r="BR197" s="165">
        <f t="shared" si="821"/>
        <v>261201</v>
      </c>
      <c r="BS197" s="165">
        <f t="shared" si="821"/>
        <v>722910</v>
      </c>
      <c r="BT197" s="165">
        <f t="shared" ref="BT197:BU197" si="822">BT96</f>
        <v>943364</v>
      </c>
      <c r="BU197" s="165">
        <f t="shared" si="822"/>
        <v>1204565</v>
      </c>
      <c r="BV197" s="165">
        <f t="shared" ref="BV197" si="823">BV96</f>
        <v>245293</v>
      </c>
      <c r="BW197" s="165">
        <f t="shared" ref="BW197:CB197" si="824">BW96</f>
        <v>239053</v>
      </c>
      <c r="BX197" s="165">
        <f t="shared" si="824"/>
        <v>345992</v>
      </c>
      <c r="BY197" s="165">
        <f t="shared" si="824"/>
        <v>289233</v>
      </c>
      <c r="BZ197" s="165">
        <f t="shared" si="824"/>
        <v>484346</v>
      </c>
      <c r="CA197" s="165">
        <f t="shared" si="824"/>
        <v>830338</v>
      </c>
      <c r="CB197" s="165">
        <f t="shared" si="824"/>
        <v>1119571</v>
      </c>
      <c r="CC197" s="165">
        <f t="shared" ref="CC197:CD197" si="825">CC96</f>
        <v>279019</v>
      </c>
      <c r="CD197" s="165">
        <f t="shared" si="825"/>
        <v>338018</v>
      </c>
      <c r="CE197" s="165">
        <f t="shared" ref="CE197:CF197" si="826">CE96</f>
        <v>439299</v>
      </c>
      <c r="CF197" s="165">
        <f t="shared" si="826"/>
        <v>343952</v>
      </c>
      <c r="CG197" s="165">
        <f>CG96</f>
        <v>617037</v>
      </c>
      <c r="CH197" s="165">
        <f t="shared" ref="CH197:CI197" si="827">CH96</f>
        <v>1056336</v>
      </c>
      <c r="CI197" s="165">
        <f t="shared" si="827"/>
        <v>1400288</v>
      </c>
      <c r="CJ197" s="165">
        <v>296891</v>
      </c>
      <c r="CK197" s="165">
        <f t="shared" ref="CK197:CO197" si="828">CK96</f>
        <v>276501</v>
      </c>
      <c r="CL197" s="165">
        <f t="shared" si="828"/>
        <v>0</v>
      </c>
      <c r="CM197" s="165">
        <f t="shared" si="828"/>
        <v>0</v>
      </c>
      <c r="CN197" s="165">
        <f t="shared" si="828"/>
        <v>573392</v>
      </c>
      <c r="CO197" s="165">
        <f t="shared" si="828"/>
        <v>0</v>
      </c>
    </row>
    <row r="198" spans="1:93" s="92" customFormat="1" x14ac:dyDescent="0.25">
      <c r="A198" s="121" t="str">
        <f>Language!AA196</f>
        <v>(-) Receita de Construção</v>
      </c>
      <c r="B198" s="165">
        <f t="shared" ref="B198:N198" si="829">B87</f>
        <v>28536</v>
      </c>
      <c r="C198" s="165">
        <f t="shared" si="829"/>
        <v>5469</v>
      </c>
      <c r="D198" s="165">
        <f t="shared" si="829"/>
        <v>23849</v>
      </c>
      <c r="E198" s="166">
        <f t="shared" si="829"/>
        <v>36801</v>
      </c>
      <c r="F198" s="165">
        <f t="shared" si="829"/>
        <v>28720</v>
      </c>
      <c r="G198" s="165">
        <f t="shared" si="829"/>
        <v>34265</v>
      </c>
      <c r="H198" s="165">
        <f t="shared" si="829"/>
        <v>32810</v>
      </c>
      <c r="I198" s="166">
        <f t="shared" si="829"/>
        <v>103438</v>
      </c>
      <c r="J198" s="165">
        <f t="shared" si="829"/>
        <v>71474</v>
      </c>
      <c r="K198" s="165">
        <f t="shared" si="829"/>
        <v>99087</v>
      </c>
      <c r="L198" s="165">
        <f t="shared" si="829"/>
        <v>156190</v>
      </c>
      <c r="M198" s="166">
        <f t="shared" si="829"/>
        <v>154083</v>
      </c>
      <c r="N198" s="165">
        <f t="shared" si="829"/>
        <v>120641</v>
      </c>
      <c r="O198" s="165">
        <f>O87</f>
        <v>242466</v>
      </c>
      <c r="P198" s="165">
        <f t="shared" ref="P198" si="830">P87</f>
        <v>281708</v>
      </c>
      <c r="Q198" s="165">
        <f t="shared" ref="Q198:R198" si="831">Q87</f>
        <v>497436</v>
      </c>
      <c r="R198" s="167">
        <f t="shared" si="831"/>
        <v>331743</v>
      </c>
      <c r="S198" s="165">
        <f t="shared" ref="S198:T198" si="832">S87</f>
        <v>350240</v>
      </c>
      <c r="T198" s="165">
        <f t="shared" si="832"/>
        <v>259066</v>
      </c>
      <c r="U198" s="165">
        <f>U87</f>
        <v>277300</v>
      </c>
      <c r="V198" s="165">
        <f>V87</f>
        <v>681983</v>
      </c>
      <c r="W198" s="165">
        <f t="shared" ref="W198:X198" si="833">W87</f>
        <v>941049</v>
      </c>
      <c r="X198" s="165">
        <f t="shared" si="833"/>
        <v>1218349</v>
      </c>
      <c r="Y198" s="167">
        <f t="shared" ref="Y198:AA198" si="834">Y87</f>
        <v>127042</v>
      </c>
      <c r="Z198" s="165">
        <f t="shared" si="834"/>
        <v>98483</v>
      </c>
      <c r="AA198" s="165">
        <f t="shared" si="834"/>
        <v>58107</v>
      </c>
      <c r="AB198" s="165">
        <f>AB87</f>
        <v>88907</v>
      </c>
      <c r="AC198" s="165">
        <f t="shared" ref="AC198:AD198" si="835">AC87</f>
        <v>225525</v>
      </c>
      <c r="AD198" s="165">
        <f t="shared" si="835"/>
        <v>283632</v>
      </c>
      <c r="AE198" s="165">
        <f t="shared" ref="AE198" si="836">AE87</f>
        <v>372539</v>
      </c>
      <c r="AF198" s="167">
        <v>36186</v>
      </c>
      <c r="AG198" s="165">
        <v>88570</v>
      </c>
      <c r="AH198" s="165">
        <v>69702</v>
      </c>
      <c r="AI198" s="165">
        <v>56351</v>
      </c>
      <c r="AJ198" s="165">
        <v>124756</v>
      </c>
      <c r="AK198" s="165">
        <v>194458</v>
      </c>
      <c r="AL198" s="260">
        <v>250809</v>
      </c>
      <c r="AM198" s="165">
        <f t="shared" ref="AM198:AQ198" si="837">AM87</f>
        <v>32860</v>
      </c>
      <c r="AN198" s="165">
        <f t="shared" si="809"/>
        <v>42016</v>
      </c>
      <c r="AO198" s="165"/>
      <c r="AP198" s="165">
        <f t="shared" si="606"/>
        <v>49099</v>
      </c>
      <c r="AQ198" s="165">
        <f t="shared" si="837"/>
        <v>74876</v>
      </c>
      <c r="AR198" s="165">
        <f t="shared" ref="AR198:AS198" si="838">AR87</f>
        <v>126356</v>
      </c>
      <c r="AS198" s="260">
        <f t="shared" si="838"/>
        <v>175455</v>
      </c>
      <c r="AT198" s="165">
        <f t="shared" ref="AT198:AU198" si="839">AT87</f>
        <v>22871</v>
      </c>
      <c r="AU198" s="165">
        <f t="shared" si="839"/>
        <v>14224</v>
      </c>
      <c r="AV198" s="165">
        <f t="shared" ref="AV198:AW199" si="840">AY198-AX198</f>
        <v>27475</v>
      </c>
      <c r="AW198" s="165">
        <f t="shared" si="840"/>
        <v>30677</v>
      </c>
      <c r="AX198" s="165">
        <f t="shared" ref="AX198" si="841">AX87</f>
        <v>37095</v>
      </c>
      <c r="AY198" s="165">
        <f t="shared" ref="AY198:AZ198" si="842">AY87</f>
        <v>64570</v>
      </c>
      <c r="AZ198" s="165">
        <f t="shared" si="842"/>
        <v>95247</v>
      </c>
      <c r="BA198" s="165">
        <f t="shared" ref="BA198:BB198" si="843">BA87</f>
        <v>25914</v>
      </c>
      <c r="BB198" s="165">
        <f t="shared" si="843"/>
        <v>23506</v>
      </c>
      <c r="BC198" s="165">
        <f t="shared" ref="BC198:BD198" si="844">BC87</f>
        <v>27244</v>
      </c>
      <c r="BD198" s="165">
        <f t="shared" si="844"/>
        <v>34804</v>
      </c>
      <c r="BE198" s="165">
        <f t="shared" ref="BE198:BF198" si="845">BE87</f>
        <v>49420</v>
      </c>
      <c r="BF198" s="165">
        <f t="shared" si="845"/>
        <v>76664</v>
      </c>
      <c r="BG198" s="165">
        <f t="shared" ref="BG198:BH198" si="846">BG87</f>
        <v>111468</v>
      </c>
      <c r="BH198" s="165">
        <f t="shared" si="846"/>
        <v>33293</v>
      </c>
      <c r="BI198" s="165">
        <f t="shared" ref="BI198:BL198" si="847">BI87</f>
        <v>37194</v>
      </c>
      <c r="BJ198" s="165">
        <f t="shared" si="847"/>
        <v>46450</v>
      </c>
      <c r="BK198" s="165">
        <f t="shared" si="847"/>
        <v>41562</v>
      </c>
      <c r="BL198" s="165">
        <f t="shared" si="847"/>
        <v>70487</v>
      </c>
      <c r="BM198" s="165">
        <f t="shared" ref="BM198:BN198" si="848">BM87</f>
        <v>116937</v>
      </c>
      <c r="BN198" s="165">
        <f t="shared" si="848"/>
        <v>158499</v>
      </c>
      <c r="BO198" s="165">
        <f t="shared" ref="BO198:BP198" si="849">BO87</f>
        <v>22238</v>
      </c>
      <c r="BP198" s="165">
        <f t="shared" si="849"/>
        <v>27369</v>
      </c>
      <c r="BQ198" s="165">
        <f t="shared" ref="BQ198:BS198" si="850">BQ87</f>
        <v>38233</v>
      </c>
      <c r="BR198" s="165">
        <f t="shared" si="850"/>
        <v>28349</v>
      </c>
      <c r="BS198" s="165">
        <f t="shared" si="850"/>
        <v>49607</v>
      </c>
      <c r="BT198" s="165">
        <f t="shared" ref="BT198:BU198" si="851">BT87</f>
        <v>87840</v>
      </c>
      <c r="BU198" s="165">
        <f t="shared" si="851"/>
        <v>116189</v>
      </c>
      <c r="BV198" s="165">
        <f t="shared" ref="BV198" si="852">BV87</f>
        <v>35456</v>
      </c>
      <c r="BW198" s="165">
        <f t="shared" ref="BW198:CB198" si="853">BW87</f>
        <v>44804</v>
      </c>
      <c r="BX198" s="165">
        <f t="shared" si="853"/>
        <v>123156</v>
      </c>
      <c r="BY198" s="165">
        <f t="shared" si="853"/>
        <v>42491</v>
      </c>
      <c r="BZ198" s="165">
        <f t="shared" si="853"/>
        <v>80260</v>
      </c>
      <c r="CA198" s="165">
        <f t="shared" si="853"/>
        <v>203416</v>
      </c>
      <c r="CB198" s="165">
        <f t="shared" si="853"/>
        <v>245907</v>
      </c>
      <c r="CC198" s="165">
        <f t="shared" ref="CC198:CD198" si="854">CC87</f>
        <v>16939</v>
      </c>
      <c r="CD198" s="165">
        <f t="shared" si="854"/>
        <v>72839</v>
      </c>
      <c r="CE198" s="165">
        <f t="shared" ref="CE198:CG198" si="855">CE87</f>
        <v>41625</v>
      </c>
      <c r="CF198" s="165">
        <f t="shared" si="855"/>
        <v>22158</v>
      </c>
      <c r="CG198" s="165">
        <f t="shared" si="855"/>
        <v>89778</v>
      </c>
      <c r="CH198" s="165">
        <f t="shared" ref="CH198:CI198" si="856">CH87</f>
        <v>131403</v>
      </c>
      <c r="CI198" s="165">
        <f t="shared" si="856"/>
        <v>153561</v>
      </c>
      <c r="CJ198" s="165">
        <v>16324</v>
      </c>
      <c r="CK198" s="165">
        <f t="shared" ref="CK198:CO198" si="857">CK87</f>
        <v>9965</v>
      </c>
      <c r="CL198" s="165">
        <f t="shared" si="857"/>
        <v>0</v>
      </c>
      <c r="CM198" s="165">
        <f t="shared" si="857"/>
        <v>0</v>
      </c>
      <c r="CN198" s="165">
        <f t="shared" si="857"/>
        <v>26289</v>
      </c>
      <c r="CO198" s="165">
        <f t="shared" si="857"/>
        <v>0</v>
      </c>
    </row>
    <row r="199" spans="1:93" s="92" customFormat="1" x14ac:dyDescent="0.25">
      <c r="A199" s="121" t="str">
        <f>Language!AA197</f>
        <v>(+) Margem de Construção</v>
      </c>
      <c r="B199" s="165">
        <f t="shared" ref="B199:N199" si="858">B93</f>
        <v>0</v>
      </c>
      <c r="C199" s="165">
        <f t="shared" si="858"/>
        <v>0</v>
      </c>
      <c r="D199" s="165">
        <f t="shared" si="858"/>
        <v>0</v>
      </c>
      <c r="E199" s="166">
        <f t="shared" si="858"/>
        <v>0</v>
      </c>
      <c r="F199" s="165">
        <f t="shared" si="858"/>
        <v>0</v>
      </c>
      <c r="G199" s="165">
        <f t="shared" si="858"/>
        <v>0</v>
      </c>
      <c r="H199" s="165">
        <f t="shared" si="858"/>
        <v>0</v>
      </c>
      <c r="I199" s="166">
        <f t="shared" si="858"/>
        <v>0</v>
      </c>
      <c r="J199" s="165">
        <f t="shared" si="858"/>
        <v>0</v>
      </c>
      <c r="K199" s="165">
        <f t="shared" si="858"/>
        <v>0</v>
      </c>
      <c r="L199" s="165">
        <f t="shared" si="858"/>
        <v>0</v>
      </c>
      <c r="M199" s="166">
        <f t="shared" si="858"/>
        <v>0</v>
      </c>
      <c r="N199" s="165">
        <f t="shared" si="858"/>
        <v>0</v>
      </c>
      <c r="O199" s="165">
        <f>O93</f>
        <v>24514</v>
      </c>
      <c r="P199" s="165">
        <f t="shared" ref="P199" si="859">P93</f>
        <v>54989</v>
      </c>
      <c r="Q199" s="165">
        <f t="shared" ref="Q199:R199" si="860">Q93</f>
        <v>-3236</v>
      </c>
      <c r="R199" s="167">
        <f t="shared" si="860"/>
        <v>144672</v>
      </c>
      <c r="S199" s="165">
        <f t="shared" ref="S199:T199" si="861">S93</f>
        <v>41493</v>
      </c>
      <c r="T199" s="165">
        <f t="shared" si="861"/>
        <v>34287</v>
      </c>
      <c r="U199" s="165">
        <f>U93</f>
        <v>-34985</v>
      </c>
      <c r="V199" s="165">
        <f>V93</f>
        <v>186165</v>
      </c>
      <c r="W199" s="165">
        <f t="shared" ref="W199:X199" si="862">W93</f>
        <v>220452</v>
      </c>
      <c r="X199" s="165">
        <f t="shared" si="862"/>
        <v>185467</v>
      </c>
      <c r="Y199" s="167">
        <f t="shared" ref="Y199:AA199" si="863">Y93</f>
        <v>6364</v>
      </c>
      <c r="Z199" s="165">
        <f t="shared" si="863"/>
        <v>5838</v>
      </c>
      <c r="AA199" s="165">
        <f t="shared" si="863"/>
        <v>2058</v>
      </c>
      <c r="AB199" s="165">
        <f>AB93</f>
        <v>1988</v>
      </c>
      <c r="AC199" s="165">
        <f t="shared" ref="AC199:AD199" si="864">AC93</f>
        <v>12202</v>
      </c>
      <c r="AD199" s="165">
        <f t="shared" si="864"/>
        <v>14260</v>
      </c>
      <c r="AE199" s="165">
        <f t="shared" ref="AE199" si="865">AE93</f>
        <v>16248</v>
      </c>
      <c r="AF199" s="167">
        <v>0</v>
      </c>
      <c r="AG199" s="165">
        <v>0</v>
      </c>
      <c r="AH199" s="165">
        <v>0</v>
      </c>
      <c r="AI199" s="165">
        <v>0</v>
      </c>
      <c r="AJ199" s="165">
        <v>0</v>
      </c>
      <c r="AK199" s="165">
        <v>0</v>
      </c>
      <c r="AL199" s="263">
        <v>0</v>
      </c>
      <c r="AM199" s="165">
        <f t="shared" ref="AM199:AQ199" si="866">AM93</f>
        <v>0</v>
      </c>
      <c r="AN199" s="165">
        <f t="shared" si="809"/>
        <v>0</v>
      </c>
      <c r="AO199" s="165"/>
      <c r="AP199" s="165">
        <f t="shared" si="606"/>
        <v>0</v>
      </c>
      <c r="AQ199" s="165">
        <f t="shared" si="866"/>
        <v>0</v>
      </c>
      <c r="AR199" s="165">
        <f t="shared" ref="AR199:AS199" si="867">AR93</f>
        <v>0</v>
      </c>
      <c r="AS199" s="263">
        <f t="shared" si="867"/>
        <v>0</v>
      </c>
      <c r="AT199" s="165">
        <f t="shared" ref="AT199" si="868">AT93</f>
        <v>0</v>
      </c>
      <c r="AU199" s="165"/>
      <c r="AV199" s="165">
        <f t="shared" si="840"/>
        <v>0</v>
      </c>
      <c r="AW199" s="165">
        <f t="shared" si="840"/>
        <v>0</v>
      </c>
      <c r="AX199" s="165">
        <v>0</v>
      </c>
      <c r="AY199" s="165">
        <f t="shared" ref="AY199:AZ199" si="869">AY93</f>
        <v>0</v>
      </c>
      <c r="AZ199" s="165">
        <f t="shared" si="869"/>
        <v>0</v>
      </c>
      <c r="BA199" s="165">
        <f t="shared" ref="BA199:BB199" si="870">BA93</f>
        <v>0</v>
      </c>
      <c r="BB199" s="165">
        <f t="shared" si="870"/>
        <v>0</v>
      </c>
      <c r="BC199" s="165">
        <f t="shared" ref="BC199:BD199" si="871">BC93</f>
        <v>0</v>
      </c>
      <c r="BD199" s="165">
        <f t="shared" si="871"/>
        <v>0</v>
      </c>
      <c r="BE199" s="165">
        <f t="shared" ref="BE199:BF199" si="872">BE93</f>
        <v>0</v>
      </c>
      <c r="BF199" s="165">
        <f t="shared" si="872"/>
        <v>0</v>
      </c>
      <c r="BG199" s="165">
        <f t="shared" ref="BG199:BH199" si="873">BG93</f>
        <v>0</v>
      </c>
      <c r="BH199" s="165">
        <f t="shared" si="873"/>
        <v>0</v>
      </c>
      <c r="BI199" s="165">
        <f t="shared" ref="BI199:BL199" si="874">BI93</f>
        <v>0</v>
      </c>
      <c r="BJ199" s="165">
        <f t="shared" si="874"/>
        <v>0</v>
      </c>
      <c r="BK199" s="165">
        <f t="shared" si="874"/>
        <v>0</v>
      </c>
      <c r="BL199" s="165">
        <f t="shared" si="874"/>
        <v>0</v>
      </c>
      <c r="BM199" s="165">
        <f t="shared" ref="BM199:BN199" si="875">BM93</f>
        <v>0</v>
      </c>
      <c r="BN199" s="165">
        <f t="shared" si="875"/>
        <v>0</v>
      </c>
      <c r="BO199" s="165">
        <f t="shared" ref="BO199:BP199" si="876">BO93</f>
        <v>0</v>
      </c>
      <c r="BP199" s="165">
        <f t="shared" si="876"/>
        <v>0</v>
      </c>
      <c r="BQ199" s="165">
        <f t="shared" ref="BQ199:BS199" si="877">BQ93</f>
        <v>0</v>
      </c>
      <c r="BR199" s="165">
        <f t="shared" si="877"/>
        <v>0</v>
      </c>
      <c r="BS199" s="165">
        <f t="shared" si="877"/>
        <v>0</v>
      </c>
      <c r="BT199" s="165">
        <f t="shared" ref="BT199:BU199" si="878">BT93</f>
        <v>0</v>
      </c>
      <c r="BU199" s="165">
        <f t="shared" si="878"/>
        <v>0</v>
      </c>
      <c r="BV199" s="165">
        <f t="shared" ref="BV199" si="879">BV93</f>
        <v>0</v>
      </c>
      <c r="BW199" s="165">
        <f t="shared" ref="BW199:CB199" si="880">BW93</f>
        <v>0</v>
      </c>
      <c r="BX199" s="165">
        <f t="shared" si="880"/>
        <v>0</v>
      </c>
      <c r="BY199" s="165">
        <f t="shared" si="880"/>
        <v>0</v>
      </c>
      <c r="BZ199" s="165">
        <f t="shared" si="880"/>
        <v>0</v>
      </c>
      <c r="CA199" s="165">
        <f t="shared" si="880"/>
        <v>0</v>
      </c>
      <c r="CB199" s="165">
        <f t="shared" si="880"/>
        <v>0</v>
      </c>
      <c r="CC199" s="165">
        <f>'Toll Roads'!CC365</f>
        <v>119</v>
      </c>
      <c r="CD199" s="165">
        <f>CG199-CC199</f>
        <v>1388</v>
      </c>
      <c r="CE199" s="165">
        <f t="shared" ref="CE199:CF199" si="881">CE93</f>
        <v>0</v>
      </c>
      <c r="CF199" s="165">
        <f t="shared" si="881"/>
        <v>0</v>
      </c>
      <c r="CG199" s="165">
        <f>'Toll Roads'!CG365</f>
        <v>1507</v>
      </c>
      <c r="CH199" s="165">
        <f t="shared" ref="CH199:CI199" si="882">CH93</f>
        <v>0</v>
      </c>
      <c r="CI199" s="165">
        <f t="shared" si="882"/>
        <v>0</v>
      </c>
      <c r="CJ199" s="165">
        <v>0</v>
      </c>
      <c r="CK199" s="165">
        <f t="shared" ref="CK199:CO199" si="883">CK93</f>
        <v>0</v>
      </c>
      <c r="CL199" s="165">
        <f t="shared" si="883"/>
        <v>0</v>
      </c>
      <c r="CM199" s="165">
        <f t="shared" si="883"/>
        <v>0</v>
      </c>
      <c r="CN199" s="165">
        <f t="shared" si="883"/>
        <v>0</v>
      </c>
      <c r="CO199" s="165">
        <f t="shared" si="883"/>
        <v>0</v>
      </c>
    </row>
    <row r="200" spans="1:93" s="92" customFormat="1" ht="13" x14ac:dyDescent="0.3">
      <c r="A200" s="142" t="str">
        <f>Language!AA198</f>
        <v>Patrimônio Líquido Ajustado</v>
      </c>
      <c r="B200" s="143">
        <f>SUM(B201,-B202,-B203)</f>
        <v>620327</v>
      </c>
      <c r="C200" s="143">
        <f t="shared" ref="C200:L200" si="884">SUM(C201,-C202,-C203)</f>
        <v>638336</v>
      </c>
      <c r="D200" s="143">
        <f t="shared" si="884"/>
        <v>628877</v>
      </c>
      <c r="E200" s="144">
        <f t="shared" si="884"/>
        <v>652744</v>
      </c>
      <c r="F200" s="143">
        <f t="shared" si="884"/>
        <v>686030</v>
      </c>
      <c r="G200" s="143">
        <f t="shared" si="884"/>
        <v>695019</v>
      </c>
      <c r="H200" s="143">
        <f t="shared" si="884"/>
        <v>688317</v>
      </c>
      <c r="I200" s="144">
        <f t="shared" si="884"/>
        <v>1206721</v>
      </c>
      <c r="J200" s="143">
        <f t="shared" si="884"/>
        <v>1240947</v>
      </c>
      <c r="K200" s="143">
        <f t="shared" si="884"/>
        <v>1407296</v>
      </c>
      <c r="L200" s="143">
        <f t="shared" si="884"/>
        <v>1515125</v>
      </c>
      <c r="M200" s="144">
        <f t="shared" ref="M200:N200" si="885">SUM(M201,-M202,-M203)</f>
        <v>1419379</v>
      </c>
      <c r="N200" s="143">
        <f t="shared" si="885"/>
        <v>1600061</v>
      </c>
      <c r="O200" s="143">
        <f>SUM(O201,-O202,-O203)</f>
        <v>1582021</v>
      </c>
      <c r="P200" s="143">
        <f t="shared" ref="P200" si="886">SUM(P201,-P202,-P203)</f>
        <v>1236565</v>
      </c>
      <c r="Q200" s="143">
        <f t="shared" ref="Q200:R200" si="887">SUM(Q201,-Q202,-Q203)</f>
        <v>790786</v>
      </c>
      <c r="R200" s="145">
        <f t="shared" si="887"/>
        <v>889906</v>
      </c>
      <c r="S200" s="143">
        <f t="shared" ref="S200:T200" si="888">SUM(S201,-S202,-S203)</f>
        <v>0</v>
      </c>
      <c r="T200" s="143">
        <f t="shared" si="888"/>
        <v>800123</v>
      </c>
      <c r="U200" s="143">
        <f t="shared" ref="U200:V200" si="889">SUM(U201,-U202,-U203)</f>
        <v>936801</v>
      </c>
      <c r="V200" s="143">
        <f t="shared" si="889"/>
        <v>0</v>
      </c>
      <c r="W200" s="143">
        <f t="shared" ref="W200:X200" si="890">SUM(W201,-W202,-W203)</f>
        <v>800123</v>
      </c>
      <c r="X200" s="143">
        <f t="shared" si="890"/>
        <v>936801</v>
      </c>
      <c r="Y200" s="145">
        <f t="shared" ref="Y200:AB200" si="891">SUM(Y201,-Y202,-Y203)</f>
        <v>917868</v>
      </c>
      <c r="Z200" s="143">
        <f t="shared" si="891"/>
        <v>839768</v>
      </c>
      <c r="AA200" s="143">
        <f t="shared" si="891"/>
        <v>795192</v>
      </c>
      <c r="AB200" s="143">
        <f t="shared" si="891"/>
        <v>613790</v>
      </c>
      <c r="AC200" s="143">
        <f t="shared" ref="AC200:AD200" si="892">SUM(AC201,-AC202,-AC203)</f>
        <v>839768</v>
      </c>
      <c r="AD200" s="143">
        <f t="shared" si="892"/>
        <v>795192</v>
      </c>
      <c r="AE200" s="143">
        <f t="shared" ref="AE200" si="893">SUM(AE201,-AE202,-AE203)</f>
        <v>613790</v>
      </c>
      <c r="AF200" s="145">
        <v>524181</v>
      </c>
      <c r="AG200" s="143">
        <v>574337</v>
      </c>
      <c r="AH200" s="143">
        <v>131202</v>
      </c>
      <c r="AI200" s="143">
        <v>1187864</v>
      </c>
      <c r="AJ200" s="143">
        <v>574337</v>
      </c>
      <c r="AK200" s="143">
        <v>131202</v>
      </c>
      <c r="AL200" s="143">
        <v>1187864</v>
      </c>
      <c r="AM200" s="145">
        <f t="shared" ref="AM200:AQ200" si="894">SUM(AM201,-AM202,-AM203)</f>
        <v>1161758</v>
      </c>
      <c r="AN200" s="143">
        <f>AQ200</f>
        <v>1159993</v>
      </c>
      <c r="AO200" s="143"/>
      <c r="AP200" s="143">
        <f t="shared" si="606"/>
        <v>-265554</v>
      </c>
      <c r="AQ200" s="143">
        <f t="shared" si="894"/>
        <v>1159993</v>
      </c>
      <c r="AR200" s="143">
        <f t="shared" ref="AR200:AS200" si="895">SUM(AR201,-AR202,-AR203)</f>
        <v>1105977</v>
      </c>
      <c r="AS200" s="143">
        <f t="shared" si="895"/>
        <v>840423</v>
      </c>
      <c r="AT200" s="145">
        <f t="shared" ref="AT200" si="896">SUM(AT201,-AT202,-AT203)</f>
        <v>799212</v>
      </c>
      <c r="AU200" s="145">
        <f t="shared" ref="AU200:AX200" si="897">SUM(AU201,-AU202,-AU203)</f>
        <v>715401</v>
      </c>
      <c r="AV200" s="145">
        <f t="shared" ref="AV200:AY200" si="898">SUM(AV201,-AV202,-AV203)</f>
        <v>652702</v>
      </c>
      <c r="AW200" s="145">
        <f t="shared" si="897"/>
        <v>699108</v>
      </c>
      <c r="AX200" s="145">
        <f t="shared" si="897"/>
        <v>715401</v>
      </c>
      <c r="AY200" s="145">
        <f t="shared" si="898"/>
        <v>652702</v>
      </c>
      <c r="AZ200" s="145">
        <f t="shared" ref="AZ200:BA200" si="899">SUM(AZ201,-AZ202,-AZ203)</f>
        <v>699108</v>
      </c>
      <c r="BA200" s="145">
        <f t="shared" si="899"/>
        <v>687385</v>
      </c>
      <c r="BB200" s="145">
        <f t="shared" ref="BB200:BC200" si="900">SUM(BB201,-BB202,-BB203)</f>
        <v>690914</v>
      </c>
      <c r="BC200" s="145">
        <f t="shared" si="900"/>
        <v>641664</v>
      </c>
      <c r="BD200" s="145">
        <f t="shared" ref="BD200:BE200" si="901">SUM(BD201,-BD202,-BD203)</f>
        <v>901934</v>
      </c>
      <c r="BE200" s="145">
        <f t="shared" si="901"/>
        <v>690914</v>
      </c>
      <c r="BF200" s="145">
        <f t="shared" ref="BF200:BG200" si="902">SUM(BF201,-BF202,-BF203)</f>
        <v>641664</v>
      </c>
      <c r="BG200" s="145">
        <f t="shared" si="902"/>
        <v>901934</v>
      </c>
      <c r="BH200" s="145">
        <f t="shared" ref="BH200:BL200" si="903">SUM(BH201,-BH202,-BH203)</f>
        <v>848706</v>
      </c>
      <c r="BI200" s="145">
        <f t="shared" si="903"/>
        <v>843734</v>
      </c>
      <c r="BJ200" s="145">
        <f t="shared" si="903"/>
        <v>932497</v>
      </c>
      <c r="BK200" s="145">
        <f t="shared" si="903"/>
        <v>905038</v>
      </c>
      <c r="BL200" s="145">
        <f t="shared" si="903"/>
        <v>843734</v>
      </c>
      <c r="BM200" s="145">
        <f t="shared" ref="BM200:BN200" si="904">SUM(BM201,-BM202,-BM203)</f>
        <v>932497</v>
      </c>
      <c r="BN200" s="145">
        <f t="shared" si="904"/>
        <v>905038</v>
      </c>
      <c r="BO200" s="145">
        <f t="shared" ref="BO200:BP200" si="905">SUM(BO201,-BO202,-BO203)</f>
        <v>872299</v>
      </c>
      <c r="BP200" s="145">
        <f t="shared" si="905"/>
        <v>983235</v>
      </c>
      <c r="BQ200" s="145">
        <f t="shared" ref="BQ200:BS200" si="906">SUM(BQ201,-BQ202,-BQ203)</f>
        <v>926523</v>
      </c>
      <c r="BR200" s="145">
        <f t="shared" si="906"/>
        <v>911429</v>
      </c>
      <c r="BS200" s="145">
        <f t="shared" si="906"/>
        <v>983235</v>
      </c>
      <c r="BT200" s="145">
        <f t="shared" ref="BT200:BU200" si="907">SUM(BT201,-BT202,-BT203)</f>
        <v>926523</v>
      </c>
      <c r="BU200" s="145">
        <f t="shared" si="907"/>
        <v>911429</v>
      </c>
      <c r="BV200" s="145">
        <f t="shared" ref="BV200" si="908">SUM(BV201,-BV202,-BV203)</f>
        <v>842584</v>
      </c>
      <c r="BW200" s="145">
        <f t="shared" ref="BW200:CB200" si="909">SUM(BW201,-BW202,-BW203)</f>
        <v>781584</v>
      </c>
      <c r="BX200" s="145">
        <f t="shared" si="909"/>
        <v>889807</v>
      </c>
      <c r="BY200" s="145">
        <f t="shared" si="909"/>
        <v>897436</v>
      </c>
      <c r="BZ200" s="145">
        <f t="shared" si="909"/>
        <v>781584</v>
      </c>
      <c r="CA200" s="145">
        <f t="shared" si="909"/>
        <v>889807</v>
      </c>
      <c r="CB200" s="145">
        <f t="shared" si="909"/>
        <v>897436</v>
      </c>
      <c r="CC200" s="145">
        <f t="shared" ref="CC200:CD200" si="910">SUM(CC201,-CC202,-CC203)</f>
        <v>902530</v>
      </c>
      <c r="CD200" s="145">
        <f t="shared" si="910"/>
        <v>928523</v>
      </c>
      <c r="CE200" s="145">
        <f t="shared" ref="CE200:CG200" si="911">SUM(CE201,-CE202,-CE203)</f>
        <v>943307</v>
      </c>
      <c r="CF200" s="145">
        <f t="shared" si="911"/>
        <v>923024</v>
      </c>
      <c r="CG200" s="145">
        <f t="shared" si="911"/>
        <v>928523</v>
      </c>
      <c r="CH200" s="145">
        <f t="shared" ref="CH200:CI200" si="912">SUM(CH201,-CH202,-CH203)</f>
        <v>943307</v>
      </c>
      <c r="CI200" s="145">
        <f t="shared" si="912"/>
        <v>923024</v>
      </c>
      <c r="CJ200" s="145">
        <v>912716</v>
      </c>
      <c r="CK200" s="145">
        <f t="shared" ref="CK200:CO200" si="913">SUM(CK201,-CK202,-CK203)</f>
        <v>875895</v>
      </c>
      <c r="CL200" s="145">
        <f t="shared" si="913"/>
        <v>0</v>
      </c>
      <c r="CM200" s="145">
        <f t="shared" si="913"/>
        <v>0</v>
      </c>
      <c r="CN200" s="145">
        <f t="shared" si="913"/>
        <v>875895</v>
      </c>
      <c r="CO200" s="145">
        <f t="shared" si="913"/>
        <v>0</v>
      </c>
    </row>
    <row r="201" spans="1:93" s="92" customFormat="1" x14ac:dyDescent="0.25">
      <c r="A201" s="121" t="str">
        <f>Language!AA199</f>
        <v>(+) Patrimônio Líquido</v>
      </c>
      <c r="B201" s="155">
        <f t="shared" ref="B201:M201" si="914">B67</f>
        <v>1379240</v>
      </c>
      <c r="C201" s="155">
        <f t="shared" si="914"/>
        <v>1379441</v>
      </c>
      <c r="D201" s="155">
        <f t="shared" si="914"/>
        <v>1353086</v>
      </c>
      <c r="E201" s="188">
        <f t="shared" si="914"/>
        <v>1360542</v>
      </c>
      <c r="F201" s="155">
        <f t="shared" si="914"/>
        <v>1376169</v>
      </c>
      <c r="G201" s="155">
        <f t="shared" si="914"/>
        <v>1366372</v>
      </c>
      <c r="H201" s="155">
        <f t="shared" si="914"/>
        <v>1342609</v>
      </c>
      <c r="I201" s="188">
        <f t="shared" si="914"/>
        <v>1843722</v>
      </c>
      <c r="J201" s="155">
        <f t="shared" si="914"/>
        <v>1862413</v>
      </c>
      <c r="K201" s="155">
        <f t="shared" si="914"/>
        <v>2015117</v>
      </c>
      <c r="L201" s="155">
        <f t="shared" si="914"/>
        <v>2109303</v>
      </c>
      <c r="M201" s="188">
        <f t="shared" si="914"/>
        <v>2000115</v>
      </c>
      <c r="N201" s="155">
        <f t="shared" ref="N201:O201" si="915">N67</f>
        <v>2167352</v>
      </c>
      <c r="O201" s="155">
        <f t="shared" si="915"/>
        <v>2135705</v>
      </c>
      <c r="P201" s="155">
        <f t="shared" ref="P201:R201" si="916">P67</f>
        <v>1774230</v>
      </c>
      <c r="Q201" s="155">
        <f t="shared" si="916"/>
        <v>1315140</v>
      </c>
      <c r="R201" s="189">
        <f t="shared" si="916"/>
        <v>1403205</v>
      </c>
      <c r="S201" s="155">
        <f t="shared" ref="S201:T201" si="917">S67</f>
        <v>0</v>
      </c>
      <c r="T201" s="155">
        <f t="shared" si="917"/>
        <v>1291785</v>
      </c>
      <c r="U201" s="155">
        <f t="shared" ref="U201:V201" si="918">U67</f>
        <v>1342144</v>
      </c>
      <c r="V201" s="155">
        <f t="shared" si="918"/>
        <v>0</v>
      </c>
      <c r="W201" s="155">
        <f t="shared" ref="W201:X201" si="919">W67</f>
        <v>1291785</v>
      </c>
      <c r="X201" s="155">
        <f t="shared" si="919"/>
        <v>1342144</v>
      </c>
      <c r="Y201" s="189">
        <f t="shared" ref="Y201:AB201" si="920">Y67</f>
        <v>1311909</v>
      </c>
      <c r="Z201" s="155">
        <f t="shared" si="920"/>
        <v>1223066</v>
      </c>
      <c r="AA201" s="155">
        <f t="shared" si="920"/>
        <v>1167659</v>
      </c>
      <c r="AB201" s="155">
        <f t="shared" si="920"/>
        <v>975591</v>
      </c>
      <c r="AC201" s="155">
        <f t="shared" ref="AC201:AD201" si="921">AC67</f>
        <v>1223066</v>
      </c>
      <c r="AD201" s="155">
        <f t="shared" si="921"/>
        <v>1167659</v>
      </c>
      <c r="AE201" s="155">
        <f t="shared" ref="AE201" si="922">AE67</f>
        <v>975591</v>
      </c>
      <c r="AF201" s="189">
        <v>874627</v>
      </c>
      <c r="AG201" s="155">
        <v>669513</v>
      </c>
      <c r="AH201" s="155">
        <v>459199</v>
      </c>
      <c r="AI201" s="155">
        <v>1272878</v>
      </c>
      <c r="AJ201" s="155">
        <v>669513</v>
      </c>
      <c r="AK201" s="155">
        <v>459199</v>
      </c>
      <c r="AL201" s="155">
        <v>1272878</v>
      </c>
      <c r="AM201" s="189">
        <f t="shared" ref="AM201:AQ201" si="923">AM67</f>
        <v>1231135</v>
      </c>
      <c r="AN201" s="155">
        <f t="shared" ref="AN201:AN203" si="924">AQ201</f>
        <v>1224303</v>
      </c>
      <c r="AO201" s="155"/>
      <c r="AP201" s="155">
        <f t="shared" si="606"/>
        <v>-285998</v>
      </c>
      <c r="AQ201" s="155">
        <f t="shared" si="923"/>
        <v>1224303</v>
      </c>
      <c r="AR201" s="155">
        <f t="shared" ref="AR201:AS201" si="925">AR67</f>
        <v>1170117</v>
      </c>
      <c r="AS201" s="155">
        <f t="shared" si="925"/>
        <v>884119</v>
      </c>
      <c r="AT201" s="189">
        <f t="shared" ref="AT201:AU201" si="926">AT67</f>
        <v>840102</v>
      </c>
      <c r="AU201" s="189">
        <f t="shared" si="926"/>
        <v>752438</v>
      </c>
      <c r="AV201" s="189">
        <f>AV67</f>
        <v>684212</v>
      </c>
      <c r="AW201" s="189">
        <f>AW67</f>
        <v>715528</v>
      </c>
      <c r="AX201" s="189">
        <f t="shared" ref="AX201" si="927">AX67</f>
        <v>752438</v>
      </c>
      <c r="AY201" s="189">
        <f t="shared" ref="AY201:AZ201" si="928">AY67</f>
        <v>684212</v>
      </c>
      <c r="AZ201" s="189">
        <f t="shared" si="928"/>
        <v>715528</v>
      </c>
      <c r="BA201" s="189">
        <f t="shared" ref="BA201:BB201" si="929">BA67</f>
        <v>700585</v>
      </c>
      <c r="BB201" s="189">
        <f t="shared" si="929"/>
        <v>701690</v>
      </c>
      <c r="BC201" s="189">
        <f t="shared" ref="BC201:BD201" si="930">BC67</f>
        <v>648781</v>
      </c>
      <c r="BD201" s="189">
        <f t="shared" si="930"/>
        <v>904880</v>
      </c>
      <c r="BE201" s="189">
        <f t="shared" ref="BE201:BF201" si="931">BE67</f>
        <v>701690</v>
      </c>
      <c r="BF201" s="189">
        <f t="shared" si="931"/>
        <v>648781</v>
      </c>
      <c r="BG201" s="189">
        <f t="shared" ref="BG201:BH201" si="932">BG67</f>
        <v>904880</v>
      </c>
      <c r="BH201" s="189">
        <f t="shared" si="932"/>
        <v>848706</v>
      </c>
      <c r="BI201" s="189">
        <f t="shared" ref="BI201:BL201" si="933">BI67</f>
        <v>843734</v>
      </c>
      <c r="BJ201" s="189">
        <f t="shared" si="933"/>
        <v>932497</v>
      </c>
      <c r="BK201" s="189">
        <f t="shared" si="933"/>
        <v>905038</v>
      </c>
      <c r="BL201" s="189">
        <f t="shared" si="933"/>
        <v>843734</v>
      </c>
      <c r="BM201" s="189">
        <f t="shared" ref="BM201:BN201" si="934">BM67</f>
        <v>932497</v>
      </c>
      <c r="BN201" s="189">
        <f t="shared" si="934"/>
        <v>905038</v>
      </c>
      <c r="BO201" s="189">
        <f t="shared" ref="BO201:BP201" si="935">BO67</f>
        <v>872299</v>
      </c>
      <c r="BP201" s="189">
        <f t="shared" si="935"/>
        <v>983235</v>
      </c>
      <c r="BQ201" s="189">
        <f t="shared" ref="BQ201:BS201" si="936">BQ67</f>
        <v>926523</v>
      </c>
      <c r="BR201" s="189">
        <f t="shared" si="936"/>
        <v>911429</v>
      </c>
      <c r="BS201" s="189">
        <f t="shared" si="936"/>
        <v>983235</v>
      </c>
      <c r="BT201" s="189">
        <f t="shared" ref="BT201:BU201" si="937">BT67</f>
        <v>926523</v>
      </c>
      <c r="BU201" s="189">
        <f t="shared" si="937"/>
        <v>911429</v>
      </c>
      <c r="BV201" s="189">
        <f t="shared" ref="BV201" si="938">BV67</f>
        <v>842584</v>
      </c>
      <c r="BW201" s="189">
        <f t="shared" ref="BW201:CB201" si="939">BW67</f>
        <v>781584</v>
      </c>
      <c r="BX201" s="189">
        <f t="shared" si="939"/>
        <v>889807</v>
      </c>
      <c r="BY201" s="189">
        <f t="shared" si="939"/>
        <v>897436</v>
      </c>
      <c r="BZ201" s="189">
        <f t="shared" si="939"/>
        <v>781584</v>
      </c>
      <c r="CA201" s="189">
        <f t="shared" si="939"/>
        <v>889807</v>
      </c>
      <c r="CB201" s="189">
        <f t="shared" si="939"/>
        <v>897436</v>
      </c>
      <c r="CC201" s="189">
        <f t="shared" ref="CC201:CD201" si="940">CC67</f>
        <v>902530</v>
      </c>
      <c r="CD201" s="189">
        <f t="shared" si="940"/>
        <v>928523</v>
      </c>
      <c r="CE201" s="189">
        <f t="shared" ref="CE201:CG201" si="941">CE67</f>
        <v>943307</v>
      </c>
      <c r="CF201" s="189">
        <f t="shared" si="941"/>
        <v>923024</v>
      </c>
      <c r="CG201" s="189">
        <f t="shared" si="941"/>
        <v>928523</v>
      </c>
      <c r="CH201" s="189">
        <f t="shared" ref="CH201:CI201" si="942">CH67</f>
        <v>943307</v>
      </c>
      <c r="CI201" s="189">
        <f t="shared" si="942"/>
        <v>923024</v>
      </c>
      <c r="CJ201" s="189">
        <v>912716</v>
      </c>
      <c r="CK201" s="189">
        <f t="shared" ref="CK201:CO201" si="943">CK67</f>
        <v>875895</v>
      </c>
      <c r="CL201" s="189">
        <f t="shared" si="943"/>
        <v>0</v>
      </c>
      <c r="CM201" s="189">
        <f t="shared" si="943"/>
        <v>0</v>
      </c>
      <c r="CN201" s="189">
        <f t="shared" si="943"/>
        <v>875895</v>
      </c>
      <c r="CO201" s="189">
        <f t="shared" si="943"/>
        <v>0</v>
      </c>
    </row>
    <row r="202" spans="1:93" s="92" customFormat="1" x14ac:dyDescent="0.25">
      <c r="A202" s="121" t="str">
        <f>Language!AA200</f>
        <v>(-) Reserva de Reavaliação Líquida</v>
      </c>
      <c r="B202" s="155">
        <f t="shared" ref="B202:M202" si="944">B71</f>
        <v>257292</v>
      </c>
      <c r="C202" s="155">
        <f t="shared" si="944"/>
        <v>245839</v>
      </c>
      <c r="D202" s="155">
        <f t="shared" si="944"/>
        <v>235216</v>
      </c>
      <c r="E202" s="188">
        <f t="shared" si="944"/>
        <v>225060</v>
      </c>
      <c r="F202" s="155">
        <f t="shared" si="944"/>
        <v>215165</v>
      </c>
      <c r="G202" s="155">
        <f t="shared" si="944"/>
        <v>204142</v>
      </c>
      <c r="H202" s="155">
        <f t="shared" si="944"/>
        <v>194844</v>
      </c>
      <c r="I202" s="188">
        <f t="shared" si="944"/>
        <v>185316</v>
      </c>
      <c r="J202" s="155">
        <f t="shared" si="944"/>
        <v>177544</v>
      </c>
      <c r="K202" s="155">
        <f t="shared" si="944"/>
        <v>171663</v>
      </c>
      <c r="L202" s="155">
        <f t="shared" si="944"/>
        <v>165782</v>
      </c>
      <c r="M202" s="188">
        <f t="shared" si="944"/>
        <v>160104</v>
      </c>
      <c r="N202" s="155">
        <f t="shared" ref="N202:O202" si="945">N71</f>
        <v>154422</v>
      </c>
      <c r="O202" s="155">
        <f t="shared" si="945"/>
        <v>148579</v>
      </c>
      <c r="P202" s="155">
        <f t="shared" ref="P202:R202" si="946">P71</f>
        <v>143422</v>
      </c>
      <c r="Q202" s="155">
        <f t="shared" si="946"/>
        <v>137985</v>
      </c>
      <c r="R202" s="189">
        <f t="shared" si="946"/>
        <v>134101</v>
      </c>
      <c r="S202" s="155">
        <f t="shared" ref="S202:T202" si="947">S71</f>
        <v>0</v>
      </c>
      <c r="T202" s="155">
        <f t="shared" si="947"/>
        <v>126806</v>
      </c>
      <c r="U202" s="155">
        <f t="shared" ref="U202:V202" si="948">U71</f>
        <v>123359</v>
      </c>
      <c r="V202" s="155">
        <f t="shared" si="948"/>
        <v>0</v>
      </c>
      <c r="W202" s="155">
        <f t="shared" ref="W202:X202" si="949">W71</f>
        <v>126806</v>
      </c>
      <c r="X202" s="155">
        <f t="shared" si="949"/>
        <v>123359</v>
      </c>
      <c r="Y202" s="189">
        <f t="shared" ref="Y202:AB202" si="950">Y71</f>
        <v>118747</v>
      </c>
      <c r="Z202" s="155">
        <f t="shared" si="950"/>
        <v>114217</v>
      </c>
      <c r="AA202" s="155">
        <f t="shared" si="950"/>
        <v>109708</v>
      </c>
      <c r="AB202" s="155">
        <f t="shared" si="950"/>
        <v>105255</v>
      </c>
      <c r="AC202" s="155">
        <f t="shared" ref="AC202:AD202" si="951">AC71</f>
        <v>114217</v>
      </c>
      <c r="AD202" s="155">
        <f t="shared" si="951"/>
        <v>109708</v>
      </c>
      <c r="AE202" s="155">
        <f t="shared" ref="AE202" si="952">AE71</f>
        <v>105255</v>
      </c>
      <c r="AF202" s="189">
        <v>100113</v>
      </c>
      <c r="AG202" s="155">
        <v>95176</v>
      </c>
      <c r="AH202" s="155">
        <v>90091</v>
      </c>
      <c r="AI202" s="155">
        <v>85014</v>
      </c>
      <c r="AJ202" s="155">
        <v>95176</v>
      </c>
      <c r="AK202" s="155">
        <v>90091</v>
      </c>
      <c r="AL202" s="155">
        <v>85014</v>
      </c>
      <c r="AM202" s="189">
        <f t="shared" ref="AM202:AQ202" si="953">AM71</f>
        <v>69377</v>
      </c>
      <c r="AN202" s="155">
        <f t="shared" si="924"/>
        <v>64310</v>
      </c>
      <c r="AO202" s="155"/>
      <c r="AP202" s="155">
        <f t="shared" si="606"/>
        <v>-20444</v>
      </c>
      <c r="AQ202" s="155">
        <f t="shared" si="953"/>
        <v>64310</v>
      </c>
      <c r="AR202" s="155">
        <f t="shared" ref="AR202:AS202" si="954">AR71</f>
        <v>64140</v>
      </c>
      <c r="AS202" s="155">
        <f t="shared" si="954"/>
        <v>43696</v>
      </c>
      <c r="AT202" s="189">
        <f t="shared" ref="AT202:AU202" si="955">AT71</f>
        <v>40890</v>
      </c>
      <c r="AU202" s="189">
        <f t="shared" si="955"/>
        <v>37037</v>
      </c>
      <c r="AV202" s="189">
        <f t="shared" ref="AV202:AY202" si="956">AV71</f>
        <v>31510</v>
      </c>
      <c r="AW202" s="189">
        <f t="shared" ref="AW202:AX202" si="957">AW71</f>
        <v>16420</v>
      </c>
      <c r="AX202" s="189">
        <f t="shared" si="957"/>
        <v>37037</v>
      </c>
      <c r="AY202" s="189">
        <f t="shared" si="956"/>
        <v>31510</v>
      </c>
      <c r="AZ202" s="189">
        <f t="shared" ref="AZ202:BA202" si="958">AZ71</f>
        <v>16420</v>
      </c>
      <c r="BA202" s="189">
        <f t="shared" si="958"/>
        <v>13200</v>
      </c>
      <c r="BB202" s="189">
        <f t="shared" ref="BB202:BC202" si="959">BB71</f>
        <v>10776</v>
      </c>
      <c r="BC202" s="189">
        <f t="shared" si="959"/>
        <v>7117</v>
      </c>
      <c r="BD202" s="189">
        <f t="shared" ref="BD202:BE202" si="960">BD71</f>
        <v>2946</v>
      </c>
      <c r="BE202" s="189">
        <f t="shared" si="960"/>
        <v>10776</v>
      </c>
      <c r="BF202" s="189">
        <f t="shared" ref="BF202:BG202" si="961">BF71</f>
        <v>7117</v>
      </c>
      <c r="BG202" s="189">
        <f t="shared" si="961"/>
        <v>2946</v>
      </c>
      <c r="BH202" s="189">
        <f t="shared" ref="BH202:BL202" si="962">BH71</f>
        <v>0</v>
      </c>
      <c r="BI202" s="189">
        <f t="shared" si="962"/>
        <v>0</v>
      </c>
      <c r="BJ202" s="189">
        <f t="shared" si="962"/>
        <v>0</v>
      </c>
      <c r="BK202" s="189">
        <f t="shared" si="962"/>
        <v>0</v>
      </c>
      <c r="BL202" s="189">
        <f t="shared" si="962"/>
        <v>0</v>
      </c>
      <c r="BM202" s="189">
        <f t="shared" ref="BM202:BN202" si="963">BM71</f>
        <v>0</v>
      </c>
      <c r="BN202" s="189">
        <f t="shared" si="963"/>
        <v>0</v>
      </c>
      <c r="BO202" s="189">
        <f t="shared" ref="BO202:BP202" si="964">BO71</f>
        <v>0</v>
      </c>
      <c r="BP202" s="189">
        <f t="shared" si="964"/>
        <v>0</v>
      </c>
      <c r="BQ202" s="189">
        <f t="shared" ref="BQ202:BS202" si="965">BQ71</f>
        <v>0</v>
      </c>
      <c r="BR202" s="189">
        <f t="shared" si="965"/>
        <v>0</v>
      </c>
      <c r="BS202" s="189">
        <f t="shared" si="965"/>
        <v>0</v>
      </c>
      <c r="BT202" s="189">
        <f t="shared" ref="BT202:BU202" si="966">BT71</f>
        <v>0</v>
      </c>
      <c r="BU202" s="189">
        <f t="shared" si="966"/>
        <v>0</v>
      </c>
      <c r="BV202" s="189">
        <f t="shared" ref="BV202" si="967">BV71</f>
        <v>0</v>
      </c>
      <c r="BW202" s="189">
        <f t="shared" ref="BW202:CB202" si="968">BW71</f>
        <v>0</v>
      </c>
      <c r="BX202" s="189">
        <f t="shared" si="968"/>
        <v>0</v>
      </c>
      <c r="BY202" s="189">
        <f t="shared" si="968"/>
        <v>0</v>
      </c>
      <c r="BZ202" s="189">
        <f t="shared" si="968"/>
        <v>0</v>
      </c>
      <c r="CA202" s="189">
        <f t="shared" si="968"/>
        <v>0</v>
      </c>
      <c r="CB202" s="189">
        <f t="shared" si="968"/>
        <v>0</v>
      </c>
      <c r="CC202" s="189">
        <f t="shared" ref="CC202:CD202" si="969">CC71</f>
        <v>0</v>
      </c>
      <c r="CD202" s="189">
        <f t="shared" si="969"/>
        <v>0</v>
      </c>
      <c r="CE202" s="189">
        <f t="shared" ref="CE202:CG202" si="970">CE71</f>
        <v>0</v>
      </c>
      <c r="CF202" s="189">
        <f t="shared" si="970"/>
        <v>0</v>
      </c>
      <c r="CG202" s="189">
        <f t="shared" si="970"/>
        <v>0</v>
      </c>
      <c r="CH202" s="189">
        <f t="shared" ref="CH202:CI202" si="971">CH71</f>
        <v>0</v>
      </c>
      <c r="CI202" s="189">
        <f t="shared" si="971"/>
        <v>0</v>
      </c>
      <c r="CJ202" s="189">
        <v>0</v>
      </c>
      <c r="CK202" s="189">
        <f t="shared" ref="CK202:CO202" si="972">CK71</f>
        <v>0</v>
      </c>
      <c r="CL202" s="189">
        <f t="shared" si="972"/>
        <v>0</v>
      </c>
      <c r="CM202" s="189">
        <f t="shared" si="972"/>
        <v>0</v>
      </c>
      <c r="CN202" s="189">
        <f t="shared" si="972"/>
        <v>0</v>
      </c>
      <c r="CO202" s="189">
        <f t="shared" si="972"/>
        <v>0</v>
      </c>
    </row>
    <row r="203" spans="1:93" s="92" customFormat="1" x14ac:dyDescent="0.25">
      <c r="A203" s="190" t="str">
        <f>Language!AA201</f>
        <v>(-) Ajuste de Avaliação Patrimonial Líquida</v>
      </c>
      <c r="B203" s="191">
        <f t="shared" ref="B203:M203" si="973">B73</f>
        <v>501621</v>
      </c>
      <c r="C203" s="191">
        <f t="shared" si="973"/>
        <v>495266</v>
      </c>
      <c r="D203" s="191">
        <f t="shared" si="973"/>
        <v>488993</v>
      </c>
      <c r="E203" s="192">
        <f t="shared" si="973"/>
        <v>482738</v>
      </c>
      <c r="F203" s="191">
        <f t="shared" si="973"/>
        <v>474974</v>
      </c>
      <c r="G203" s="191">
        <f t="shared" si="973"/>
        <v>467211</v>
      </c>
      <c r="H203" s="191">
        <f t="shared" si="973"/>
        <v>459448</v>
      </c>
      <c r="I203" s="192">
        <f t="shared" si="973"/>
        <v>451685</v>
      </c>
      <c r="J203" s="191">
        <f t="shared" si="973"/>
        <v>443922</v>
      </c>
      <c r="K203" s="191">
        <f t="shared" si="973"/>
        <v>436158</v>
      </c>
      <c r="L203" s="191">
        <f t="shared" si="973"/>
        <v>428396</v>
      </c>
      <c r="M203" s="192">
        <f t="shared" si="973"/>
        <v>420632</v>
      </c>
      <c r="N203" s="191">
        <f t="shared" ref="N203:O203" si="974">N73</f>
        <v>412869</v>
      </c>
      <c r="O203" s="191">
        <f t="shared" si="974"/>
        <v>405105</v>
      </c>
      <c r="P203" s="191">
        <f t="shared" ref="P203:R203" si="975">P73</f>
        <v>394243</v>
      </c>
      <c r="Q203" s="191">
        <f t="shared" si="975"/>
        <v>386369</v>
      </c>
      <c r="R203" s="193">
        <f t="shared" si="975"/>
        <v>379198</v>
      </c>
      <c r="S203" s="191">
        <f t="shared" ref="S203:T203" si="976">S73</f>
        <v>0</v>
      </c>
      <c r="T203" s="191">
        <f t="shared" si="976"/>
        <v>364856</v>
      </c>
      <c r="U203" s="191">
        <f t="shared" ref="U203:V203" si="977">U73</f>
        <v>281984</v>
      </c>
      <c r="V203" s="191">
        <f t="shared" si="977"/>
        <v>0</v>
      </c>
      <c r="W203" s="191">
        <f t="shared" ref="W203:X203" si="978">W73</f>
        <v>364856</v>
      </c>
      <c r="X203" s="191">
        <f t="shared" si="978"/>
        <v>281984</v>
      </c>
      <c r="Y203" s="193">
        <f t="shared" ref="Y203:AB203" si="979">Y73</f>
        <v>275294</v>
      </c>
      <c r="Z203" s="191">
        <f t="shared" si="979"/>
        <v>269081</v>
      </c>
      <c r="AA203" s="191">
        <f t="shared" si="979"/>
        <v>262759</v>
      </c>
      <c r="AB203" s="191">
        <f t="shared" si="979"/>
        <v>256546</v>
      </c>
      <c r="AC203" s="191">
        <f t="shared" ref="AC203:AD203" si="980">AC73</f>
        <v>269081</v>
      </c>
      <c r="AD203" s="191">
        <f t="shared" si="980"/>
        <v>262759</v>
      </c>
      <c r="AE203" s="191">
        <f t="shared" ref="AE203" si="981">AE73</f>
        <v>256546</v>
      </c>
      <c r="AF203" s="193">
        <v>250333</v>
      </c>
      <c r="AG203" s="191">
        <v>0</v>
      </c>
      <c r="AH203" s="191">
        <v>237906</v>
      </c>
      <c r="AI203" s="191">
        <v>0</v>
      </c>
      <c r="AJ203" s="191">
        <v>0</v>
      </c>
      <c r="AK203" s="191">
        <v>237906</v>
      </c>
      <c r="AL203" s="191">
        <v>0</v>
      </c>
      <c r="AM203" s="193">
        <f t="shared" ref="AM203:AQ203" si="982">AM73</f>
        <v>0</v>
      </c>
      <c r="AN203" s="191">
        <f t="shared" si="924"/>
        <v>0</v>
      </c>
      <c r="AO203" s="191"/>
      <c r="AP203" s="191">
        <f t="shared" si="606"/>
        <v>0</v>
      </c>
      <c r="AQ203" s="191">
        <f t="shared" si="982"/>
        <v>0</v>
      </c>
      <c r="AR203" s="191">
        <f t="shared" ref="AR203:AS203" si="983">AR73</f>
        <v>0</v>
      </c>
      <c r="AS203" s="191">
        <f t="shared" si="983"/>
        <v>0</v>
      </c>
      <c r="AT203" s="193">
        <f t="shared" ref="AT203:AU203" si="984">AT73</f>
        <v>0</v>
      </c>
      <c r="AU203" s="193">
        <f t="shared" si="984"/>
        <v>0</v>
      </c>
      <c r="AV203" s="193">
        <f t="shared" ref="AV203:AY203" si="985">AV73</f>
        <v>0</v>
      </c>
      <c r="AW203" s="193">
        <f t="shared" ref="AW203:AX203" si="986">AW73</f>
        <v>0</v>
      </c>
      <c r="AX203" s="193">
        <f t="shared" si="986"/>
        <v>0</v>
      </c>
      <c r="AY203" s="193">
        <f t="shared" si="985"/>
        <v>0</v>
      </c>
      <c r="AZ203" s="193">
        <f t="shared" ref="AZ203:BA203" si="987">AZ73</f>
        <v>0</v>
      </c>
      <c r="BA203" s="193">
        <f t="shared" si="987"/>
        <v>0</v>
      </c>
      <c r="BB203" s="193">
        <f t="shared" ref="BB203:BC203" si="988">BB73</f>
        <v>0</v>
      </c>
      <c r="BC203" s="193">
        <f t="shared" si="988"/>
        <v>0</v>
      </c>
      <c r="BD203" s="193">
        <f t="shared" ref="BD203:BE203" si="989">BD73</f>
        <v>0</v>
      </c>
      <c r="BE203" s="193">
        <f t="shared" si="989"/>
        <v>0</v>
      </c>
      <c r="BF203" s="193">
        <f t="shared" ref="BF203:BG203" si="990">BF73</f>
        <v>0</v>
      </c>
      <c r="BG203" s="193">
        <f t="shared" si="990"/>
        <v>0</v>
      </c>
      <c r="BH203" s="193">
        <f t="shared" ref="BH203:BL203" si="991">BH73</f>
        <v>0</v>
      </c>
      <c r="BI203" s="193">
        <f t="shared" si="991"/>
        <v>0</v>
      </c>
      <c r="BJ203" s="193">
        <f t="shared" si="991"/>
        <v>0</v>
      </c>
      <c r="BK203" s="193">
        <f t="shared" si="991"/>
        <v>0</v>
      </c>
      <c r="BL203" s="193">
        <f t="shared" si="991"/>
        <v>0</v>
      </c>
      <c r="BM203" s="193">
        <f t="shared" ref="BM203:BN203" si="992">BM73</f>
        <v>0</v>
      </c>
      <c r="BN203" s="193">
        <f t="shared" si="992"/>
        <v>0</v>
      </c>
      <c r="BO203" s="193">
        <f t="shared" ref="BO203:BP203" si="993">BO73</f>
        <v>0</v>
      </c>
      <c r="BP203" s="193">
        <f t="shared" si="993"/>
        <v>0</v>
      </c>
      <c r="BQ203" s="193">
        <f t="shared" ref="BQ203:BS203" si="994">BQ73</f>
        <v>0</v>
      </c>
      <c r="BR203" s="193">
        <f t="shared" si="994"/>
        <v>0</v>
      </c>
      <c r="BS203" s="193">
        <f t="shared" si="994"/>
        <v>0</v>
      </c>
      <c r="BT203" s="193">
        <f t="shared" ref="BT203:BU203" si="995">BT73</f>
        <v>0</v>
      </c>
      <c r="BU203" s="193">
        <f t="shared" si="995"/>
        <v>0</v>
      </c>
      <c r="BV203" s="193">
        <f t="shared" ref="BV203" si="996">BV73</f>
        <v>0</v>
      </c>
      <c r="BW203" s="193">
        <f t="shared" ref="BW203:CB203" si="997">BW73</f>
        <v>0</v>
      </c>
      <c r="BX203" s="193">
        <f t="shared" si="997"/>
        <v>0</v>
      </c>
      <c r="BY203" s="193">
        <f t="shared" si="997"/>
        <v>0</v>
      </c>
      <c r="BZ203" s="193">
        <f t="shared" si="997"/>
        <v>0</v>
      </c>
      <c r="CA203" s="193">
        <f t="shared" si="997"/>
        <v>0</v>
      </c>
      <c r="CB203" s="193">
        <f t="shared" si="997"/>
        <v>0</v>
      </c>
      <c r="CC203" s="193">
        <f t="shared" ref="CC203:CD203" si="998">CC73</f>
        <v>0</v>
      </c>
      <c r="CD203" s="193">
        <f t="shared" si="998"/>
        <v>0</v>
      </c>
      <c r="CE203" s="193">
        <f t="shared" ref="CE203:CG203" si="999">CE73</f>
        <v>0</v>
      </c>
      <c r="CF203" s="193">
        <f t="shared" si="999"/>
        <v>0</v>
      </c>
      <c r="CG203" s="193">
        <f t="shared" si="999"/>
        <v>0</v>
      </c>
      <c r="CH203" s="193">
        <f t="shared" ref="CH203:CI203" si="1000">CH73</f>
        <v>0</v>
      </c>
      <c r="CI203" s="193">
        <f t="shared" si="1000"/>
        <v>0</v>
      </c>
      <c r="CJ203" s="193">
        <v>0</v>
      </c>
      <c r="CK203" s="193">
        <f t="shared" ref="CK203:CO203" si="1001">CK73</f>
        <v>0</v>
      </c>
      <c r="CL203" s="193">
        <f t="shared" si="1001"/>
        <v>0</v>
      </c>
      <c r="CM203" s="193">
        <f t="shared" si="1001"/>
        <v>0</v>
      </c>
      <c r="CN203" s="193">
        <f t="shared" si="1001"/>
        <v>0</v>
      </c>
      <c r="CO203" s="193">
        <f t="shared" si="1001"/>
        <v>0</v>
      </c>
    </row>
    <row r="204" spans="1:93" s="198" customFormat="1" ht="13" x14ac:dyDescent="0.3">
      <c r="A204" s="194" t="str">
        <f>Language!AA202</f>
        <v>EBITDA Ajustado</v>
      </c>
      <c r="B204" s="195">
        <f t="shared" ref="B204:AE204" si="1002">SUM(B205,B206,B207,B208,-B213,B214,-B212,-B215,B216)</f>
        <v>89989</v>
      </c>
      <c r="C204" s="195">
        <f t="shared" si="1002"/>
        <v>71591</v>
      </c>
      <c r="D204" s="195">
        <f t="shared" si="1002"/>
        <v>73380</v>
      </c>
      <c r="E204" s="196">
        <f t="shared" si="1002"/>
        <v>116990</v>
      </c>
      <c r="F204" s="195">
        <f t="shared" si="1002"/>
        <v>109929</v>
      </c>
      <c r="G204" s="195">
        <f t="shared" si="1002"/>
        <v>88720</v>
      </c>
      <c r="H204" s="195">
        <f t="shared" si="1002"/>
        <v>101111</v>
      </c>
      <c r="I204" s="196">
        <f t="shared" si="1002"/>
        <v>123609</v>
      </c>
      <c r="J204" s="195">
        <f t="shared" si="1002"/>
        <v>141678</v>
      </c>
      <c r="K204" s="195">
        <f t="shared" si="1002"/>
        <v>102526.208377127</v>
      </c>
      <c r="L204" s="195">
        <f t="shared" si="1002"/>
        <v>119079.67220000003</v>
      </c>
      <c r="M204" s="196">
        <f t="shared" si="1002"/>
        <v>152875.677</v>
      </c>
      <c r="N204" s="195">
        <f t="shared" si="1002"/>
        <v>354127</v>
      </c>
      <c r="O204" s="195" t="e">
        <f t="shared" si="1002"/>
        <v>#REF!</v>
      </c>
      <c r="P204" s="195" t="e">
        <f t="shared" si="1002"/>
        <v>#REF!</v>
      </c>
      <c r="Q204" s="195" t="e">
        <f t="shared" si="1002"/>
        <v>#REF!</v>
      </c>
      <c r="R204" s="197" t="e">
        <f t="shared" si="1002"/>
        <v>#REF!</v>
      </c>
      <c r="S204" s="195" t="e">
        <f t="shared" si="1002"/>
        <v>#REF!</v>
      </c>
      <c r="T204" s="195" t="e">
        <f t="shared" si="1002"/>
        <v>#REF!</v>
      </c>
      <c r="U204" s="195" t="e">
        <f t="shared" si="1002"/>
        <v>#REF!</v>
      </c>
      <c r="V204" s="195" t="e">
        <f t="shared" si="1002"/>
        <v>#REF!</v>
      </c>
      <c r="W204" s="195" t="e">
        <f t="shared" si="1002"/>
        <v>#REF!</v>
      </c>
      <c r="X204" s="195" t="e">
        <f t="shared" si="1002"/>
        <v>#REF!</v>
      </c>
      <c r="Y204" s="197" t="e">
        <f t="shared" si="1002"/>
        <v>#REF!</v>
      </c>
      <c r="Z204" s="195" t="e">
        <f t="shared" si="1002"/>
        <v>#REF!</v>
      </c>
      <c r="AA204" s="195" t="e">
        <f t="shared" si="1002"/>
        <v>#REF!</v>
      </c>
      <c r="AB204" s="195" t="e">
        <f t="shared" si="1002"/>
        <v>#REF!</v>
      </c>
      <c r="AC204" s="195" t="e">
        <f t="shared" si="1002"/>
        <v>#REF!</v>
      </c>
      <c r="AD204" s="195" t="e">
        <f t="shared" si="1002"/>
        <v>#REF!</v>
      </c>
      <c r="AE204" s="195" t="e">
        <f t="shared" si="1002"/>
        <v>#REF!</v>
      </c>
      <c r="AF204" s="197">
        <v>224093</v>
      </c>
      <c r="AG204" s="195">
        <v>186399</v>
      </c>
      <c r="AH204" s="195">
        <v>199180</v>
      </c>
      <c r="AI204" s="195">
        <v>919408</v>
      </c>
      <c r="AJ204" s="195">
        <v>410492</v>
      </c>
      <c r="AK204" s="195">
        <v>600010</v>
      </c>
      <c r="AL204" s="195">
        <v>1558396</v>
      </c>
      <c r="AM204" s="197">
        <f>SUM(AM205,AM206,AM207,AM208,-AM213,AM214,-AM212,-AM215,AM216)</f>
        <v>142288</v>
      </c>
      <c r="AN204" s="195">
        <f t="shared" ref="AN204:AN224" si="1003">AQ204-AM204</f>
        <v>87628</v>
      </c>
      <c r="AO204" s="195"/>
      <c r="AP204" s="195">
        <f t="shared" si="606"/>
        <v>130583</v>
      </c>
      <c r="AQ204" s="195">
        <f>SUM(AQ205,AQ206,AQ207,AQ208,-AQ213,AQ214,-AQ212,-AQ215,AQ216)</f>
        <v>229916</v>
      </c>
      <c r="AR204" s="195">
        <f t="shared" ref="AR204:CC204" si="1004">SUM(AR205:AR216)</f>
        <v>341543</v>
      </c>
      <c r="AS204" s="195">
        <f t="shared" si="1004"/>
        <v>472126</v>
      </c>
      <c r="AT204" s="197">
        <f t="shared" si="1004"/>
        <v>90385</v>
      </c>
      <c r="AU204" s="197">
        <f t="shared" si="1004"/>
        <v>86053</v>
      </c>
      <c r="AV204" s="197">
        <f t="shared" si="1004"/>
        <v>122021</v>
      </c>
      <c r="AW204" s="197">
        <f t="shared" si="1004"/>
        <v>123497</v>
      </c>
      <c r="AX204" s="197">
        <f t="shared" si="1004"/>
        <v>176438</v>
      </c>
      <c r="AY204" s="197">
        <f t="shared" si="1004"/>
        <v>298459</v>
      </c>
      <c r="AZ204" s="197">
        <f t="shared" si="1004"/>
        <v>421956</v>
      </c>
      <c r="BA204" s="197">
        <f t="shared" si="1004"/>
        <v>117235</v>
      </c>
      <c r="BB204" s="197">
        <f t="shared" si="1004"/>
        <v>89533</v>
      </c>
      <c r="BC204" s="197">
        <f t="shared" si="1004"/>
        <v>100071</v>
      </c>
      <c r="BD204" s="197">
        <f t="shared" si="1004"/>
        <v>116194</v>
      </c>
      <c r="BE204" s="197">
        <f t="shared" si="1004"/>
        <v>206768</v>
      </c>
      <c r="BF204" s="197">
        <f t="shared" si="1004"/>
        <v>306839</v>
      </c>
      <c r="BG204" s="197">
        <f t="shared" si="1004"/>
        <v>423033</v>
      </c>
      <c r="BH204" s="197">
        <f t="shared" si="1004"/>
        <v>91915</v>
      </c>
      <c r="BI204" s="197">
        <f t="shared" si="1004"/>
        <v>94767</v>
      </c>
      <c r="BJ204" s="197">
        <f t="shared" si="1004"/>
        <v>158102</v>
      </c>
      <c r="BK204" s="197">
        <f t="shared" si="1004"/>
        <v>92711</v>
      </c>
      <c r="BL204" s="197">
        <f t="shared" si="1004"/>
        <v>186682</v>
      </c>
      <c r="BM204" s="197">
        <f t="shared" si="1004"/>
        <v>344784</v>
      </c>
      <c r="BN204" s="197">
        <f t="shared" si="1004"/>
        <v>437495</v>
      </c>
      <c r="BO204" s="197">
        <f t="shared" si="1004"/>
        <v>56784</v>
      </c>
      <c r="BP204" s="197">
        <f t="shared" si="1004"/>
        <v>112268</v>
      </c>
      <c r="BQ204" s="197">
        <f t="shared" si="1004"/>
        <v>-3226</v>
      </c>
      <c r="BR204" s="197">
        <f t="shared" si="1004"/>
        <v>78006</v>
      </c>
      <c r="BS204" s="197">
        <f t="shared" si="1004"/>
        <v>169052</v>
      </c>
      <c r="BT204" s="197">
        <f t="shared" si="1004"/>
        <v>274920</v>
      </c>
      <c r="BU204" s="197">
        <f t="shared" si="1004"/>
        <v>352926</v>
      </c>
      <c r="BV204" s="197">
        <f t="shared" si="1004"/>
        <v>85425</v>
      </c>
      <c r="BW204" s="197">
        <f t="shared" si="1004"/>
        <v>116272</v>
      </c>
      <c r="BX204" s="197">
        <f t="shared" si="1004"/>
        <v>201721</v>
      </c>
      <c r="BY204" s="197">
        <f t="shared" si="1004"/>
        <v>155363</v>
      </c>
      <c r="BZ204" s="197">
        <f t="shared" si="1004"/>
        <v>201697</v>
      </c>
      <c r="CA204" s="197">
        <f t="shared" si="1004"/>
        <v>403418</v>
      </c>
      <c r="CB204" s="197">
        <f t="shared" si="1004"/>
        <v>558781</v>
      </c>
      <c r="CC204" s="197">
        <f t="shared" si="1004"/>
        <v>75405</v>
      </c>
      <c r="CD204" s="197">
        <f>SUM(CD205:CD216)-1</f>
        <v>96578</v>
      </c>
      <c r="CE204" s="197">
        <f t="shared" ref="CE204:CI204" si="1005">SUM(CE205:CE216)</f>
        <v>206712</v>
      </c>
      <c r="CF204" s="197">
        <f t="shared" si="1005"/>
        <v>136180</v>
      </c>
      <c r="CG204" s="197">
        <f t="shared" si="1005"/>
        <v>171984</v>
      </c>
      <c r="CH204" s="197">
        <f t="shared" si="1005"/>
        <v>378696</v>
      </c>
      <c r="CI204" s="197">
        <f t="shared" si="1005"/>
        <v>518979</v>
      </c>
      <c r="CJ204" s="197">
        <v>79693</v>
      </c>
      <c r="CK204" s="197">
        <f t="shared" ref="CK204:CO204" si="1006">SUM(CK205:CK216)</f>
        <v>96348</v>
      </c>
      <c r="CL204" s="197">
        <f t="shared" si="1006"/>
        <v>0</v>
      </c>
      <c r="CM204" s="197">
        <f t="shared" si="1006"/>
        <v>0</v>
      </c>
      <c r="CN204" s="197">
        <f t="shared" si="1006"/>
        <v>176041</v>
      </c>
      <c r="CO204" s="197">
        <f t="shared" si="1006"/>
        <v>0</v>
      </c>
    </row>
    <row r="205" spans="1:93" s="92" customFormat="1" x14ac:dyDescent="0.25">
      <c r="A205" s="121" t="str">
        <f>Language!AA203</f>
        <v>(+) EBIT</v>
      </c>
      <c r="B205" s="155">
        <f t="shared" ref="B205:M205" si="1007">B112</f>
        <v>46750</v>
      </c>
      <c r="C205" s="155">
        <f t="shared" si="1007"/>
        <v>23776</v>
      </c>
      <c r="D205" s="155">
        <f t="shared" si="1007"/>
        <v>28233</v>
      </c>
      <c r="E205" s="188">
        <f t="shared" si="1007"/>
        <v>75585</v>
      </c>
      <c r="F205" s="155">
        <f t="shared" si="1007"/>
        <v>57564</v>
      </c>
      <c r="G205" s="155">
        <f t="shared" si="1007"/>
        <v>33420</v>
      </c>
      <c r="H205" s="155">
        <f t="shared" si="1007"/>
        <v>47878</v>
      </c>
      <c r="I205" s="188">
        <f t="shared" si="1007"/>
        <v>68625</v>
      </c>
      <c r="J205" s="155">
        <f>J112</f>
        <v>96186</v>
      </c>
      <c r="K205" s="155">
        <f t="shared" si="1007"/>
        <v>60464.996611825001</v>
      </c>
      <c r="L205" s="155">
        <f t="shared" si="1007"/>
        <v>71341.830000000016</v>
      </c>
      <c r="M205" s="188">
        <f t="shared" si="1007"/>
        <v>108956.94039999999</v>
      </c>
      <c r="N205" s="155">
        <f>N112</f>
        <v>297841</v>
      </c>
      <c r="O205" s="155">
        <f>O112</f>
        <v>89655</v>
      </c>
      <c r="P205" s="155">
        <f t="shared" ref="P205" si="1008">P112</f>
        <v>128331</v>
      </c>
      <c r="Q205" s="199">
        <f>Q112</f>
        <v>-555542</v>
      </c>
      <c r="R205" s="189">
        <f t="shared" ref="R205:S205" si="1009">R112</f>
        <v>300233</v>
      </c>
      <c r="S205" s="155">
        <f t="shared" si="1009"/>
        <v>87762</v>
      </c>
      <c r="T205" s="155">
        <f t="shared" ref="T205:W205" si="1010">T112</f>
        <v>145131</v>
      </c>
      <c r="U205" s="155">
        <f t="shared" ref="U205:V205" si="1011">U112</f>
        <v>281622</v>
      </c>
      <c r="V205" s="155">
        <f t="shared" si="1011"/>
        <v>387995</v>
      </c>
      <c r="W205" s="155">
        <f t="shared" si="1010"/>
        <v>533126</v>
      </c>
      <c r="X205" s="155">
        <f t="shared" ref="X205:Y205" si="1012">X112</f>
        <v>814748</v>
      </c>
      <c r="Y205" s="189">
        <f t="shared" si="1012"/>
        <v>113361</v>
      </c>
      <c r="Z205" s="155">
        <f t="shared" ref="Z205:AB205" si="1013">Z112</f>
        <v>100783</v>
      </c>
      <c r="AA205" s="155">
        <f t="shared" si="1013"/>
        <v>106679</v>
      </c>
      <c r="AB205" s="155">
        <f t="shared" si="1013"/>
        <v>124853</v>
      </c>
      <c r="AC205" s="155">
        <f t="shared" ref="AC205:AD205" si="1014">AC112</f>
        <v>214144</v>
      </c>
      <c r="AD205" s="155">
        <f t="shared" si="1014"/>
        <v>320823</v>
      </c>
      <c r="AE205" s="155">
        <f t="shared" ref="AE205" si="1015">AE112</f>
        <v>445676</v>
      </c>
      <c r="AF205" s="189">
        <v>95101</v>
      </c>
      <c r="AG205" s="155">
        <v>-304816</v>
      </c>
      <c r="AH205" s="155">
        <v>-205110</v>
      </c>
      <c r="AI205" s="155">
        <v>943538</v>
      </c>
      <c r="AJ205" s="155">
        <v>-209715</v>
      </c>
      <c r="AK205" s="155">
        <v>-414825</v>
      </c>
      <c r="AL205" s="155">
        <v>528713</v>
      </c>
      <c r="AM205" s="189">
        <f>AM112</f>
        <v>93003</v>
      </c>
      <c r="AN205" s="155">
        <f t="shared" si="1003"/>
        <v>20175</v>
      </c>
      <c r="AO205" s="155"/>
      <c r="AP205" s="155">
        <f t="shared" si="606"/>
        <v>-180465</v>
      </c>
      <c r="AQ205" s="155">
        <f>AQ112</f>
        <v>113178</v>
      </c>
      <c r="AR205" s="155">
        <f>AR112</f>
        <v>129352</v>
      </c>
      <c r="AS205" s="155">
        <f>AS112</f>
        <v>-51113</v>
      </c>
      <c r="AT205" s="189">
        <f>AT112</f>
        <v>312</v>
      </c>
      <c r="AU205" s="189">
        <f t="shared" ref="AU205" si="1016">AU112</f>
        <v>-10474</v>
      </c>
      <c r="AV205" s="189">
        <f>AY205-AX205</f>
        <v>6159</v>
      </c>
      <c r="AW205" s="189">
        <f>AZ205-AY205</f>
        <v>30748</v>
      </c>
      <c r="AX205" s="189">
        <f t="shared" ref="AX205" si="1017">AX112</f>
        <v>-10162</v>
      </c>
      <c r="AY205" s="189">
        <f t="shared" ref="AY205:BE205" si="1018">AY112</f>
        <v>-4003</v>
      </c>
      <c r="AZ205" s="189">
        <f t="shared" si="1018"/>
        <v>26745</v>
      </c>
      <c r="BA205" s="189">
        <f t="shared" si="1018"/>
        <v>27789</v>
      </c>
      <c r="BB205" s="189">
        <f t="shared" si="1018"/>
        <v>6977</v>
      </c>
      <c r="BC205" s="189">
        <f t="shared" si="1018"/>
        <v>-18976</v>
      </c>
      <c r="BD205" s="189">
        <f t="shared" si="1018"/>
        <v>260564</v>
      </c>
      <c r="BE205" s="189">
        <f t="shared" si="1018"/>
        <v>34766</v>
      </c>
      <c r="BF205" s="189">
        <f t="shared" ref="BF205:BG205" si="1019">BF112</f>
        <v>15790</v>
      </c>
      <c r="BG205" s="189">
        <f t="shared" si="1019"/>
        <v>276354</v>
      </c>
      <c r="BH205" s="189">
        <f t="shared" ref="BH205:BL205" si="1020">BH112</f>
        <v>-13852</v>
      </c>
      <c r="BI205" s="189">
        <f>BI112</f>
        <v>-11040</v>
      </c>
      <c r="BJ205" s="189">
        <f t="shared" si="1020"/>
        <v>72953</v>
      </c>
      <c r="BK205" s="189">
        <f t="shared" si="1020"/>
        <v>21145</v>
      </c>
      <c r="BL205" s="189">
        <f t="shared" si="1020"/>
        <v>-24892</v>
      </c>
      <c r="BM205" s="189">
        <f t="shared" ref="BM205:BN205" si="1021">BM112</f>
        <v>48061</v>
      </c>
      <c r="BN205" s="189">
        <f t="shared" si="1021"/>
        <v>69206</v>
      </c>
      <c r="BO205" s="189">
        <f t="shared" ref="BO205:BP205" si="1022">BO112</f>
        <v>10601</v>
      </c>
      <c r="BP205" s="189">
        <f t="shared" si="1022"/>
        <v>291876</v>
      </c>
      <c r="BQ205" s="189">
        <f t="shared" ref="BQ205:BS205" si="1023">BQ112</f>
        <v>-44552</v>
      </c>
      <c r="BR205" s="189">
        <f t="shared" si="1023"/>
        <v>6494</v>
      </c>
      <c r="BS205" s="189">
        <f t="shared" si="1023"/>
        <v>302477</v>
      </c>
      <c r="BT205" s="189">
        <f t="shared" ref="BT205:CB205" si="1024">BT112</f>
        <v>257925</v>
      </c>
      <c r="BU205" s="189">
        <f t="shared" si="1024"/>
        <v>264419</v>
      </c>
      <c r="BV205" s="189">
        <f t="shared" si="1024"/>
        <v>-19607</v>
      </c>
      <c r="BW205" s="189">
        <f t="shared" si="1024"/>
        <v>-10656</v>
      </c>
      <c r="BX205" s="189">
        <f t="shared" si="1024"/>
        <v>73734</v>
      </c>
      <c r="BY205" s="189">
        <f t="shared" si="1024"/>
        <v>49287</v>
      </c>
      <c r="BZ205" s="189">
        <f t="shared" si="1024"/>
        <v>-30263</v>
      </c>
      <c r="CA205" s="189">
        <f t="shared" si="1024"/>
        <v>43471</v>
      </c>
      <c r="CB205" s="189">
        <f t="shared" si="1024"/>
        <v>92758</v>
      </c>
      <c r="CC205" s="189">
        <f t="shared" ref="CC205:CD205" si="1025">CC112</f>
        <v>35833</v>
      </c>
      <c r="CD205" s="189">
        <f t="shared" si="1025"/>
        <v>56748</v>
      </c>
      <c r="CE205" s="189">
        <f t="shared" ref="CE205:CG205" si="1026">CE112</f>
        <v>143294</v>
      </c>
      <c r="CF205" s="189">
        <f t="shared" si="1026"/>
        <v>93034</v>
      </c>
      <c r="CG205" s="189">
        <f t="shared" si="1026"/>
        <v>92581</v>
      </c>
      <c r="CH205" s="189">
        <f t="shared" ref="CH205:CI205" si="1027">CH112</f>
        <v>235875</v>
      </c>
      <c r="CI205" s="189">
        <f t="shared" si="1027"/>
        <v>328909</v>
      </c>
      <c r="CJ205" s="189">
        <v>29898</v>
      </c>
      <c r="CK205" s="189">
        <f t="shared" ref="CK205:CO205" si="1028">CK112</f>
        <v>25286</v>
      </c>
      <c r="CL205" s="189">
        <f t="shared" si="1028"/>
        <v>0</v>
      </c>
      <c r="CM205" s="189">
        <f t="shared" si="1028"/>
        <v>0</v>
      </c>
      <c r="CN205" s="189">
        <f t="shared" si="1028"/>
        <v>55184</v>
      </c>
      <c r="CO205" s="189">
        <f t="shared" si="1028"/>
        <v>0</v>
      </c>
    </row>
    <row r="206" spans="1:93" s="92" customFormat="1" x14ac:dyDescent="0.25">
      <c r="A206" s="121" t="str">
        <f>Language!AA204</f>
        <v>(+) Depreciação e Amortização</v>
      </c>
      <c r="B206" s="155">
        <f t="shared" ref="B206:M206" si="1029">-B168</f>
        <v>42714</v>
      </c>
      <c r="C206" s="155">
        <f t="shared" si="1029"/>
        <v>45064</v>
      </c>
      <c r="D206" s="155">
        <f t="shared" si="1029"/>
        <v>42800</v>
      </c>
      <c r="E206" s="188">
        <f t="shared" si="1029"/>
        <v>46968</v>
      </c>
      <c r="F206" s="155">
        <f t="shared" si="1029"/>
        <v>50543</v>
      </c>
      <c r="G206" s="155">
        <f t="shared" si="1029"/>
        <v>55275</v>
      </c>
      <c r="H206" s="155">
        <f t="shared" si="1029"/>
        <v>49365</v>
      </c>
      <c r="I206" s="188">
        <f t="shared" si="1029"/>
        <v>54782</v>
      </c>
      <c r="J206" s="155">
        <f>-J168</f>
        <v>58323</v>
      </c>
      <c r="K206" s="155">
        <f t="shared" si="1029"/>
        <v>57136.211765301996</v>
      </c>
      <c r="L206" s="155">
        <f t="shared" si="1029"/>
        <v>60104.842199999999</v>
      </c>
      <c r="M206" s="188">
        <f t="shared" si="1029"/>
        <v>65174.736600000004</v>
      </c>
      <c r="N206" s="155">
        <f>-N168</f>
        <v>68379</v>
      </c>
      <c r="O206" s="155">
        <f>-O168</f>
        <v>70988</v>
      </c>
      <c r="P206" s="155">
        <f t="shared" ref="P206:Q206" si="1030">-P168</f>
        <v>70130</v>
      </c>
      <c r="Q206" s="155">
        <f t="shared" si="1030"/>
        <v>76090</v>
      </c>
      <c r="R206" s="189">
        <f t="shared" ref="R206:S206" si="1031">-R168</f>
        <v>86568</v>
      </c>
      <c r="S206" s="155">
        <f t="shared" si="1031"/>
        <v>87121</v>
      </c>
      <c r="T206" s="155">
        <f t="shared" ref="T206:W206" si="1032">-T168</f>
        <v>90869</v>
      </c>
      <c r="U206" s="155">
        <f t="shared" ref="U206:V206" si="1033">-U168</f>
        <v>82029</v>
      </c>
      <c r="V206" s="155">
        <f t="shared" si="1033"/>
        <v>173689</v>
      </c>
      <c r="W206" s="155">
        <f t="shared" si="1032"/>
        <v>264558</v>
      </c>
      <c r="X206" s="155">
        <f t="shared" ref="X206:Y206" si="1034">-X168</f>
        <v>346587</v>
      </c>
      <c r="Y206" s="189">
        <f t="shared" si="1034"/>
        <v>91962</v>
      </c>
      <c r="Z206" s="155">
        <f t="shared" ref="Z206:AB206" si="1035">-Z168</f>
        <v>85999</v>
      </c>
      <c r="AA206" s="155">
        <f t="shared" si="1035"/>
        <v>95789</v>
      </c>
      <c r="AB206" s="155">
        <f t="shared" si="1035"/>
        <v>93307</v>
      </c>
      <c r="AC206" s="155">
        <f t="shared" ref="AC206:AD206" si="1036">-AC168</f>
        <v>177961</v>
      </c>
      <c r="AD206" s="155">
        <f t="shared" si="1036"/>
        <v>273750</v>
      </c>
      <c r="AE206" s="155">
        <f t="shared" ref="AE206" si="1037">-AE168</f>
        <v>367057</v>
      </c>
      <c r="AF206" s="189">
        <v>118856</v>
      </c>
      <c r="AG206" s="155">
        <v>126588</v>
      </c>
      <c r="AH206" s="155">
        <v>46814</v>
      </c>
      <c r="AI206" s="155">
        <v>-183410</v>
      </c>
      <c r="AJ206" s="155">
        <v>245444</v>
      </c>
      <c r="AK206" s="155">
        <v>292258</v>
      </c>
      <c r="AL206" s="155">
        <v>108848</v>
      </c>
      <c r="AM206" s="189">
        <f t="shared" ref="AM206:AQ206" si="1038">-AM168</f>
        <v>52602</v>
      </c>
      <c r="AN206" s="155">
        <f t="shared" si="1003"/>
        <v>52213</v>
      </c>
      <c r="AO206" s="155"/>
      <c r="AP206" s="155">
        <f t="shared" si="606"/>
        <v>75375</v>
      </c>
      <c r="AQ206" s="155">
        <f t="shared" si="1038"/>
        <v>104815</v>
      </c>
      <c r="AR206" s="155">
        <f t="shared" ref="AR206:AS206" si="1039">-AR168</f>
        <v>165291</v>
      </c>
      <c r="AS206" s="155">
        <f t="shared" si="1039"/>
        <v>240666</v>
      </c>
      <c r="AT206" s="189">
        <f t="shared" ref="AT206:AU206" si="1040">-AT168</f>
        <v>77746</v>
      </c>
      <c r="AU206" s="189">
        <f t="shared" si="1040"/>
        <v>82551</v>
      </c>
      <c r="AV206" s="189">
        <f t="shared" ref="AV206:AW214" si="1041">AY206-AX206</f>
        <v>83962</v>
      </c>
      <c r="AW206" s="189">
        <f t="shared" si="1041"/>
        <v>109752</v>
      </c>
      <c r="AX206" s="189">
        <f t="shared" ref="AX206" si="1042">-AX168</f>
        <v>160297</v>
      </c>
      <c r="AY206" s="189">
        <f t="shared" ref="AY206:AZ206" si="1043">-AY168</f>
        <v>244259</v>
      </c>
      <c r="AZ206" s="189">
        <f t="shared" si="1043"/>
        <v>354011</v>
      </c>
      <c r="BA206" s="189">
        <f t="shared" ref="BA206:BB206" si="1044">-BA168</f>
        <v>85363</v>
      </c>
      <c r="BB206" s="189">
        <f t="shared" si="1044"/>
        <v>73492</v>
      </c>
      <c r="BC206" s="189">
        <f t="shared" ref="BC206:BD206" si="1045">-BC168</f>
        <v>101015</v>
      </c>
      <c r="BD206" s="189">
        <f t="shared" si="1045"/>
        <v>117461</v>
      </c>
      <c r="BE206" s="189">
        <f t="shared" ref="BE206:BF206" si="1046">-BE168</f>
        <v>158855</v>
      </c>
      <c r="BF206" s="189">
        <f t="shared" si="1046"/>
        <v>259870</v>
      </c>
      <c r="BG206" s="189">
        <f t="shared" ref="BG206:BH206" si="1047">-BG168</f>
        <v>377331</v>
      </c>
      <c r="BH206" s="189">
        <f t="shared" si="1047"/>
        <v>111558</v>
      </c>
      <c r="BI206" s="189">
        <f t="shared" ref="BI206:BL206" si="1048">-BI168</f>
        <v>117219</v>
      </c>
      <c r="BJ206" s="189">
        <f t="shared" si="1048"/>
        <v>57039</v>
      </c>
      <c r="BK206" s="189">
        <f t="shared" si="1048"/>
        <v>90933</v>
      </c>
      <c r="BL206" s="189">
        <f t="shared" si="1048"/>
        <v>228777</v>
      </c>
      <c r="BM206" s="189">
        <f t="shared" ref="BM206:BN206" si="1049">-BM168</f>
        <v>285816</v>
      </c>
      <c r="BN206" s="189">
        <f t="shared" si="1049"/>
        <v>376749</v>
      </c>
      <c r="BO206" s="189">
        <f t="shared" ref="BO206:BP206" si="1050">-BO168</f>
        <v>44619</v>
      </c>
      <c r="BP206" s="189">
        <f t="shared" si="1050"/>
        <v>41681</v>
      </c>
      <c r="BQ206" s="189">
        <f t="shared" ref="BQ206:BS206" si="1051">-BQ168</f>
        <v>45245</v>
      </c>
      <c r="BR206" s="189">
        <f t="shared" si="1051"/>
        <v>26464</v>
      </c>
      <c r="BS206" s="189">
        <f t="shared" si="1051"/>
        <v>86300</v>
      </c>
      <c r="BT206" s="189">
        <f t="shared" ref="BT206:BU206" si="1052">-BT168</f>
        <v>131545</v>
      </c>
      <c r="BU206" s="189">
        <f t="shared" si="1052"/>
        <v>158009</v>
      </c>
      <c r="BV206" s="189">
        <f t="shared" ref="BV206" si="1053">-BV168</f>
        <v>37218</v>
      </c>
      <c r="BW206" s="189">
        <f t="shared" ref="BW206:CB206" si="1054">-BW168</f>
        <v>37102</v>
      </c>
      <c r="BX206" s="189">
        <f t="shared" si="1054"/>
        <v>41373</v>
      </c>
      <c r="BY206" s="189">
        <f t="shared" si="1054"/>
        <v>46035</v>
      </c>
      <c r="BZ206" s="189">
        <f t="shared" si="1054"/>
        <v>74320</v>
      </c>
      <c r="CA206" s="189">
        <f t="shared" si="1054"/>
        <v>115693</v>
      </c>
      <c r="CB206" s="189">
        <f t="shared" si="1054"/>
        <v>161728</v>
      </c>
      <c r="CC206" s="189">
        <f t="shared" ref="CC206:CD206" si="1055">-CC168</f>
        <v>39582</v>
      </c>
      <c r="CD206" s="189">
        <f t="shared" si="1055"/>
        <v>42801</v>
      </c>
      <c r="CE206" s="189">
        <f t="shared" ref="CE206:CG206" si="1056">-CE168</f>
        <v>46827</v>
      </c>
      <c r="CF206" s="189">
        <f t="shared" si="1056"/>
        <v>38035</v>
      </c>
      <c r="CG206" s="189">
        <f t="shared" si="1056"/>
        <v>82383</v>
      </c>
      <c r="CH206" s="189">
        <f t="shared" ref="CH206:CI206" si="1057">-CH168</f>
        <v>129210</v>
      </c>
      <c r="CI206" s="189">
        <f t="shared" si="1057"/>
        <v>167245</v>
      </c>
      <c r="CJ206" s="189">
        <v>43153</v>
      </c>
      <c r="CK206" s="189">
        <f t="shared" ref="CK206:CO206" si="1058">-CK168</f>
        <v>72626</v>
      </c>
      <c r="CL206" s="189">
        <f t="shared" si="1058"/>
        <v>0</v>
      </c>
      <c r="CM206" s="189">
        <f t="shared" si="1058"/>
        <v>0</v>
      </c>
      <c r="CN206" s="189">
        <f t="shared" si="1058"/>
        <v>115779</v>
      </c>
      <c r="CO206" s="189">
        <f t="shared" si="1058"/>
        <v>0</v>
      </c>
    </row>
    <row r="207" spans="1:93" s="92" customFormat="1" x14ac:dyDescent="0.25">
      <c r="A207" s="121" t="str">
        <f>Language!AA205</f>
        <v>(+) Provisão para Manutenção</v>
      </c>
      <c r="B207" s="155">
        <f t="shared" ref="B207:N207" si="1059">B175</f>
        <v>521</v>
      </c>
      <c r="C207" s="155">
        <f t="shared" si="1059"/>
        <v>2852</v>
      </c>
      <c r="D207" s="155">
        <f t="shared" si="1059"/>
        <v>2207</v>
      </c>
      <c r="E207" s="188">
        <f t="shared" si="1059"/>
        <v>2641</v>
      </c>
      <c r="F207" s="155">
        <f t="shared" si="1059"/>
        <v>1665</v>
      </c>
      <c r="G207" s="155">
        <f t="shared" si="1059"/>
        <v>0</v>
      </c>
      <c r="H207" s="155">
        <f t="shared" si="1059"/>
        <v>0</v>
      </c>
      <c r="I207" s="188">
        <f t="shared" si="1059"/>
        <v>0</v>
      </c>
      <c r="J207" s="155">
        <f t="shared" si="1059"/>
        <v>0</v>
      </c>
      <c r="K207" s="155">
        <f t="shared" si="1059"/>
        <v>0</v>
      </c>
      <c r="L207" s="155">
        <f t="shared" si="1059"/>
        <v>0</v>
      </c>
      <c r="M207" s="188">
        <f t="shared" si="1059"/>
        <v>0</v>
      </c>
      <c r="N207" s="155">
        <f t="shared" si="1059"/>
        <v>0</v>
      </c>
      <c r="O207" s="155">
        <f>O175</f>
        <v>-3388</v>
      </c>
      <c r="P207" s="155">
        <f>P175</f>
        <v>-3246</v>
      </c>
      <c r="Q207" s="155">
        <f t="shared" ref="Q207" si="1060">Q175</f>
        <v>-3764</v>
      </c>
      <c r="R207" s="189">
        <f t="shared" ref="R207:S207" si="1061">R175</f>
        <v>0</v>
      </c>
      <c r="S207" s="155">
        <f t="shared" si="1061"/>
        <v>0</v>
      </c>
      <c r="T207" s="155">
        <f t="shared" ref="T207:W207" si="1062">T175</f>
        <v>0</v>
      </c>
      <c r="U207" s="155">
        <f t="shared" ref="U207:V207" si="1063">U175</f>
        <v>21894</v>
      </c>
      <c r="V207" s="155">
        <f t="shared" si="1063"/>
        <v>0</v>
      </c>
      <c r="W207" s="155">
        <f t="shared" si="1062"/>
        <v>0</v>
      </c>
      <c r="X207" s="155">
        <f>X175</f>
        <v>21894</v>
      </c>
      <c r="Y207" s="189">
        <f>Y175</f>
        <v>12828</v>
      </c>
      <c r="Z207" s="155">
        <f>Z175</f>
        <v>12893</v>
      </c>
      <c r="AA207" s="155">
        <f t="shared" ref="AA207:AB207" si="1064">AA175</f>
        <v>10267</v>
      </c>
      <c r="AB207" s="155">
        <f t="shared" si="1064"/>
        <v>6406</v>
      </c>
      <c r="AC207" s="155">
        <f>AC175</f>
        <v>25721</v>
      </c>
      <c r="AD207" s="155">
        <f>AD175</f>
        <v>35988</v>
      </c>
      <c r="AE207" s="155">
        <f t="shared" ref="AE207" si="1065">AE175</f>
        <v>42394</v>
      </c>
      <c r="AF207" s="189">
        <v>10778</v>
      </c>
      <c r="AG207" s="155">
        <v>10862</v>
      </c>
      <c r="AH207" s="155">
        <v>21683</v>
      </c>
      <c r="AI207" s="155">
        <v>-20668</v>
      </c>
      <c r="AJ207" s="155">
        <v>21640</v>
      </c>
      <c r="AK207" s="155">
        <v>32545</v>
      </c>
      <c r="AL207" s="155">
        <v>53213</v>
      </c>
      <c r="AM207" s="189">
        <f>-AM175</f>
        <v>12050</v>
      </c>
      <c r="AN207" s="155">
        <f t="shared" si="1003"/>
        <v>10486</v>
      </c>
      <c r="AO207" s="155"/>
      <c r="AP207" s="155">
        <f t="shared" si="606"/>
        <v>3063</v>
      </c>
      <c r="AQ207" s="155">
        <f>-AQ175</f>
        <v>22536</v>
      </c>
      <c r="AR207" s="155">
        <f>-AR175</f>
        <v>33935</v>
      </c>
      <c r="AS207" s="155">
        <f>-AS175</f>
        <v>36998</v>
      </c>
      <c r="AT207" s="189">
        <f>-AT175</f>
        <v>11193</v>
      </c>
      <c r="AU207" s="189">
        <f t="shared" ref="AU207:AU208" si="1066">-AU175</f>
        <v>11225</v>
      </c>
      <c r="AV207" s="189">
        <f t="shared" si="1041"/>
        <v>11150</v>
      </c>
      <c r="AW207" s="189">
        <f t="shared" si="1041"/>
        <v>11455</v>
      </c>
      <c r="AX207" s="189">
        <f t="shared" ref="AX207" si="1067">-AX175</f>
        <v>22418</v>
      </c>
      <c r="AY207" s="189">
        <f t="shared" ref="AY207:BE208" si="1068">-AY175</f>
        <v>33568</v>
      </c>
      <c r="AZ207" s="189">
        <f t="shared" si="1068"/>
        <v>45023</v>
      </c>
      <c r="BA207" s="189">
        <f t="shared" si="1068"/>
        <v>3705</v>
      </c>
      <c r="BB207" s="189">
        <f t="shared" si="1068"/>
        <v>3729</v>
      </c>
      <c r="BC207" s="189">
        <f t="shared" si="1068"/>
        <v>3798</v>
      </c>
      <c r="BD207" s="189">
        <f t="shared" si="1068"/>
        <v>3484</v>
      </c>
      <c r="BE207" s="189">
        <f t="shared" si="1068"/>
        <v>7434</v>
      </c>
      <c r="BF207" s="189">
        <f t="shared" ref="BF207:BG207" si="1069">-BF175</f>
        <v>11232</v>
      </c>
      <c r="BG207" s="189">
        <f t="shared" si="1069"/>
        <v>14716</v>
      </c>
      <c r="BH207" s="189">
        <f t="shared" ref="BH207:BL207" si="1070">-BH175</f>
        <v>-8637</v>
      </c>
      <c r="BI207" s="189">
        <f t="shared" si="1070"/>
        <v>-9731</v>
      </c>
      <c r="BJ207" s="189">
        <f t="shared" si="1070"/>
        <v>27428</v>
      </c>
      <c r="BK207" s="189">
        <f t="shared" si="1070"/>
        <v>3122</v>
      </c>
      <c r="BL207" s="189">
        <f t="shared" si="1070"/>
        <v>-18368</v>
      </c>
      <c r="BM207" s="189">
        <f t="shared" ref="BM207:BN207" si="1071">-BM175</f>
        <v>9060</v>
      </c>
      <c r="BN207" s="189">
        <f t="shared" si="1071"/>
        <v>12182</v>
      </c>
      <c r="BO207" s="189">
        <f t="shared" ref="BO207:BP207" si="1072">-BO175</f>
        <v>210</v>
      </c>
      <c r="BP207" s="189">
        <f t="shared" si="1072"/>
        <v>210</v>
      </c>
      <c r="BQ207" s="189">
        <f t="shared" ref="BQ207:BS207" si="1073">-BQ175</f>
        <v>210</v>
      </c>
      <c r="BR207" s="189">
        <f t="shared" si="1073"/>
        <v>210</v>
      </c>
      <c r="BS207" s="189">
        <f t="shared" si="1073"/>
        <v>420</v>
      </c>
      <c r="BT207" s="189">
        <f t="shared" ref="BT207:BV208" si="1074">-BT175</f>
        <v>630</v>
      </c>
      <c r="BU207" s="189">
        <f t="shared" si="1074"/>
        <v>840</v>
      </c>
      <c r="BV207" s="189">
        <f t="shared" si="1074"/>
        <v>170</v>
      </c>
      <c r="BW207" s="189">
        <f t="shared" ref="BW207:BZ208" si="1075">-BW175</f>
        <v>169</v>
      </c>
      <c r="BX207" s="189">
        <f t="shared" si="1075"/>
        <v>170</v>
      </c>
      <c r="BY207" s="189">
        <f t="shared" si="1075"/>
        <v>169</v>
      </c>
      <c r="BZ207" s="189">
        <f t="shared" si="1075"/>
        <v>339</v>
      </c>
      <c r="CA207" s="189">
        <f t="shared" ref="CA207:CB207" si="1076">-CA175</f>
        <v>509</v>
      </c>
      <c r="CB207" s="189">
        <f t="shared" si="1076"/>
        <v>678</v>
      </c>
      <c r="CC207" s="189">
        <f t="shared" ref="CC207:CD207" si="1077">-CC175</f>
        <v>89</v>
      </c>
      <c r="CD207" s="189">
        <f t="shared" si="1077"/>
        <v>-2211</v>
      </c>
      <c r="CE207" s="189">
        <f t="shared" ref="CE207:CG207" si="1078">-CE175</f>
        <v>114</v>
      </c>
      <c r="CF207" s="189">
        <f t="shared" si="1078"/>
        <v>258</v>
      </c>
      <c r="CG207" s="189">
        <f t="shared" si="1078"/>
        <v>-2122</v>
      </c>
      <c r="CH207" s="189">
        <f t="shared" ref="CH207:CI207" si="1079">-CH175</f>
        <v>-2008</v>
      </c>
      <c r="CI207" s="189">
        <f t="shared" si="1079"/>
        <v>-1750</v>
      </c>
      <c r="CJ207" s="189">
        <v>24</v>
      </c>
      <c r="CK207" s="189">
        <f t="shared" ref="CK207:CO207" si="1080">-CK175</f>
        <v>25</v>
      </c>
      <c r="CL207" s="189">
        <f t="shared" si="1080"/>
        <v>0</v>
      </c>
      <c r="CM207" s="189">
        <f t="shared" si="1080"/>
        <v>0</v>
      </c>
      <c r="CN207" s="189">
        <f t="shared" si="1080"/>
        <v>49</v>
      </c>
      <c r="CO207" s="189">
        <f t="shared" si="1080"/>
        <v>0</v>
      </c>
    </row>
    <row r="208" spans="1:93" x14ac:dyDescent="0.25">
      <c r="A208" s="121" t="str">
        <f>Language!AA206</f>
        <v>(+) Despesas Não Recorrentes</v>
      </c>
      <c r="B208" s="155">
        <f t="shared" ref="B208:M208" si="1081">B176</f>
        <v>4</v>
      </c>
      <c r="C208" s="155">
        <f t="shared" si="1081"/>
        <v>-101</v>
      </c>
      <c r="D208" s="155">
        <f t="shared" si="1081"/>
        <v>140</v>
      </c>
      <c r="E208" s="188">
        <f t="shared" si="1081"/>
        <v>-8204</v>
      </c>
      <c r="F208" s="155">
        <f t="shared" si="1081"/>
        <v>157</v>
      </c>
      <c r="G208" s="155">
        <f t="shared" si="1081"/>
        <v>25</v>
      </c>
      <c r="H208" s="155">
        <f t="shared" si="1081"/>
        <v>3868</v>
      </c>
      <c r="I208" s="188">
        <f t="shared" si="1081"/>
        <v>202</v>
      </c>
      <c r="J208" s="155">
        <f t="shared" si="1081"/>
        <v>604</v>
      </c>
      <c r="K208" s="155">
        <f t="shared" si="1081"/>
        <v>104</v>
      </c>
      <c r="L208" s="155">
        <f t="shared" si="1081"/>
        <v>78</v>
      </c>
      <c r="M208" s="188">
        <f t="shared" si="1081"/>
        <v>472</v>
      </c>
      <c r="N208" s="155">
        <v>1216</v>
      </c>
      <c r="O208" s="155">
        <f>O176</f>
        <v>942</v>
      </c>
      <c r="P208" s="155">
        <f t="shared" ref="P208:Q208" si="1082">P176</f>
        <v>7619</v>
      </c>
      <c r="Q208" s="155">
        <f t="shared" si="1082"/>
        <v>627959</v>
      </c>
      <c r="R208" s="189">
        <f t="shared" ref="R208:S208" si="1083">R176</f>
        <v>5965</v>
      </c>
      <c r="S208" s="155">
        <f t="shared" si="1083"/>
        <v>14682</v>
      </c>
      <c r="T208" s="155">
        <f t="shared" ref="T208:W208" si="1084">T176</f>
        <v>13</v>
      </c>
      <c r="U208" s="155">
        <f t="shared" ref="U208:V208" si="1085">U176</f>
        <v>33850</v>
      </c>
      <c r="V208" s="155">
        <f t="shared" si="1085"/>
        <v>20647</v>
      </c>
      <c r="W208" s="155">
        <f t="shared" si="1084"/>
        <v>20660</v>
      </c>
      <c r="X208" s="155">
        <f t="shared" ref="X208:Y208" si="1086">X176</f>
        <v>54510</v>
      </c>
      <c r="Y208" s="189">
        <f t="shared" si="1086"/>
        <v>-96</v>
      </c>
      <c r="Z208" s="155">
        <f t="shared" ref="Z208:AB208" si="1087">Z176</f>
        <v>167</v>
      </c>
      <c r="AA208" s="155">
        <f t="shared" si="1087"/>
        <v>4755</v>
      </c>
      <c r="AB208" s="155">
        <f t="shared" si="1087"/>
        <v>115</v>
      </c>
      <c r="AC208" s="155">
        <f t="shared" ref="AC208:AD208" si="1088">AC176</f>
        <v>71</v>
      </c>
      <c r="AD208" s="155">
        <f t="shared" si="1088"/>
        <v>4826</v>
      </c>
      <c r="AE208" s="155">
        <f t="shared" ref="AE208" si="1089">AE176</f>
        <v>4941</v>
      </c>
      <c r="AF208" s="200">
        <v>-352</v>
      </c>
      <c r="AG208" s="199">
        <v>353857</v>
      </c>
      <c r="AH208" s="199">
        <v>336175</v>
      </c>
      <c r="AI208" s="155">
        <v>179948</v>
      </c>
      <c r="AJ208" s="199">
        <v>353505</v>
      </c>
      <c r="AK208" s="199">
        <v>690032</v>
      </c>
      <c r="AL208" s="155">
        <v>869980</v>
      </c>
      <c r="AM208" s="200">
        <f>AM176</f>
        <v>-14778</v>
      </c>
      <c r="AN208" s="199">
        <f t="shared" si="1003"/>
        <v>5402</v>
      </c>
      <c r="AO208" s="199"/>
      <c r="AP208" s="199">
        <f t="shared" si="606"/>
        <v>233034</v>
      </c>
      <c r="AQ208" s="199">
        <f>AQ176</f>
        <v>-9376</v>
      </c>
      <c r="AR208" s="199">
        <f>-AR176</f>
        <v>15000</v>
      </c>
      <c r="AS208" s="155">
        <f>-AS176</f>
        <v>248034</v>
      </c>
      <c r="AT208" s="200">
        <f>-AT176</f>
        <v>1134</v>
      </c>
      <c r="AU208" s="200">
        <f t="shared" si="1066"/>
        <v>2751</v>
      </c>
      <c r="AV208" s="189">
        <f t="shared" si="1041"/>
        <v>20750</v>
      </c>
      <c r="AW208" s="189">
        <f t="shared" si="1041"/>
        <v>-28458</v>
      </c>
      <c r="AX208" s="200">
        <f t="shared" ref="AX208" si="1090">-AX176</f>
        <v>3885</v>
      </c>
      <c r="AY208" s="200">
        <f t="shared" si="1068"/>
        <v>24635</v>
      </c>
      <c r="AZ208" s="200">
        <f t="shared" si="1068"/>
        <v>-3823</v>
      </c>
      <c r="BA208" s="200">
        <f t="shared" si="1068"/>
        <v>378</v>
      </c>
      <c r="BB208" s="200">
        <f t="shared" si="1068"/>
        <v>5335</v>
      </c>
      <c r="BC208" s="200">
        <f t="shared" si="1068"/>
        <v>14234</v>
      </c>
      <c r="BD208" s="200">
        <f t="shared" si="1068"/>
        <v>-265315</v>
      </c>
      <c r="BE208" s="200">
        <f t="shared" si="1068"/>
        <v>5713</v>
      </c>
      <c r="BF208" s="200">
        <f t="shared" ref="BF208:BG208" si="1091">-BF176</f>
        <v>19947</v>
      </c>
      <c r="BG208" s="200">
        <f t="shared" si="1091"/>
        <v>-245368</v>
      </c>
      <c r="BH208" s="200">
        <f t="shared" ref="BH208:BK208" si="1092">-BH176</f>
        <v>2846</v>
      </c>
      <c r="BI208" s="200">
        <f t="shared" si="1092"/>
        <v>-1681</v>
      </c>
      <c r="BJ208" s="200">
        <f t="shared" si="1092"/>
        <v>682</v>
      </c>
      <c r="BK208" s="200">
        <f t="shared" si="1092"/>
        <v>-22489</v>
      </c>
      <c r="BL208" s="200">
        <f>-BL176</f>
        <v>1165</v>
      </c>
      <c r="BM208" s="200">
        <f t="shared" ref="BM208:BN208" si="1093">-BM176</f>
        <v>1847</v>
      </c>
      <c r="BN208" s="200">
        <f t="shared" si="1093"/>
        <v>-20642</v>
      </c>
      <c r="BO208" s="200">
        <f>-BO176</f>
        <v>1354</v>
      </c>
      <c r="BP208" s="200">
        <f>-BP176+11</f>
        <v>1069</v>
      </c>
      <c r="BQ208" s="200">
        <f t="shared" ref="BQ208" si="1094">-BQ176</f>
        <v>-4129</v>
      </c>
      <c r="BR208" s="200">
        <f>-BR176</f>
        <v>-1354</v>
      </c>
      <c r="BS208" s="200">
        <f>-BS176+11</f>
        <v>2423</v>
      </c>
      <c r="BT208" s="200">
        <f t="shared" si="1074"/>
        <v>-1717</v>
      </c>
      <c r="BU208" s="200">
        <f t="shared" si="1074"/>
        <v>-3071</v>
      </c>
      <c r="BV208" s="200">
        <f t="shared" si="1074"/>
        <v>520</v>
      </c>
      <c r="BW208" s="200">
        <f t="shared" si="1075"/>
        <v>2123</v>
      </c>
      <c r="BX208" s="200">
        <f t="shared" si="1075"/>
        <v>2746</v>
      </c>
      <c r="BY208" s="200">
        <f t="shared" si="1075"/>
        <v>3004</v>
      </c>
      <c r="BZ208" s="200">
        <f t="shared" si="1075"/>
        <v>2643</v>
      </c>
      <c r="CA208" s="200">
        <f t="shared" ref="CA208:CB208" si="1095">-CA176</f>
        <v>5389</v>
      </c>
      <c r="CB208" s="200">
        <f t="shared" si="1095"/>
        <v>8393</v>
      </c>
      <c r="CC208" s="200">
        <f t="shared" ref="CC208:CD208" si="1096">-CC176</f>
        <v>481</v>
      </c>
      <c r="CD208" s="200">
        <f t="shared" si="1096"/>
        <v>149</v>
      </c>
      <c r="CE208" s="200">
        <f t="shared" ref="CE208:CG208" si="1097">-CE176</f>
        <v>-3601</v>
      </c>
      <c r="CF208" s="200">
        <f t="shared" si="1097"/>
        <v>4853</v>
      </c>
      <c r="CG208" s="200">
        <f t="shared" si="1097"/>
        <v>630</v>
      </c>
      <c r="CH208" s="200">
        <f t="shared" ref="CH208:CI208" si="1098">-CH176</f>
        <v>-2971</v>
      </c>
      <c r="CI208" s="200">
        <f t="shared" si="1098"/>
        <v>1882</v>
      </c>
      <c r="CJ208" s="200">
        <v>6618</v>
      </c>
      <c r="CK208" s="200">
        <f t="shared" ref="CK208:CO208" si="1099">-CK176</f>
        <v>-1589</v>
      </c>
      <c r="CL208" s="200">
        <f t="shared" si="1099"/>
        <v>0</v>
      </c>
      <c r="CM208" s="200">
        <f t="shared" si="1099"/>
        <v>0</v>
      </c>
      <c r="CN208" s="200">
        <f t="shared" si="1099"/>
        <v>5029</v>
      </c>
      <c r="CO208" s="200">
        <f t="shared" si="1099"/>
        <v>0</v>
      </c>
    </row>
    <row r="209" spans="1:93" x14ac:dyDescent="0.25">
      <c r="A209" s="727" t="s">
        <v>732</v>
      </c>
      <c r="E209" s="188"/>
      <c r="I209" s="188"/>
      <c r="M209" s="188"/>
      <c r="R209" s="189"/>
      <c r="Y209" s="189"/>
      <c r="AF209" s="200"/>
      <c r="AG209" s="199"/>
      <c r="AH209" s="199"/>
      <c r="AJ209" s="199"/>
      <c r="AK209" s="199"/>
      <c r="AM209" s="200"/>
      <c r="AN209" s="199"/>
      <c r="AO209" s="199"/>
      <c r="AP209" s="199"/>
      <c r="AQ209" s="199"/>
      <c r="AR209" s="199"/>
      <c r="AT209" s="200"/>
      <c r="AU209" s="200"/>
      <c r="AV209" s="189"/>
      <c r="AW209" s="189"/>
      <c r="AX209" s="200"/>
      <c r="AY209" s="200"/>
      <c r="AZ209" s="200"/>
      <c r="BA209" s="200"/>
      <c r="BB209" s="200"/>
      <c r="BC209" s="200"/>
      <c r="BD209" s="200"/>
      <c r="BE209" s="200"/>
      <c r="BF209" s="200"/>
      <c r="BG209" s="200"/>
      <c r="BH209" s="200"/>
      <c r="BI209" s="200"/>
      <c r="BJ209" s="200"/>
      <c r="BK209" s="200"/>
      <c r="BL209" s="200"/>
      <c r="BM209" s="200"/>
      <c r="BN209" s="200"/>
      <c r="BO209" s="200"/>
      <c r="BP209" s="200">
        <f>BS209</f>
        <v>-303967</v>
      </c>
      <c r="BQ209" s="200"/>
      <c r="BR209" s="200">
        <v>-32390</v>
      </c>
      <c r="BS209" s="200">
        <v>-303967</v>
      </c>
      <c r="BT209" s="200">
        <v>-272424</v>
      </c>
      <c r="BU209" s="200">
        <f>-BU86</f>
        <v>-304814</v>
      </c>
      <c r="BV209" s="200">
        <v>-8625</v>
      </c>
      <c r="BW209" s="200">
        <f>BZ209-BV209</f>
        <v>8521</v>
      </c>
      <c r="BX209" s="200">
        <f>CA209-BZ209</f>
        <v>5819</v>
      </c>
      <c r="BY209" s="200">
        <f>CB209-CA209</f>
        <v>12023</v>
      </c>
      <c r="BZ209" s="200">
        <v>-104</v>
      </c>
      <c r="CA209" s="200">
        <v>5715</v>
      </c>
      <c r="CB209" s="200">
        <v>17738</v>
      </c>
      <c r="CC209" s="200">
        <v>-580</v>
      </c>
      <c r="CD209" s="200">
        <f>CG209-CC209</f>
        <v>9925</v>
      </c>
      <c r="CE209" s="200">
        <f>CH209-CG209</f>
        <v>20078</v>
      </c>
      <c r="CF209" s="200"/>
      <c r="CG209" s="200">
        <v>9345</v>
      </c>
      <c r="CH209" s="200">
        <v>29423</v>
      </c>
      <c r="CI209" s="200">
        <v>33526</v>
      </c>
      <c r="CJ209" s="200"/>
      <c r="CK209" s="200"/>
      <c r="CL209" s="200"/>
      <c r="CM209" s="200"/>
      <c r="CN209" s="200"/>
      <c r="CO209" s="200"/>
    </row>
    <row r="210" spans="1:93" x14ac:dyDescent="0.25">
      <c r="A210" s="727" t="s">
        <v>731</v>
      </c>
      <c r="E210" s="188"/>
      <c r="I210" s="188"/>
      <c r="M210" s="188"/>
      <c r="R210" s="189"/>
      <c r="Y210" s="189"/>
      <c r="AF210" s="200"/>
      <c r="AG210" s="199"/>
      <c r="AH210" s="199"/>
      <c r="AJ210" s="199"/>
      <c r="AK210" s="199"/>
      <c r="AM210" s="200"/>
      <c r="AN210" s="199"/>
      <c r="AO210" s="199"/>
      <c r="AP210" s="199"/>
      <c r="AQ210" s="199"/>
      <c r="AR210" s="199"/>
      <c r="AT210" s="200"/>
      <c r="AU210" s="200"/>
      <c r="AV210" s="189"/>
      <c r="AW210" s="189"/>
      <c r="AX210" s="200"/>
      <c r="AY210" s="200"/>
      <c r="AZ210" s="200"/>
      <c r="BA210" s="200"/>
      <c r="BB210" s="200"/>
      <c r="BC210" s="200"/>
      <c r="BD210" s="200"/>
      <c r="BE210" s="200"/>
      <c r="BF210" s="200"/>
      <c r="BG210" s="200"/>
      <c r="BH210" s="200"/>
      <c r="BI210" s="200"/>
      <c r="BJ210" s="200"/>
      <c r="BK210" s="200"/>
      <c r="BL210" s="200"/>
      <c r="BM210" s="200"/>
      <c r="BN210" s="200"/>
      <c r="BO210" s="200"/>
      <c r="BP210" s="200">
        <f>BS210</f>
        <v>81399</v>
      </c>
      <c r="BQ210" s="200"/>
      <c r="BR210" s="200">
        <v>78582</v>
      </c>
      <c r="BS210" s="200">
        <v>81399</v>
      </c>
      <c r="BT210" s="200">
        <v>158961</v>
      </c>
      <c r="BU210" s="200">
        <v>237543</v>
      </c>
      <c r="BV210" s="200">
        <v>75749</v>
      </c>
      <c r="BW210" s="200">
        <f>BZ210-BV210</f>
        <v>79013</v>
      </c>
      <c r="BX210" s="200">
        <f>CA210-BZ210</f>
        <v>77879</v>
      </c>
      <c r="BY210" s="200">
        <f>CB210-CA210</f>
        <v>44845</v>
      </c>
      <c r="BZ210" s="200">
        <v>154762</v>
      </c>
      <c r="CA210" s="200">
        <v>232641</v>
      </c>
      <c r="CB210" s="200">
        <v>277486</v>
      </c>
      <c r="CC210" s="200">
        <v>0</v>
      </c>
      <c r="CD210" s="200">
        <v>0</v>
      </c>
      <c r="CE210" s="200">
        <v>0</v>
      </c>
      <c r="CF210" s="200">
        <v>0</v>
      </c>
      <c r="CG210" s="200">
        <v>0</v>
      </c>
      <c r="CH210" s="200">
        <v>0</v>
      </c>
      <c r="CI210" s="200">
        <v>0</v>
      </c>
      <c r="CJ210" s="200">
        <v>0</v>
      </c>
      <c r="CK210" s="200">
        <v>0</v>
      </c>
      <c r="CL210" s="200">
        <v>0</v>
      </c>
      <c r="CM210" s="200">
        <v>0</v>
      </c>
      <c r="CN210" s="200">
        <v>0</v>
      </c>
      <c r="CO210" s="200">
        <v>0</v>
      </c>
    </row>
    <row r="211" spans="1:93" x14ac:dyDescent="0.25">
      <c r="A211" s="727" t="s">
        <v>760</v>
      </c>
      <c r="E211" s="188"/>
      <c r="I211" s="188"/>
      <c r="M211" s="188"/>
      <c r="R211" s="189"/>
      <c r="Y211" s="189"/>
      <c r="AF211" s="200"/>
      <c r="AG211" s="199"/>
      <c r="AH211" s="199"/>
      <c r="AJ211" s="199"/>
      <c r="AK211" s="199"/>
      <c r="AM211" s="200"/>
      <c r="AN211" s="199"/>
      <c r="AO211" s="199"/>
      <c r="AP211" s="199"/>
      <c r="AQ211" s="199"/>
      <c r="AR211" s="199"/>
      <c r="AT211" s="200"/>
      <c r="AU211" s="200"/>
      <c r="AV211" s="189"/>
      <c r="AW211" s="189"/>
      <c r="AX211" s="200"/>
      <c r="AY211" s="200"/>
      <c r="AZ211" s="200"/>
      <c r="BA211" s="200"/>
      <c r="BB211" s="200"/>
      <c r="BC211" s="200"/>
      <c r="BD211" s="200"/>
      <c r="BE211" s="200"/>
      <c r="BF211" s="200"/>
      <c r="BG211" s="200"/>
      <c r="BH211" s="200"/>
      <c r="BI211" s="200"/>
      <c r="BJ211" s="200"/>
      <c r="BK211" s="200"/>
      <c r="BL211" s="200"/>
      <c r="BM211" s="200"/>
      <c r="BN211" s="200"/>
      <c r="BO211" s="200"/>
      <c r="BP211" s="200"/>
      <c r="BQ211" s="200"/>
      <c r="BR211" s="200"/>
      <c r="BS211" s="200"/>
      <c r="BT211" s="200"/>
      <c r="BU211" s="200"/>
      <c r="BV211" s="200"/>
      <c r="BW211" s="200"/>
      <c r="BX211" s="200"/>
      <c r="BY211" s="200"/>
      <c r="BZ211" s="200"/>
      <c r="CA211" s="200"/>
      <c r="CB211" s="200"/>
      <c r="CC211" s="200">
        <v>0</v>
      </c>
      <c r="CD211" s="200">
        <f>CG211-CC211</f>
        <v>-10833</v>
      </c>
      <c r="CE211" s="200">
        <f>CH211-CD211</f>
        <v>0</v>
      </c>
      <c r="CF211" s="200"/>
      <c r="CG211" s="200">
        <f>-10833</f>
        <v>-10833</v>
      </c>
      <c r="CH211" s="200">
        <v>-10833</v>
      </c>
      <c r="CI211" s="200">
        <f>CH211</f>
        <v>-10833</v>
      </c>
      <c r="CJ211" s="200"/>
      <c r="CK211" s="200"/>
      <c r="CL211" s="200"/>
      <c r="CM211" s="200"/>
      <c r="CN211" s="200"/>
      <c r="CO211" s="200"/>
    </row>
    <row r="212" spans="1:93" x14ac:dyDescent="0.25">
      <c r="A212" s="121" t="str">
        <f>Language!AA207</f>
        <v>(+) EBITDA de Operações Descontinuadas</v>
      </c>
      <c r="B212" s="108">
        <v>0</v>
      </c>
      <c r="C212" s="108">
        <v>0</v>
      </c>
      <c r="D212" s="108">
        <v>0</v>
      </c>
      <c r="E212" s="106">
        <v>0</v>
      </c>
      <c r="F212" s="108">
        <v>0</v>
      </c>
      <c r="G212" s="108">
        <v>0</v>
      </c>
      <c r="H212" s="108">
        <v>0</v>
      </c>
      <c r="I212" s="106">
        <v>0</v>
      </c>
      <c r="J212" s="108">
        <v>13435</v>
      </c>
      <c r="K212" s="108">
        <v>13128</v>
      </c>
      <c r="L212" s="108">
        <v>10031</v>
      </c>
      <c r="M212" s="106">
        <v>20072</v>
      </c>
      <c r="N212" s="108">
        <v>11453</v>
      </c>
      <c r="O212" s="108">
        <v>24092</v>
      </c>
      <c r="P212" s="108">
        <v>29439</v>
      </c>
      <c r="Q212" s="108">
        <v>10503</v>
      </c>
      <c r="R212" s="107">
        <v>0</v>
      </c>
      <c r="S212" s="108">
        <v>0</v>
      </c>
      <c r="T212" s="108">
        <v>0</v>
      </c>
      <c r="U212" s="108">
        <v>0</v>
      </c>
      <c r="V212" s="108">
        <v>0</v>
      </c>
      <c r="W212" s="108">
        <v>0</v>
      </c>
      <c r="X212" s="108">
        <v>0</v>
      </c>
      <c r="Y212" s="107">
        <v>0</v>
      </c>
      <c r="Z212" s="108">
        <v>0</v>
      </c>
      <c r="AA212" s="108">
        <v>0</v>
      </c>
      <c r="AB212" s="108">
        <v>0</v>
      </c>
      <c r="AC212" s="108">
        <v>0</v>
      </c>
      <c r="AD212" s="108">
        <v>0</v>
      </c>
      <c r="AE212" s="108">
        <v>0</v>
      </c>
      <c r="AF212" s="107">
        <v>0</v>
      </c>
      <c r="AG212" s="108">
        <v>0</v>
      </c>
      <c r="AH212" s="108">
        <v>0</v>
      </c>
      <c r="AI212" s="108">
        <v>0</v>
      </c>
      <c r="AJ212" s="108">
        <v>0</v>
      </c>
      <c r="AK212" s="108">
        <v>0</v>
      </c>
      <c r="AL212" s="108">
        <v>0</v>
      </c>
      <c r="AM212" s="107">
        <v>0</v>
      </c>
      <c r="AN212" s="108">
        <f t="shared" si="1003"/>
        <v>0</v>
      </c>
      <c r="AO212" s="108"/>
      <c r="AP212" s="108">
        <f t="shared" si="606"/>
        <v>0</v>
      </c>
      <c r="AQ212" s="108">
        <v>0</v>
      </c>
      <c r="AR212" s="108"/>
      <c r="AS212" s="108"/>
      <c r="AT212" s="107"/>
      <c r="AU212" s="107">
        <v>0</v>
      </c>
      <c r="AV212" s="189">
        <f t="shared" si="1041"/>
        <v>0</v>
      </c>
      <c r="AW212" s="189">
        <f t="shared" si="1041"/>
        <v>0</v>
      </c>
      <c r="AX212" s="107">
        <v>0</v>
      </c>
      <c r="AY212" s="107"/>
      <c r="AZ212" s="107">
        <v>0</v>
      </c>
      <c r="BA212" s="107">
        <v>0</v>
      </c>
      <c r="BB212" s="107">
        <v>0</v>
      </c>
      <c r="BC212" s="107">
        <v>0</v>
      </c>
      <c r="BD212" s="107">
        <v>0</v>
      </c>
      <c r="BE212" s="107">
        <v>0</v>
      </c>
      <c r="BF212" s="107">
        <v>0</v>
      </c>
      <c r="BG212" s="107">
        <v>0</v>
      </c>
      <c r="BH212" s="107">
        <v>0</v>
      </c>
      <c r="BI212" s="107">
        <v>0</v>
      </c>
      <c r="BJ212" s="107">
        <v>0</v>
      </c>
      <c r="BK212" s="107">
        <v>0</v>
      </c>
      <c r="BL212" s="107">
        <v>0</v>
      </c>
      <c r="BM212" s="107">
        <v>0</v>
      </c>
      <c r="BN212" s="107">
        <v>0</v>
      </c>
      <c r="BO212" s="107">
        <v>0</v>
      </c>
      <c r="BP212" s="107">
        <v>0</v>
      </c>
      <c r="BQ212" s="107">
        <v>0</v>
      </c>
      <c r="BR212" s="107">
        <v>0</v>
      </c>
      <c r="BS212" s="107">
        <v>0</v>
      </c>
      <c r="BT212" s="107">
        <v>0</v>
      </c>
      <c r="BU212" s="107">
        <v>0</v>
      </c>
      <c r="BV212" s="107">
        <v>0</v>
      </c>
      <c r="BW212" s="107">
        <v>0</v>
      </c>
      <c r="BX212" s="107">
        <v>0</v>
      </c>
      <c r="BY212" s="107">
        <v>0</v>
      </c>
      <c r="BZ212" s="107">
        <v>0</v>
      </c>
      <c r="CA212" s="107">
        <v>0</v>
      </c>
      <c r="CB212" s="107">
        <v>0</v>
      </c>
      <c r="CC212" s="107">
        <v>0</v>
      </c>
      <c r="CD212" s="107">
        <v>0</v>
      </c>
      <c r="CE212" s="107">
        <v>0</v>
      </c>
      <c r="CF212" s="107">
        <v>0</v>
      </c>
      <c r="CG212" s="107">
        <v>0</v>
      </c>
      <c r="CH212" s="107">
        <v>0</v>
      </c>
      <c r="CI212" s="107">
        <v>0</v>
      </c>
      <c r="CJ212" s="107">
        <v>0</v>
      </c>
      <c r="CK212" s="107">
        <v>0</v>
      </c>
      <c r="CL212" s="107">
        <v>0</v>
      </c>
      <c r="CM212" s="107">
        <v>0</v>
      </c>
      <c r="CN212" s="107">
        <v>0</v>
      </c>
      <c r="CO212" s="107">
        <v>0</v>
      </c>
    </row>
    <row r="213" spans="1:93" x14ac:dyDescent="0.25">
      <c r="A213" s="121" t="str">
        <f>Language!AA208</f>
        <v>(-) Receita de Construção: Viracopos</v>
      </c>
      <c r="B213" s="155">
        <f t="shared" ref="B213:N213" si="1100">B87</f>
        <v>28536</v>
      </c>
      <c r="C213" s="155">
        <f t="shared" si="1100"/>
        <v>5469</v>
      </c>
      <c r="D213" s="155">
        <f t="shared" si="1100"/>
        <v>23849</v>
      </c>
      <c r="E213" s="188">
        <f t="shared" si="1100"/>
        <v>36801</v>
      </c>
      <c r="F213" s="155">
        <f t="shared" si="1100"/>
        <v>28720</v>
      </c>
      <c r="G213" s="155">
        <f t="shared" si="1100"/>
        <v>34265</v>
      </c>
      <c r="H213" s="155">
        <f t="shared" si="1100"/>
        <v>32810</v>
      </c>
      <c r="I213" s="188">
        <f t="shared" si="1100"/>
        <v>103438</v>
      </c>
      <c r="J213" s="155">
        <f t="shared" si="1100"/>
        <v>71474</v>
      </c>
      <c r="K213" s="155">
        <f t="shared" si="1100"/>
        <v>99087</v>
      </c>
      <c r="L213" s="155">
        <f t="shared" si="1100"/>
        <v>156190</v>
      </c>
      <c r="M213" s="188">
        <f t="shared" si="1100"/>
        <v>154083</v>
      </c>
      <c r="N213" s="155">
        <f t="shared" si="1100"/>
        <v>120641</v>
      </c>
      <c r="O213" s="155" t="e">
        <f>#REF!</f>
        <v>#REF!</v>
      </c>
      <c r="P213" s="155" t="e">
        <f>#REF!</f>
        <v>#REF!</v>
      </c>
      <c r="Q213" s="199" t="e">
        <f>#REF!</f>
        <v>#REF!</v>
      </c>
      <c r="R213" s="200" t="e">
        <f>#REF!</f>
        <v>#REF!</v>
      </c>
      <c r="S213" s="199" t="e">
        <f>#REF!</f>
        <v>#REF!</v>
      </c>
      <c r="T213" s="199" t="e">
        <f>#REF!</f>
        <v>#REF!</v>
      </c>
      <c r="U213" s="199" t="e">
        <f>#REF!</f>
        <v>#REF!</v>
      </c>
      <c r="V213" s="199" t="e">
        <f>#REF!</f>
        <v>#REF!</v>
      </c>
      <c r="W213" s="199" t="e">
        <f>#REF!</f>
        <v>#REF!</v>
      </c>
      <c r="X213" s="199" t="e">
        <f>#REF!</f>
        <v>#REF!</v>
      </c>
      <c r="Y213" s="200" t="e">
        <f>#REF!</f>
        <v>#REF!</v>
      </c>
      <c r="Z213" s="199" t="e">
        <f>#REF!</f>
        <v>#REF!</v>
      </c>
      <c r="AA213" s="199" t="e">
        <f>#REF!</f>
        <v>#REF!</v>
      </c>
      <c r="AB213" s="199" t="e">
        <f>#REF!</f>
        <v>#REF!</v>
      </c>
      <c r="AC213" s="199" t="e">
        <f>#REF!</f>
        <v>#REF!</v>
      </c>
      <c r="AD213" s="199" t="e">
        <f>#REF!</f>
        <v>#REF!</v>
      </c>
      <c r="AE213" s="199" t="e">
        <f>#REF!</f>
        <v>#REF!</v>
      </c>
      <c r="AF213" s="200">
        <v>911</v>
      </c>
      <c r="AG213" s="199">
        <v>356</v>
      </c>
      <c r="AH213" s="199">
        <v>1267</v>
      </c>
      <c r="AI213" s="199">
        <v>0</v>
      </c>
      <c r="AJ213" s="199">
        <v>1267</v>
      </c>
      <c r="AK213" s="199">
        <v>0</v>
      </c>
      <c r="AL213" s="199">
        <v>0</v>
      </c>
      <c r="AM213" s="200">
        <v>0</v>
      </c>
      <c r="AN213" s="199">
        <f t="shared" si="1003"/>
        <v>0</v>
      </c>
      <c r="AO213" s="199"/>
      <c r="AP213" s="199">
        <f t="shared" si="606"/>
        <v>0</v>
      </c>
      <c r="AQ213" s="199">
        <v>0</v>
      </c>
      <c r="AR213" s="199"/>
      <c r="AS213" s="199"/>
      <c r="AT213" s="200"/>
      <c r="AU213" s="200">
        <v>0</v>
      </c>
      <c r="AV213" s="189">
        <f t="shared" si="1041"/>
        <v>0</v>
      </c>
      <c r="AW213" s="189">
        <f t="shared" si="1041"/>
        <v>0</v>
      </c>
      <c r="AX213" s="200">
        <v>0</v>
      </c>
      <c r="AY213" s="200"/>
      <c r="AZ213" s="200">
        <v>0</v>
      </c>
      <c r="BA213" s="200">
        <v>0</v>
      </c>
      <c r="BB213" s="200">
        <v>0</v>
      </c>
      <c r="BC213" s="200">
        <v>0</v>
      </c>
      <c r="BD213" s="200">
        <v>0</v>
      </c>
      <c r="BE213" s="200">
        <v>0</v>
      </c>
      <c r="BF213" s="200">
        <v>0</v>
      </c>
      <c r="BG213" s="200">
        <v>0</v>
      </c>
      <c r="BH213" s="200">
        <v>0</v>
      </c>
      <c r="BI213" s="200">
        <v>0</v>
      </c>
      <c r="BJ213" s="200">
        <v>0</v>
      </c>
      <c r="BK213" s="200">
        <v>0</v>
      </c>
      <c r="BL213" s="200">
        <v>0</v>
      </c>
      <c r="BM213" s="200">
        <v>0</v>
      </c>
      <c r="BN213" s="200">
        <v>0</v>
      </c>
      <c r="BO213" s="200">
        <v>0</v>
      </c>
      <c r="BP213" s="200">
        <v>0</v>
      </c>
      <c r="BQ213" s="200">
        <v>0</v>
      </c>
      <c r="BR213" s="200">
        <v>0</v>
      </c>
      <c r="BS213" s="200">
        <v>0</v>
      </c>
      <c r="BT213" s="200">
        <v>0</v>
      </c>
      <c r="BU213" s="200">
        <v>0</v>
      </c>
      <c r="BV213" s="200">
        <v>0</v>
      </c>
      <c r="BW213" s="200">
        <v>0</v>
      </c>
      <c r="BX213" s="200">
        <v>0</v>
      </c>
      <c r="BY213" s="200">
        <v>0</v>
      </c>
      <c r="BZ213" s="200">
        <v>0</v>
      </c>
      <c r="CA213" s="200">
        <v>0</v>
      </c>
      <c r="CB213" s="200">
        <v>0</v>
      </c>
      <c r="CC213" s="200">
        <v>0</v>
      </c>
      <c r="CD213" s="200">
        <v>0</v>
      </c>
      <c r="CE213" s="200">
        <v>0</v>
      </c>
      <c r="CF213" s="200">
        <v>0</v>
      </c>
      <c r="CG213" s="200">
        <v>0</v>
      </c>
      <c r="CH213" s="200">
        <v>0</v>
      </c>
      <c r="CI213" s="200">
        <v>0</v>
      </c>
      <c r="CJ213" s="200">
        <v>0</v>
      </c>
      <c r="CK213" s="200">
        <v>0</v>
      </c>
      <c r="CL213" s="200">
        <v>0</v>
      </c>
      <c r="CM213" s="200">
        <v>0</v>
      </c>
      <c r="CN213" s="200">
        <v>0</v>
      </c>
      <c r="CO213" s="200">
        <v>0</v>
      </c>
    </row>
    <row r="214" spans="1:93" s="92" customFormat="1" x14ac:dyDescent="0.25">
      <c r="A214" s="121" t="str">
        <f>Language!AA209</f>
        <v>(+) Custo de Construção: Viracopos</v>
      </c>
      <c r="B214" s="155">
        <f t="shared" ref="B214:N214" si="1101">-B100</f>
        <v>28536</v>
      </c>
      <c r="C214" s="155">
        <f t="shared" si="1101"/>
        <v>5469</v>
      </c>
      <c r="D214" s="155">
        <f t="shared" si="1101"/>
        <v>23849</v>
      </c>
      <c r="E214" s="188">
        <f t="shared" si="1101"/>
        <v>36801</v>
      </c>
      <c r="F214" s="155">
        <f t="shared" si="1101"/>
        <v>28720</v>
      </c>
      <c r="G214" s="155">
        <f t="shared" si="1101"/>
        <v>34265</v>
      </c>
      <c r="H214" s="155">
        <f t="shared" si="1101"/>
        <v>32810</v>
      </c>
      <c r="I214" s="188">
        <f t="shared" si="1101"/>
        <v>103438</v>
      </c>
      <c r="J214" s="155">
        <f t="shared" si="1101"/>
        <v>71474</v>
      </c>
      <c r="K214" s="155">
        <f t="shared" si="1101"/>
        <v>97036</v>
      </c>
      <c r="L214" s="155">
        <f t="shared" si="1101"/>
        <v>153776</v>
      </c>
      <c r="M214" s="188">
        <f t="shared" si="1101"/>
        <v>152427</v>
      </c>
      <c r="N214" s="155">
        <f t="shared" si="1101"/>
        <v>118785</v>
      </c>
      <c r="O214" s="155" t="e">
        <f>-#REF!</f>
        <v>#REF!</v>
      </c>
      <c r="P214" s="155" t="e">
        <f>-#REF!</f>
        <v>#REF!</v>
      </c>
      <c r="Q214" s="199" t="e">
        <f>-#REF!</f>
        <v>#REF!</v>
      </c>
      <c r="R214" s="200" t="e">
        <f>-#REF!</f>
        <v>#REF!</v>
      </c>
      <c r="S214" s="199" t="e">
        <f>-#REF!</f>
        <v>#REF!</v>
      </c>
      <c r="T214" s="199" t="e">
        <f>-#REF!</f>
        <v>#REF!</v>
      </c>
      <c r="U214" s="199" t="e">
        <f>-#REF!</f>
        <v>#REF!</v>
      </c>
      <c r="V214" s="199" t="e">
        <f>-#REF!</f>
        <v>#REF!</v>
      </c>
      <c r="W214" s="199" t="e">
        <f>-#REF!</f>
        <v>#REF!</v>
      </c>
      <c r="X214" s="199" t="e">
        <f>-#REF!</f>
        <v>#REF!</v>
      </c>
      <c r="Y214" s="200" t="e">
        <f>-#REF!</f>
        <v>#REF!</v>
      </c>
      <c r="Z214" s="199" t="e">
        <f>-#REF!</f>
        <v>#REF!</v>
      </c>
      <c r="AA214" s="199" t="e">
        <f>-#REF!</f>
        <v>#REF!</v>
      </c>
      <c r="AB214" s="199" t="e">
        <f>-#REF!</f>
        <v>#REF!</v>
      </c>
      <c r="AC214" s="199" t="e">
        <f>-#REF!</f>
        <v>#REF!</v>
      </c>
      <c r="AD214" s="199" t="e">
        <f>-#REF!</f>
        <v>#REF!</v>
      </c>
      <c r="AE214" s="199" t="e">
        <f>-#REF!</f>
        <v>#REF!</v>
      </c>
      <c r="AF214" s="200">
        <v>911</v>
      </c>
      <c r="AG214" s="199">
        <v>356</v>
      </c>
      <c r="AH214" s="199">
        <v>1267</v>
      </c>
      <c r="AI214" s="199">
        <v>0</v>
      </c>
      <c r="AJ214" s="199">
        <v>1267</v>
      </c>
      <c r="AK214" s="199">
        <v>0</v>
      </c>
      <c r="AL214" s="199">
        <v>0</v>
      </c>
      <c r="AM214" s="200">
        <v>0</v>
      </c>
      <c r="AN214" s="199">
        <f t="shared" si="1003"/>
        <v>0</v>
      </c>
      <c r="AO214" s="199"/>
      <c r="AP214" s="199">
        <f t="shared" si="606"/>
        <v>0</v>
      </c>
      <c r="AQ214" s="199">
        <v>0</v>
      </c>
      <c r="AR214" s="199"/>
      <c r="AS214" s="199"/>
      <c r="AT214" s="200"/>
      <c r="AU214" s="200">
        <v>0</v>
      </c>
      <c r="AV214" s="189">
        <f t="shared" si="1041"/>
        <v>0</v>
      </c>
      <c r="AW214" s="189">
        <f t="shared" si="1041"/>
        <v>0</v>
      </c>
      <c r="AX214" s="200">
        <v>0</v>
      </c>
      <c r="AY214" s="200"/>
      <c r="AZ214" s="200">
        <v>0</v>
      </c>
      <c r="BA214" s="200">
        <v>0</v>
      </c>
      <c r="BB214" s="200">
        <v>0</v>
      </c>
      <c r="BC214" s="200">
        <v>0</v>
      </c>
      <c r="BD214" s="200">
        <v>0</v>
      </c>
      <c r="BE214" s="200">
        <v>0</v>
      </c>
      <c r="BF214" s="200">
        <v>0</v>
      </c>
      <c r="BG214" s="200">
        <v>0</v>
      </c>
      <c r="BH214" s="200">
        <v>0</v>
      </c>
      <c r="BI214" s="200">
        <v>0</v>
      </c>
      <c r="BJ214" s="200">
        <v>0</v>
      </c>
      <c r="BK214" s="200">
        <v>0</v>
      </c>
      <c r="BL214" s="200">
        <v>0</v>
      </c>
      <c r="BM214" s="200">
        <v>0</v>
      </c>
      <c r="BN214" s="200">
        <v>0</v>
      </c>
      <c r="BO214" s="200">
        <v>0</v>
      </c>
      <c r="BP214" s="200">
        <v>0</v>
      </c>
      <c r="BQ214" s="200">
        <v>0</v>
      </c>
      <c r="BR214" s="200">
        <v>0</v>
      </c>
      <c r="BS214" s="200">
        <v>0</v>
      </c>
      <c r="BT214" s="200">
        <v>0</v>
      </c>
      <c r="BU214" s="200">
        <v>0</v>
      </c>
      <c r="BV214" s="200">
        <v>0</v>
      </c>
      <c r="BW214" s="200">
        <v>0</v>
      </c>
      <c r="BX214" s="200">
        <v>0</v>
      </c>
      <c r="BY214" s="200">
        <v>0</v>
      </c>
      <c r="BZ214" s="200">
        <v>0</v>
      </c>
      <c r="CA214" s="200">
        <v>0</v>
      </c>
      <c r="CB214" s="200">
        <v>0</v>
      </c>
      <c r="CC214" s="200">
        <v>0</v>
      </c>
      <c r="CD214" s="200">
        <v>0</v>
      </c>
      <c r="CE214" s="200">
        <v>0</v>
      </c>
      <c r="CF214" s="200">
        <v>0</v>
      </c>
      <c r="CG214" s="200">
        <v>0</v>
      </c>
      <c r="CH214" s="200">
        <v>0</v>
      </c>
      <c r="CI214" s="200">
        <v>0</v>
      </c>
      <c r="CJ214" s="200">
        <v>0</v>
      </c>
      <c r="CK214" s="200">
        <v>0</v>
      </c>
      <c r="CL214" s="200">
        <v>0</v>
      </c>
      <c r="CM214" s="200">
        <v>0</v>
      </c>
      <c r="CN214" s="200">
        <v>0</v>
      </c>
      <c r="CO214" s="200">
        <v>0</v>
      </c>
    </row>
    <row r="215" spans="1:93" s="92" customFormat="1" x14ac:dyDescent="0.25">
      <c r="A215" s="786" t="s">
        <v>607</v>
      </c>
      <c r="B215" s="155">
        <v>0</v>
      </c>
      <c r="C215" s="155">
        <v>0</v>
      </c>
      <c r="D215" s="155">
        <v>0</v>
      </c>
      <c r="E215" s="188">
        <v>0</v>
      </c>
      <c r="F215" s="155">
        <v>0</v>
      </c>
      <c r="G215" s="155">
        <v>0</v>
      </c>
      <c r="H215" s="155">
        <v>0</v>
      </c>
      <c r="I215" s="188">
        <v>0</v>
      </c>
      <c r="J215" s="155">
        <v>0</v>
      </c>
      <c r="K215" s="155">
        <v>0</v>
      </c>
      <c r="L215" s="155">
        <v>0</v>
      </c>
      <c r="M215" s="188">
        <v>0</v>
      </c>
      <c r="N215" s="155">
        <f>'Toll Roads'!N113</f>
        <v>0</v>
      </c>
      <c r="O215" s="155">
        <f>'Toll Roads'!O113</f>
        <v>87523</v>
      </c>
      <c r="P215" s="155">
        <f>'Toll Roads'!P113</f>
        <v>93111</v>
      </c>
      <c r="Q215" s="155">
        <f>'Toll Roads'!Q113</f>
        <v>247728</v>
      </c>
      <c r="R215" s="189">
        <f>'Toll Roads'!R113</f>
        <v>137667</v>
      </c>
      <c r="S215" s="155">
        <f>'Toll Roads'!S113</f>
        <v>225036</v>
      </c>
      <c r="T215" s="155">
        <f>'Toll Roads'!T113</f>
        <v>147698</v>
      </c>
      <c r="U215" s="155">
        <f>'Toll Roads'!U113</f>
        <v>128179</v>
      </c>
      <c r="V215" s="155">
        <f>'Toll Roads'!V113</f>
        <v>362703</v>
      </c>
      <c r="W215" s="155">
        <f>'Toll Roads'!W113</f>
        <v>510401</v>
      </c>
      <c r="X215" s="155">
        <f>'Toll Roads'!X113</f>
        <v>638580</v>
      </c>
      <c r="Y215" s="189">
        <f>'Toll Roads'!Y113</f>
        <v>45279</v>
      </c>
      <c r="Z215" s="155">
        <f>'Toll Roads'!Z113</f>
        <v>45553</v>
      </c>
      <c r="AA215" s="155">
        <f>'Toll Roads'!AA113</f>
        <v>29694</v>
      </c>
      <c r="AB215" s="155">
        <f>'Toll Roads'!AB113</f>
        <v>79517</v>
      </c>
      <c r="AC215" s="155">
        <f>'Toll Roads'!AC113</f>
        <v>90832</v>
      </c>
      <c r="AD215" s="155">
        <f>'Toll Roads'!AD113</f>
        <v>120526</v>
      </c>
      <c r="AE215" s="155">
        <f>'Toll Roads'!AE113</f>
        <v>200043</v>
      </c>
      <c r="AF215" s="189">
        <v>11430</v>
      </c>
      <c r="AG215" s="155">
        <v>3627</v>
      </c>
      <c r="AH215" s="155">
        <v>15057</v>
      </c>
      <c r="AI215" s="155">
        <v>0</v>
      </c>
      <c r="AJ215" s="155">
        <v>15057</v>
      </c>
      <c r="AK215" s="155">
        <v>0</v>
      </c>
      <c r="AL215" s="155">
        <v>93050</v>
      </c>
      <c r="AM215" s="189">
        <f>'Toll Roads'!AM113</f>
        <v>23238</v>
      </c>
      <c r="AN215" s="155">
        <f t="shared" si="1003"/>
        <v>25552</v>
      </c>
      <c r="AO215" s="155"/>
      <c r="AP215" s="155">
        <f t="shared" si="606"/>
        <v>-16720</v>
      </c>
      <c r="AQ215" s="155">
        <f>'Toll Roads'!AQ113</f>
        <v>48790</v>
      </c>
      <c r="AR215" s="155">
        <v>-80309</v>
      </c>
      <c r="AS215" s="155">
        <v>-97029</v>
      </c>
      <c r="AT215" s="189"/>
      <c r="AU215" s="200"/>
      <c r="AV215" s="189"/>
      <c r="AW215" s="189"/>
      <c r="AX215" s="200"/>
      <c r="AY215" s="189"/>
      <c r="AZ215" s="189"/>
      <c r="BA215" s="200"/>
      <c r="BB215" s="189"/>
      <c r="BC215" s="189"/>
      <c r="BD215" s="189"/>
      <c r="BE215" s="189"/>
      <c r="BF215" s="189"/>
      <c r="BG215" s="189"/>
      <c r="BH215" s="200"/>
      <c r="BI215" s="200"/>
      <c r="BJ215" s="200"/>
      <c r="BK215" s="200"/>
      <c r="BL215" s="200"/>
      <c r="BM215" s="200"/>
      <c r="BN215" s="200"/>
      <c r="BO215" s="200"/>
      <c r="BP215" s="200"/>
      <c r="BQ215" s="200"/>
      <c r="BR215" s="200"/>
      <c r="BS215" s="200"/>
      <c r="BT215" s="200"/>
      <c r="BU215" s="200"/>
      <c r="BV215" s="200"/>
      <c r="BW215" s="200"/>
      <c r="BX215" s="200"/>
      <c r="BY215" s="200"/>
      <c r="BZ215" s="200"/>
      <c r="CA215" s="200"/>
      <c r="CB215" s="200"/>
      <c r="CC215" s="200"/>
      <c r="CD215" s="200"/>
      <c r="CE215" s="200"/>
      <c r="CF215" s="200"/>
      <c r="CG215" s="200"/>
      <c r="CH215" s="200"/>
      <c r="CI215" s="200"/>
      <c r="CJ215" s="200"/>
      <c r="CK215" s="200"/>
      <c r="CL215" s="200"/>
      <c r="CM215" s="200"/>
      <c r="CN215" s="200"/>
      <c r="CO215" s="200"/>
    </row>
    <row r="216" spans="1:93" s="92" customFormat="1" x14ac:dyDescent="0.25">
      <c r="A216" s="786" t="s">
        <v>608</v>
      </c>
      <c r="B216" s="155">
        <v>0</v>
      </c>
      <c r="C216" s="155">
        <v>0</v>
      </c>
      <c r="D216" s="155">
        <v>0</v>
      </c>
      <c r="E216" s="188">
        <v>0</v>
      </c>
      <c r="F216" s="155">
        <v>0</v>
      </c>
      <c r="G216" s="155">
        <v>0</v>
      </c>
      <c r="H216" s="155">
        <v>0</v>
      </c>
      <c r="I216" s="188">
        <v>0</v>
      </c>
      <c r="J216" s="155">
        <v>0</v>
      </c>
      <c r="K216" s="155">
        <v>0</v>
      </c>
      <c r="L216" s="155">
        <v>0</v>
      </c>
      <c r="M216" s="188">
        <v>0</v>
      </c>
      <c r="N216" s="155">
        <f>-'Toll Roads'!N174</f>
        <v>0</v>
      </c>
      <c r="O216" s="155">
        <f>-'Toll Roads'!O174</f>
        <v>87523</v>
      </c>
      <c r="P216" s="155">
        <f>-'Toll Roads'!P174</f>
        <v>93111</v>
      </c>
      <c r="Q216" s="155">
        <f>-'Toll Roads'!Q174</f>
        <v>236860</v>
      </c>
      <c r="R216" s="189">
        <f>-'Toll Roads'!R174</f>
        <v>134175</v>
      </c>
      <c r="S216" s="155">
        <f>-'Toll Roads'!S174</f>
        <v>219333</v>
      </c>
      <c r="T216" s="155">
        <f>-'Toll Roads'!T174</f>
        <v>143955</v>
      </c>
      <c r="U216" s="155">
        <f>-'Toll Roads'!U174</f>
        <v>124931</v>
      </c>
      <c r="V216" s="155">
        <f>-'Toll Roads'!V174</f>
        <v>353508</v>
      </c>
      <c r="W216" s="155">
        <f>-'Toll Roads'!W174</f>
        <v>497463</v>
      </c>
      <c r="X216" s="155">
        <f>-'Toll Roads'!X174</f>
        <v>622394</v>
      </c>
      <c r="Y216" s="189">
        <f>-'Toll Roads'!Y174</f>
        <v>44131</v>
      </c>
      <c r="Z216" s="155">
        <f>-'Toll Roads'!Z174</f>
        <v>44399</v>
      </c>
      <c r="AA216" s="155">
        <f>-'Toll Roads'!AA174</f>
        <v>28941</v>
      </c>
      <c r="AB216" s="155">
        <f>-'Toll Roads'!AB174</f>
        <v>77505</v>
      </c>
      <c r="AC216" s="155">
        <f>-'Toll Roads'!AC174</f>
        <v>88530</v>
      </c>
      <c r="AD216" s="155">
        <f>-'Toll Roads'!AD174</f>
        <v>117471</v>
      </c>
      <c r="AE216" s="155">
        <f>-'Toll Roads'!AE174</f>
        <v>194976</v>
      </c>
      <c r="AF216" s="189">
        <v>11140</v>
      </c>
      <c r="AG216" s="155">
        <v>3535</v>
      </c>
      <c r="AH216" s="155">
        <v>14675</v>
      </c>
      <c r="AI216" s="155">
        <v>0</v>
      </c>
      <c r="AJ216" s="155">
        <v>14675</v>
      </c>
      <c r="AK216" s="155">
        <v>0</v>
      </c>
      <c r="AL216" s="155">
        <v>90692</v>
      </c>
      <c r="AM216" s="189">
        <f>-'Toll Roads'!AM174</f>
        <v>22649</v>
      </c>
      <c r="AN216" s="155">
        <f t="shared" si="1003"/>
        <v>24904</v>
      </c>
      <c r="AO216" s="155"/>
      <c r="AP216" s="155">
        <f t="shared" si="606"/>
        <v>16296</v>
      </c>
      <c r="AQ216" s="155">
        <f>-'Toll Roads'!AQ174</f>
        <v>47553</v>
      </c>
      <c r="AR216" s="155">
        <v>78274</v>
      </c>
      <c r="AS216" s="155">
        <v>94570</v>
      </c>
      <c r="AT216" s="189"/>
      <c r="AU216" s="200"/>
      <c r="AV216" s="189"/>
      <c r="AW216" s="189"/>
      <c r="AX216" s="200"/>
      <c r="AY216" s="189"/>
      <c r="AZ216" s="189"/>
      <c r="BA216" s="200"/>
      <c r="BB216" s="189"/>
      <c r="BC216" s="189"/>
      <c r="BD216" s="189"/>
      <c r="BE216" s="189"/>
      <c r="BF216" s="189"/>
      <c r="BG216" s="189"/>
      <c r="BH216" s="200"/>
      <c r="BI216" s="200"/>
      <c r="BJ216" s="200"/>
      <c r="BK216" s="200"/>
      <c r="BL216" s="200"/>
      <c r="BM216" s="200"/>
      <c r="BN216" s="200"/>
      <c r="BO216" s="200"/>
      <c r="BP216" s="200"/>
      <c r="BQ216" s="200"/>
      <c r="BR216" s="200"/>
      <c r="BS216" s="200"/>
      <c r="BT216" s="200"/>
      <c r="BU216" s="200"/>
      <c r="BV216" s="200"/>
      <c r="BW216" s="200"/>
      <c r="BX216" s="200"/>
      <c r="BY216" s="200"/>
      <c r="BZ216" s="200"/>
      <c r="CA216" s="200"/>
      <c r="CB216" s="200"/>
      <c r="CC216" s="200"/>
      <c r="CD216" s="200"/>
      <c r="CE216" s="200"/>
      <c r="CF216" s="200"/>
      <c r="CG216" s="200"/>
      <c r="CH216" s="200"/>
      <c r="CI216" s="200"/>
      <c r="CJ216" s="200"/>
      <c r="CK216" s="200"/>
      <c r="CL216" s="200"/>
      <c r="CM216" s="200"/>
      <c r="CN216" s="200"/>
      <c r="CO216" s="200"/>
    </row>
    <row r="217" spans="1:93" s="92" customFormat="1" ht="13" x14ac:dyDescent="0.3">
      <c r="A217" s="142" t="str">
        <f>Language!AA212</f>
        <v>Lucro Base de Dividendos</v>
      </c>
      <c r="B217" s="143">
        <f>SUM(B218,B219,B220,B221,B222,B223,B224)</f>
        <v>25187</v>
      </c>
      <c r="C217" s="143">
        <f t="shared" ref="C217:K217" si="1102">SUM(C218,C219,C220,C221,C222,C223,C224)</f>
        <v>16623</v>
      </c>
      <c r="D217" s="143">
        <f t="shared" si="1102"/>
        <v>2071</v>
      </c>
      <c r="E217" s="144">
        <f t="shared" si="1102"/>
        <v>44648</v>
      </c>
      <c r="F217" s="143">
        <f t="shared" si="1102"/>
        <v>31899</v>
      </c>
      <c r="G217" s="143">
        <f t="shared" si="1102"/>
        <v>8947</v>
      </c>
      <c r="H217" s="143">
        <f t="shared" si="1102"/>
        <v>13404</v>
      </c>
      <c r="I217" s="144">
        <f t="shared" si="1102"/>
        <v>25355.35</v>
      </c>
      <c r="J217" s="143">
        <f t="shared" si="1102"/>
        <v>29358.499509254994</v>
      </c>
      <c r="K217" s="143">
        <f t="shared" si="1102"/>
        <v>-7998.9999999999782</v>
      </c>
      <c r="L217" s="143">
        <f t="shared" ref="L217:M217" si="1103">SUM(L218,L219,L220,L221,L222,L223,L224)</f>
        <v>18192.827499999999</v>
      </c>
      <c r="M217" s="144">
        <f t="shared" si="1103"/>
        <v>-85527.827500000014</v>
      </c>
      <c r="N217" s="143">
        <f t="shared" ref="N217:S217" si="1104">SUM(N218,N219,N220,N221,N222,N223,N224)</f>
        <v>172653</v>
      </c>
      <c r="O217" s="143">
        <f>SUM(O218,O219,O220,O221,O222,O223,O224)</f>
        <v>-19881</v>
      </c>
      <c r="P217" s="143">
        <f t="shared" si="1104"/>
        <v>14755</v>
      </c>
      <c r="Q217" s="143">
        <f t="shared" si="1104"/>
        <v>-46137</v>
      </c>
      <c r="R217" s="145">
        <f t="shared" si="1104"/>
        <v>94717</v>
      </c>
      <c r="S217" s="143">
        <f t="shared" si="1104"/>
        <v>446331</v>
      </c>
      <c r="T217" s="143">
        <f t="shared" ref="T217:U217" si="1105">SUM(T218,T219,T220,T221,T222,T223,T224)</f>
        <v>1666</v>
      </c>
      <c r="U217" s="143">
        <f t="shared" si="1105"/>
        <v>141537</v>
      </c>
      <c r="V217" s="143">
        <f t="shared" ref="V217" si="1106">SUM(V218,V219,V220,V221,V222,V223,V224)</f>
        <v>38644</v>
      </c>
      <c r="W217" s="143">
        <f>SUM(W218,W219,W220,W221,W222,W223,W224)</f>
        <v>40310</v>
      </c>
      <c r="X217" s="143">
        <f>SUM(X218,X219,X220,X221,X222,X223,X224)</f>
        <v>181847</v>
      </c>
      <c r="Y217" s="145">
        <f>SUM(Y218,Y219,Y220,Y221,Y222,Y223,Y224)</f>
        <v>-13795</v>
      </c>
      <c r="Z217" s="143">
        <f>SUM(Z218,Z219,Z220,Z221,Z222,Z223,Z224)</f>
        <v>-33250</v>
      </c>
      <c r="AA217" s="143">
        <f t="shared" ref="AA217:AB217" si="1107">SUM(AA218,AA219,AA220,AA221,AA222,AA223,AA224)</f>
        <v>-44187</v>
      </c>
      <c r="AB217" s="143">
        <f t="shared" si="1107"/>
        <v>-183445</v>
      </c>
      <c r="AC217" s="143">
        <f t="shared" ref="AC217:AE217" si="1108">SUM(AC218,AC219,AC220,AC221,AC222,AC223,AC224)</f>
        <v>-47045</v>
      </c>
      <c r="AD217" s="143">
        <f t="shared" si="1108"/>
        <v>-91621</v>
      </c>
      <c r="AE217" s="143">
        <f t="shared" si="1108"/>
        <v>-275066</v>
      </c>
      <c r="AF217" s="145">
        <v>-89609</v>
      </c>
      <c r="AG217" s="143">
        <v>-453265</v>
      </c>
      <c r="AH217" s="143">
        <v>-195678</v>
      </c>
      <c r="AI217" s="143">
        <v>787741</v>
      </c>
      <c r="AJ217" s="143">
        <v>-542874</v>
      </c>
      <c r="AK217" s="143">
        <v>-749907</v>
      </c>
      <c r="AL217" s="143">
        <v>270151</v>
      </c>
      <c r="AM217" s="145">
        <f t="shared" ref="AM217" si="1109">SUM(AM218,AM219,AM220,AM221,AM222,AM223,AM224)</f>
        <v>40142</v>
      </c>
      <c r="AN217" s="143">
        <f t="shared" si="1003"/>
        <v>-26969</v>
      </c>
      <c r="AO217" s="143"/>
      <c r="AP217" s="143">
        <f t="shared" si="606"/>
        <v>-283780</v>
      </c>
      <c r="AQ217" s="143">
        <f t="shared" ref="AQ217:AR217" si="1110">SUM(AQ218,AQ219,AQ220,AQ221,AQ222,AQ223,AQ224)</f>
        <v>13173</v>
      </c>
      <c r="AR217" s="143">
        <f t="shared" si="1110"/>
        <v>-37472</v>
      </c>
      <c r="AS217" s="143">
        <f t="shared" ref="AS217:AU217" si="1111">SUM(AS218,AS219,AS220,AS221,AS222,AS223,AS224)</f>
        <v>-321252</v>
      </c>
      <c r="AT217" s="145">
        <f t="shared" si="1111"/>
        <v>-62083</v>
      </c>
      <c r="AU217" s="145">
        <f t="shared" si="1111"/>
        <v>-80305</v>
      </c>
      <c r="AV217" s="145">
        <f t="shared" ref="AV217" si="1112">SUM(AV218,AV219,AV220,AV221,AV222,AV223,AV224)</f>
        <v>-64882</v>
      </c>
      <c r="AW217" s="145">
        <f t="shared" ref="AW217:AX217" si="1113">SUM(AW218,AW219,AW220,AW221,AW222,AW223,AW224)</f>
        <v>36436</v>
      </c>
      <c r="AX217" s="145">
        <f t="shared" si="1113"/>
        <v>-142388</v>
      </c>
      <c r="AY217" s="145">
        <f>SUM(AY218,AY219,AY220,AY221,AY222,AY223,AY224)+1</f>
        <v>-207269</v>
      </c>
      <c r="AZ217" s="145">
        <f t="shared" ref="AZ217:BA217" si="1114">SUM(AZ218,AZ219,AZ220,AZ221,AZ222,AZ223,AZ224)</f>
        <v>-170834</v>
      </c>
      <c r="BA217" s="145">
        <f t="shared" si="1114"/>
        <v>-14943</v>
      </c>
      <c r="BB217" s="145">
        <f t="shared" ref="BB217:BC217" si="1115">SUM(BB218,BB219,BB220,BB221,BB222,BB223,BB224)</f>
        <v>6748.6489499999989</v>
      </c>
      <c r="BC217" s="145">
        <f t="shared" si="1115"/>
        <v>-49250</v>
      </c>
      <c r="BD217" s="145">
        <f t="shared" ref="BD217:BE217" si="1116">SUM(BD218,BD219,BD220,BD221,BD222,BD223,BD224)</f>
        <v>256099</v>
      </c>
      <c r="BE217" s="145">
        <f t="shared" si="1116"/>
        <v>-8194.3510500000011</v>
      </c>
      <c r="BF217" s="145">
        <f t="shared" ref="BF217:BG217" si="1117">SUM(BF218,BF219,BF220,BF221,BF222,BF223,BF224)</f>
        <v>-57444.351049999997</v>
      </c>
      <c r="BG217" s="145">
        <f t="shared" si="1117"/>
        <v>28604</v>
      </c>
      <c r="BH217" s="145">
        <f t="shared" ref="BH217:BL217" si="1118">SUM(BH218,BH219,BH220,BH221,BH222,BH223,BH224)</f>
        <v>-49023</v>
      </c>
      <c r="BI217" s="145">
        <f t="shared" si="1118"/>
        <v>-4972</v>
      </c>
      <c r="BJ217" s="145">
        <f t="shared" si="1118"/>
        <v>88763</v>
      </c>
      <c r="BK217" s="145">
        <f t="shared" si="1118"/>
        <v>-24218</v>
      </c>
      <c r="BL217" s="145">
        <f t="shared" si="1118"/>
        <v>-53995</v>
      </c>
      <c r="BM217" s="145">
        <f t="shared" ref="BM217:BN217" si="1119">SUM(BM218,BM219,BM220,BM221,BM222,BM223,BM224)</f>
        <v>34768</v>
      </c>
      <c r="BN217" s="145">
        <f t="shared" si="1119"/>
        <v>12972</v>
      </c>
      <c r="BO217" s="145">
        <f t="shared" ref="BO217:BP217" si="1120">SUM(BO218,BO219,BO220,BO221,BO222,BO223,BO224)</f>
        <v>-32739</v>
      </c>
      <c r="BP217" s="145">
        <f t="shared" si="1120"/>
        <v>110936</v>
      </c>
      <c r="BQ217" s="145">
        <f t="shared" ref="BQ217:BS217" si="1121">SUM(BQ218,BQ219,BQ220,BQ221,BQ222,BQ223,BQ224)</f>
        <v>-56712</v>
      </c>
      <c r="BR217" s="145">
        <f t="shared" si="1121"/>
        <v>-13522</v>
      </c>
      <c r="BS217" s="145">
        <f t="shared" si="1121"/>
        <v>78197</v>
      </c>
      <c r="BT217" s="145">
        <f t="shared" ref="BT217:BU217" si="1122">SUM(BT218,BT219,BT220,BT221,BT222,BT223,BT224)</f>
        <v>21485</v>
      </c>
      <c r="BU217" s="145">
        <f t="shared" si="1122"/>
        <v>7963</v>
      </c>
      <c r="BV217" s="145">
        <f t="shared" ref="BV217" si="1123">SUM(BV218,BV219,BV220,BV221,BV222,BV223,BV224)</f>
        <v>-68845</v>
      </c>
      <c r="BW217" s="145">
        <f t="shared" ref="BW217:CB217" si="1124">SUM(BW218,BW219,BW220,BW221,BW222,BW223,BW224)</f>
        <v>-55028</v>
      </c>
      <c r="BX217" s="145">
        <f t="shared" si="1124"/>
        <v>108223</v>
      </c>
      <c r="BY217" s="145">
        <f t="shared" si="1124"/>
        <v>7629</v>
      </c>
      <c r="BZ217" s="145">
        <f t="shared" si="1124"/>
        <v>-123873</v>
      </c>
      <c r="CA217" s="145">
        <f t="shared" si="1124"/>
        <v>-15650</v>
      </c>
      <c r="CB217" s="145">
        <f t="shared" si="1124"/>
        <v>-8021</v>
      </c>
      <c r="CC217" s="145">
        <f t="shared" ref="CC217:CD217" si="1125">SUM(CC218,CC219,CC220,CC221,CC222,CC223,CC224)</f>
        <v>5094</v>
      </c>
      <c r="CD217" s="145">
        <f t="shared" si="1125"/>
        <v>9121</v>
      </c>
      <c r="CE217" s="145">
        <f t="shared" ref="CE217:CG217" si="1126">SUM(CE218,CE219,CE220,CE221,CE222,CE223,CE224)</f>
        <v>46471</v>
      </c>
      <c r="CF217" s="145">
        <f t="shared" si="1126"/>
        <v>-10284</v>
      </c>
      <c r="CG217" s="145">
        <f t="shared" si="1126"/>
        <v>31087</v>
      </c>
      <c r="CH217" s="145">
        <f t="shared" ref="CH217:CI217" si="1127">SUM(CH218,CH219,CH220,CH221,CH222,CH223,CH224)</f>
        <v>45872</v>
      </c>
      <c r="CI217" s="145">
        <f t="shared" si="1127"/>
        <v>33808.6</v>
      </c>
      <c r="CJ217" s="145">
        <v>-9792.6</v>
      </c>
      <c r="CK217" s="145">
        <f t="shared" ref="CK217:CO217" si="1128">SUM(CK218,CK219,CK220,CK221,CK222,CK223,CK224)</f>
        <v>-34979.949999999997</v>
      </c>
      <c r="CL217" s="145">
        <f t="shared" si="1128"/>
        <v>0</v>
      </c>
      <c r="CM217" s="145">
        <f t="shared" si="1128"/>
        <v>0</v>
      </c>
      <c r="CN217" s="145">
        <f t="shared" si="1128"/>
        <v>-44772.55</v>
      </c>
      <c r="CO217" s="145">
        <f t="shared" si="1128"/>
        <v>0</v>
      </c>
    </row>
    <row r="218" spans="1:93" s="92" customFormat="1" x14ac:dyDescent="0.25">
      <c r="A218" s="121" t="str">
        <f>Language!AA213</f>
        <v>(+) Lucro/Prejuízo Líquido</v>
      </c>
      <c r="B218" s="155">
        <f>B119</f>
        <v>8585</v>
      </c>
      <c r="C218" s="155">
        <f t="shared" ref="C218:AE218" si="1129">C121</f>
        <v>-333</v>
      </c>
      <c r="D218" s="155">
        <f t="shared" si="1129"/>
        <v>-14831</v>
      </c>
      <c r="E218" s="188">
        <f t="shared" si="1129"/>
        <v>28941</v>
      </c>
      <c r="F218" s="155">
        <f t="shared" si="1129"/>
        <v>14981</v>
      </c>
      <c r="G218" s="155">
        <f t="shared" si="1129"/>
        <v>-10391</v>
      </c>
      <c r="H218" s="155">
        <f t="shared" si="1129"/>
        <v>-3803</v>
      </c>
      <c r="I218" s="188">
        <f t="shared" si="1129"/>
        <v>8485</v>
      </c>
      <c r="J218" s="155">
        <f t="shared" si="1129"/>
        <v>14732.499509254994</v>
      </c>
      <c r="K218" s="155">
        <f t="shared" si="1129"/>
        <v>-22552.999999999978</v>
      </c>
      <c r="L218" s="155">
        <f t="shared" si="1129"/>
        <v>4549.8274999999994</v>
      </c>
      <c r="M218" s="188">
        <f t="shared" si="1129"/>
        <v>-98978.827500000014</v>
      </c>
      <c r="N218" s="155">
        <f t="shared" si="1129"/>
        <v>167030</v>
      </c>
      <c r="O218" s="155">
        <f t="shared" si="1129"/>
        <v>-35251</v>
      </c>
      <c r="P218" s="155">
        <f t="shared" si="1129"/>
        <v>-1330</v>
      </c>
      <c r="Q218" s="155">
        <f t="shared" si="1129"/>
        <v>-540419</v>
      </c>
      <c r="R218" s="189">
        <f t="shared" si="1129"/>
        <v>88065</v>
      </c>
      <c r="S218" s="155">
        <f t="shared" si="1129"/>
        <v>-70492</v>
      </c>
      <c r="T218" s="155">
        <f t="shared" si="1129"/>
        <v>-9554</v>
      </c>
      <c r="U218" s="199">
        <f t="shared" si="1129"/>
        <v>59667</v>
      </c>
      <c r="V218" s="199">
        <f t="shared" si="1129"/>
        <v>17573</v>
      </c>
      <c r="W218" s="155">
        <f t="shared" si="1129"/>
        <v>8019</v>
      </c>
      <c r="X218" s="155">
        <f t="shared" si="1129"/>
        <v>67686</v>
      </c>
      <c r="Y218" s="189">
        <f t="shared" si="1129"/>
        <v>-25097</v>
      </c>
      <c r="Z218" s="199">
        <f t="shared" si="1129"/>
        <v>-43993</v>
      </c>
      <c r="AA218" s="155">
        <f t="shared" si="1129"/>
        <v>-55407</v>
      </c>
      <c r="AB218" s="199">
        <f t="shared" si="1129"/>
        <v>-194111</v>
      </c>
      <c r="AC218" s="199">
        <f t="shared" si="1129"/>
        <v>-69090</v>
      </c>
      <c r="AD218" s="199">
        <f t="shared" si="1129"/>
        <v>-124497</v>
      </c>
      <c r="AE218" s="155">
        <f t="shared" si="1129"/>
        <v>-318608</v>
      </c>
      <c r="AF218" s="189">
        <v>-100964</v>
      </c>
      <c r="AG218" s="199">
        <v>-464415</v>
      </c>
      <c r="AH218" s="199">
        <v>-218332</v>
      </c>
      <c r="AI218" s="199">
        <v>777075</v>
      </c>
      <c r="AJ218" s="199">
        <v>-565379</v>
      </c>
      <c r="AK218" s="199">
        <v>-783711</v>
      </c>
      <c r="AL218" s="155">
        <v>-6636</v>
      </c>
      <c r="AM218" s="189">
        <f>AM121</f>
        <v>25795</v>
      </c>
      <c r="AN218" s="155">
        <f t="shared" si="1003"/>
        <v>-40598</v>
      </c>
      <c r="AO218" s="155"/>
      <c r="AP218" s="155">
        <f t="shared" si="606"/>
        <v>-293188</v>
      </c>
      <c r="AQ218" s="199">
        <f t="shared" ref="AQ218:CI218" si="1130">AQ121</f>
        <v>-14803</v>
      </c>
      <c r="AR218" s="199">
        <f t="shared" si="1130"/>
        <v>-71330</v>
      </c>
      <c r="AS218" s="155">
        <f t="shared" si="1130"/>
        <v>-364518</v>
      </c>
      <c r="AT218" s="189">
        <f t="shared" si="1130"/>
        <v>-67225</v>
      </c>
      <c r="AU218" s="189">
        <f t="shared" si="1130"/>
        <v>-85601</v>
      </c>
      <c r="AV218" s="189">
        <f t="shared" si="1130"/>
        <v>-70409</v>
      </c>
      <c r="AW218" s="189">
        <f t="shared" si="1130"/>
        <v>30610</v>
      </c>
      <c r="AX218" s="189">
        <f t="shared" si="1130"/>
        <v>-152826</v>
      </c>
      <c r="AY218" s="189">
        <f t="shared" si="1130"/>
        <v>-223235</v>
      </c>
      <c r="AZ218" s="189">
        <f t="shared" si="1130"/>
        <v>-192625</v>
      </c>
      <c r="BA218" s="189">
        <f t="shared" si="1130"/>
        <v>-14943</v>
      </c>
      <c r="BB218" s="189">
        <f t="shared" si="1130"/>
        <v>1105</v>
      </c>
      <c r="BC218" s="189">
        <f t="shared" si="1130"/>
        <v>-52909</v>
      </c>
      <c r="BD218" s="189">
        <f t="shared" si="1130"/>
        <v>256099</v>
      </c>
      <c r="BE218" s="189">
        <f t="shared" si="1130"/>
        <v>-13838</v>
      </c>
      <c r="BF218" s="189">
        <f t="shared" si="1130"/>
        <v>-66747</v>
      </c>
      <c r="BG218" s="189">
        <f t="shared" si="1130"/>
        <v>189352</v>
      </c>
      <c r="BH218" s="189">
        <f t="shared" si="1130"/>
        <v>-49023</v>
      </c>
      <c r="BI218" s="189">
        <f t="shared" si="1130"/>
        <v>-4972</v>
      </c>
      <c r="BJ218" s="189">
        <f t="shared" si="1130"/>
        <v>88763</v>
      </c>
      <c r="BK218" s="189">
        <f t="shared" si="1130"/>
        <v>-24218</v>
      </c>
      <c r="BL218" s="189">
        <f t="shared" si="1130"/>
        <v>-53995</v>
      </c>
      <c r="BM218" s="189">
        <f t="shared" si="1130"/>
        <v>34768</v>
      </c>
      <c r="BN218" s="189">
        <f t="shared" si="1130"/>
        <v>10552</v>
      </c>
      <c r="BO218" s="189">
        <f t="shared" si="1130"/>
        <v>-32739</v>
      </c>
      <c r="BP218" s="189">
        <f t="shared" si="1130"/>
        <v>110936</v>
      </c>
      <c r="BQ218" s="189">
        <f t="shared" si="1130"/>
        <v>-56712</v>
      </c>
      <c r="BR218" s="189">
        <f t="shared" si="1130"/>
        <v>-13103</v>
      </c>
      <c r="BS218" s="189">
        <f t="shared" si="1130"/>
        <v>78197</v>
      </c>
      <c r="BT218" s="189">
        <f t="shared" si="1130"/>
        <v>21485</v>
      </c>
      <c r="BU218" s="189">
        <f t="shared" si="1130"/>
        <v>8382</v>
      </c>
      <c r="BV218" s="189">
        <f t="shared" si="1130"/>
        <v>-68845</v>
      </c>
      <c r="BW218" s="189">
        <f t="shared" si="1130"/>
        <v>-55028</v>
      </c>
      <c r="BX218" s="189">
        <f t="shared" si="1130"/>
        <v>108223</v>
      </c>
      <c r="BY218" s="189">
        <f t="shared" si="1130"/>
        <v>7629</v>
      </c>
      <c r="BZ218" s="189">
        <f t="shared" si="1130"/>
        <v>-123873</v>
      </c>
      <c r="CA218" s="189">
        <f t="shared" si="1130"/>
        <v>-15650</v>
      </c>
      <c r="CB218" s="189">
        <f t="shared" si="1130"/>
        <v>-8021</v>
      </c>
      <c r="CC218" s="189">
        <f t="shared" si="1130"/>
        <v>5094</v>
      </c>
      <c r="CD218" s="189">
        <f t="shared" si="1130"/>
        <v>9121</v>
      </c>
      <c r="CE218" s="189">
        <f t="shared" si="1130"/>
        <v>46471</v>
      </c>
      <c r="CF218" s="189">
        <f t="shared" si="1130"/>
        <v>-10284</v>
      </c>
      <c r="CG218" s="189">
        <f t="shared" si="1130"/>
        <v>31087</v>
      </c>
      <c r="CH218" s="189">
        <f t="shared" si="1130"/>
        <v>45872</v>
      </c>
      <c r="CI218" s="189">
        <f t="shared" si="1130"/>
        <v>35588</v>
      </c>
      <c r="CJ218" s="189">
        <v>-10308</v>
      </c>
      <c r="CK218" s="189">
        <f t="shared" ref="CK218:CO218" si="1131">CK121</f>
        <v>-36821</v>
      </c>
      <c r="CL218" s="189">
        <f t="shared" si="1131"/>
        <v>0</v>
      </c>
      <c r="CM218" s="189">
        <f t="shared" si="1131"/>
        <v>0</v>
      </c>
      <c r="CN218" s="189">
        <f t="shared" si="1131"/>
        <v>-47129</v>
      </c>
      <c r="CO218" s="189">
        <f t="shared" si="1131"/>
        <v>0</v>
      </c>
    </row>
    <row r="219" spans="1:93" s="92" customFormat="1" x14ac:dyDescent="0.25">
      <c r="A219" s="121" t="str">
        <f>Language!AA214</f>
        <v>(+) Outros Efeitos</v>
      </c>
      <c r="B219" s="108">
        <v>-101</v>
      </c>
      <c r="C219" s="108">
        <v>-468</v>
      </c>
      <c r="D219" s="108">
        <v>6</v>
      </c>
      <c r="E219" s="106">
        <v>2</v>
      </c>
      <c r="F219" s="108">
        <v>0</v>
      </c>
      <c r="G219" s="108">
        <v>34</v>
      </c>
      <c r="H219" s="108">
        <v>-47</v>
      </c>
      <c r="I219" s="106">
        <v>4</v>
      </c>
      <c r="J219" s="108">
        <v>0</v>
      </c>
      <c r="K219" s="108">
        <v>0</v>
      </c>
      <c r="L219" s="108">
        <v>0</v>
      </c>
      <c r="M219" s="106">
        <v>0</v>
      </c>
      <c r="N219" s="108">
        <v>0</v>
      </c>
      <c r="O219" s="108">
        <v>0</v>
      </c>
      <c r="P219" s="108">
        <v>0</v>
      </c>
      <c r="Q219" s="108">
        <v>480971</v>
      </c>
      <c r="R219" s="107">
        <v>0</v>
      </c>
      <c r="S219" s="108">
        <v>0</v>
      </c>
      <c r="T219" s="108">
        <v>0</v>
      </c>
      <c r="U219" s="108">
        <v>0</v>
      </c>
      <c r="V219" s="108">
        <v>0</v>
      </c>
      <c r="W219" s="108">
        <v>0</v>
      </c>
      <c r="X219" s="108">
        <v>0</v>
      </c>
      <c r="Y219" s="107">
        <v>0</v>
      </c>
      <c r="Z219" s="108">
        <v>0</v>
      </c>
      <c r="AA219" s="108">
        <v>0</v>
      </c>
      <c r="AB219" s="108">
        <v>0</v>
      </c>
      <c r="AC219" s="108">
        <v>0</v>
      </c>
      <c r="AD219" s="108">
        <v>0</v>
      </c>
      <c r="AE219" s="108">
        <v>0</v>
      </c>
      <c r="AF219" s="107">
        <v>0</v>
      </c>
      <c r="AG219" s="108">
        <v>0</v>
      </c>
      <c r="AH219" s="108">
        <v>0</v>
      </c>
      <c r="AI219" s="108">
        <v>0</v>
      </c>
      <c r="AJ219" s="108">
        <v>0</v>
      </c>
      <c r="AK219" s="108">
        <v>0</v>
      </c>
      <c r="AL219" s="108">
        <v>0</v>
      </c>
      <c r="AM219" s="107">
        <v>0</v>
      </c>
      <c r="AN219" s="108">
        <f t="shared" si="1003"/>
        <v>7272</v>
      </c>
      <c r="AO219" s="108"/>
      <c r="AP219" s="108">
        <f t="shared" si="606"/>
        <v>1</v>
      </c>
      <c r="AQ219" s="108">
        <v>7272</v>
      </c>
      <c r="AR219" s="108">
        <v>7272</v>
      </c>
      <c r="AS219" s="108">
        <v>7273</v>
      </c>
      <c r="AT219" s="107"/>
      <c r="AU219" s="107"/>
      <c r="AV219" s="107"/>
      <c r="AW219" s="107"/>
      <c r="AX219" s="107"/>
      <c r="AY219" s="107"/>
      <c r="AZ219" s="107">
        <v>0</v>
      </c>
      <c r="BA219" s="107">
        <v>0</v>
      </c>
      <c r="BB219" s="107">
        <v>0</v>
      </c>
      <c r="BC219" s="189">
        <v>0</v>
      </c>
      <c r="BD219" s="107">
        <f>BG219</f>
        <v>0</v>
      </c>
      <c r="BE219" s="107">
        <v>0</v>
      </c>
      <c r="BF219" s="107">
        <v>0</v>
      </c>
      <c r="BG219" s="111">
        <v>0</v>
      </c>
      <c r="BH219" s="107">
        <v>0</v>
      </c>
      <c r="BI219" s="107">
        <v>0</v>
      </c>
      <c r="BJ219" s="107">
        <v>0</v>
      </c>
      <c r="BK219" s="107">
        <v>0</v>
      </c>
      <c r="BL219" s="107">
        <v>0</v>
      </c>
      <c r="BM219" s="107">
        <v>0</v>
      </c>
      <c r="BN219" s="107">
        <v>0</v>
      </c>
      <c r="BO219" s="107">
        <v>0</v>
      </c>
      <c r="BP219" s="107">
        <v>0</v>
      </c>
      <c r="BQ219" s="107">
        <v>0</v>
      </c>
      <c r="BR219" s="107">
        <v>0</v>
      </c>
      <c r="BS219" s="107">
        <v>0</v>
      </c>
      <c r="BT219" s="107">
        <v>0</v>
      </c>
      <c r="BU219" s="107">
        <v>0</v>
      </c>
      <c r="BV219" s="107">
        <v>0</v>
      </c>
      <c r="BW219" s="107">
        <v>0</v>
      </c>
      <c r="BX219" s="107">
        <v>0</v>
      </c>
      <c r="BY219" s="107">
        <v>0</v>
      </c>
      <c r="BZ219" s="107">
        <v>0</v>
      </c>
      <c r="CA219" s="107">
        <v>0</v>
      </c>
      <c r="CB219" s="107">
        <v>0</v>
      </c>
      <c r="CC219" s="107">
        <v>0</v>
      </c>
      <c r="CD219" s="107">
        <v>0</v>
      </c>
      <c r="CE219" s="107">
        <v>0</v>
      </c>
      <c r="CF219" s="107">
        <v>0</v>
      </c>
      <c r="CG219" s="107">
        <v>0</v>
      </c>
      <c r="CH219" s="107">
        <v>0</v>
      </c>
      <c r="CI219" s="107">
        <v>0</v>
      </c>
      <c r="CJ219" s="107">
        <v>0</v>
      </c>
      <c r="CK219" s="107">
        <v>0</v>
      </c>
      <c r="CL219" s="107">
        <v>0</v>
      </c>
      <c r="CM219" s="107">
        <v>0</v>
      </c>
      <c r="CN219" s="107">
        <v>0</v>
      </c>
      <c r="CO219" s="107">
        <v>0</v>
      </c>
    </row>
    <row r="220" spans="1:93" s="92" customFormat="1" x14ac:dyDescent="0.25">
      <c r="A220" s="121" t="str">
        <f>Language!AA215</f>
        <v>(+) Ajustes de exercícios anteriores</v>
      </c>
      <c r="B220" s="108">
        <v>0</v>
      </c>
      <c r="C220" s="108">
        <v>0</v>
      </c>
      <c r="D220" s="108">
        <v>0</v>
      </c>
      <c r="E220" s="106">
        <v>0</v>
      </c>
      <c r="F220" s="108">
        <v>9</v>
      </c>
      <c r="G220" s="108">
        <v>0</v>
      </c>
      <c r="H220" s="108">
        <v>0</v>
      </c>
      <c r="I220" s="106">
        <v>0</v>
      </c>
      <c r="J220" s="108">
        <v>0</v>
      </c>
      <c r="K220" s="108">
        <v>0</v>
      </c>
      <c r="L220" s="108">
        <v>0</v>
      </c>
      <c r="M220" s="106">
        <v>0</v>
      </c>
      <c r="N220" s="108">
        <v>0</v>
      </c>
      <c r="O220" s="108">
        <v>0</v>
      </c>
      <c r="P220" s="108">
        <v>0</v>
      </c>
      <c r="Q220" s="108">
        <v>0</v>
      </c>
      <c r="R220" s="107">
        <v>0</v>
      </c>
      <c r="S220" s="108">
        <v>0</v>
      </c>
      <c r="T220" s="108">
        <v>0</v>
      </c>
      <c r="U220" s="108">
        <v>0</v>
      </c>
      <c r="V220" s="108">
        <v>0</v>
      </c>
      <c r="W220" s="108">
        <v>0</v>
      </c>
      <c r="X220" s="108">
        <v>0</v>
      </c>
      <c r="Y220" s="107">
        <v>0</v>
      </c>
      <c r="Z220" s="108">
        <v>0</v>
      </c>
      <c r="AA220" s="108">
        <v>0</v>
      </c>
      <c r="AB220" s="108">
        <v>0</v>
      </c>
      <c r="AC220" s="108">
        <v>0</v>
      </c>
      <c r="AD220" s="108">
        <v>0</v>
      </c>
      <c r="AE220" s="108">
        <v>0</v>
      </c>
      <c r="AF220" s="107">
        <v>0</v>
      </c>
      <c r="AG220" s="108">
        <v>0</v>
      </c>
      <c r="AH220" s="108">
        <v>0</v>
      </c>
      <c r="AI220" s="108">
        <v>0</v>
      </c>
      <c r="AJ220" s="108">
        <v>0</v>
      </c>
      <c r="AK220" s="108">
        <v>0</v>
      </c>
      <c r="AL220" s="108">
        <v>0</v>
      </c>
      <c r="AM220" s="107">
        <v>0</v>
      </c>
      <c r="AN220" s="108">
        <f t="shared" si="1003"/>
        <v>0</v>
      </c>
      <c r="AO220" s="108"/>
      <c r="AP220" s="108">
        <f t="shared" si="606"/>
        <v>0</v>
      </c>
      <c r="AQ220" s="108">
        <v>0</v>
      </c>
      <c r="AR220" s="108"/>
      <c r="AS220" s="108"/>
      <c r="AT220" s="107"/>
      <c r="AU220" s="107"/>
      <c r="AV220" s="107"/>
      <c r="AW220" s="107"/>
      <c r="AX220" s="107"/>
      <c r="AY220" s="107"/>
      <c r="AZ220" s="107">
        <v>0</v>
      </c>
      <c r="BA220" s="107">
        <v>0</v>
      </c>
      <c r="BB220" s="107">
        <v>0</v>
      </c>
      <c r="BC220" s="189">
        <f>BC123</f>
        <v>0</v>
      </c>
      <c r="BD220" s="107"/>
      <c r="BE220" s="107">
        <v>0</v>
      </c>
      <c r="BF220" s="107">
        <v>0</v>
      </c>
      <c r="BG220" s="107">
        <v>0</v>
      </c>
      <c r="BH220" s="107">
        <v>0</v>
      </c>
      <c r="BI220" s="107">
        <v>0</v>
      </c>
      <c r="BJ220" s="107">
        <v>0</v>
      </c>
      <c r="BK220" s="107">
        <v>0</v>
      </c>
      <c r="BL220" s="107">
        <v>0</v>
      </c>
      <c r="BM220" s="107">
        <v>0</v>
      </c>
      <c r="BN220" s="107">
        <v>0</v>
      </c>
      <c r="BO220" s="107">
        <v>0</v>
      </c>
      <c r="BP220" s="107">
        <v>0</v>
      </c>
      <c r="BQ220" s="107">
        <v>0</v>
      </c>
      <c r="BR220" s="107">
        <v>0</v>
      </c>
      <c r="BS220" s="107">
        <v>0</v>
      </c>
      <c r="BT220" s="107">
        <v>0</v>
      </c>
      <c r="BU220" s="107">
        <v>0</v>
      </c>
      <c r="BV220" s="107">
        <v>0</v>
      </c>
      <c r="BW220" s="107">
        <v>0</v>
      </c>
      <c r="BX220" s="107">
        <v>0</v>
      </c>
      <c r="BY220" s="107">
        <v>0</v>
      </c>
      <c r="BZ220" s="107">
        <v>0</v>
      </c>
      <c r="CA220" s="107">
        <v>0</v>
      </c>
      <c r="CB220" s="107">
        <v>0</v>
      </c>
      <c r="CC220" s="107">
        <v>0</v>
      </c>
      <c r="CD220" s="107">
        <v>0</v>
      </c>
      <c r="CE220" s="107">
        <v>0</v>
      </c>
      <c r="CF220" s="107">
        <v>0</v>
      </c>
      <c r="CG220" s="107">
        <v>0</v>
      </c>
      <c r="CH220" s="107">
        <v>0</v>
      </c>
      <c r="CI220" s="107">
        <v>0</v>
      </c>
      <c r="CJ220" s="107">
        <v>0</v>
      </c>
      <c r="CK220" s="107">
        <v>0</v>
      </c>
      <c r="CL220" s="107">
        <v>0</v>
      </c>
      <c r="CM220" s="107">
        <v>0</v>
      </c>
      <c r="CN220" s="107">
        <v>0</v>
      </c>
      <c r="CO220" s="107">
        <v>0</v>
      </c>
    </row>
    <row r="221" spans="1:93" s="92" customFormat="1" x14ac:dyDescent="0.25">
      <c r="A221" s="121" t="str">
        <f>Language!AA216</f>
        <v>(+) Compensação de prejuizos acumulados</v>
      </c>
      <c r="B221" s="108">
        <v>0</v>
      </c>
      <c r="C221" s="108">
        <v>0</v>
      </c>
      <c r="D221" s="108">
        <v>0</v>
      </c>
      <c r="E221" s="106">
        <v>0</v>
      </c>
      <c r="F221" s="108">
        <v>0</v>
      </c>
      <c r="G221" s="108">
        <v>0</v>
      </c>
      <c r="H221" s="108">
        <v>0</v>
      </c>
      <c r="I221" s="106">
        <v>0</v>
      </c>
      <c r="J221" s="108">
        <v>0</v>
      </c>
      <c r="K221" s="108">
        <v>0</v>
      </c>
      <c r="L221" s="108">
        <v>0</v>
      </c>
      <c r="M221" s="106">
        <v>0</v>
      </c>
      <c r="N221" s="108">
        <v>0</v>
      </c>
      <c r="O221" s="108">
        <v>0</v>
      </c>
      <c r="P221" s="108">
        <v>0</v>
      </c>
      <c r="Q221" s="108">
        <v>0</v>
      </c>
      <c r="R221" s="107">
        <v>0</v>
      </c>
      <c r="S221" s="108">
        <v>0</v>
      </c>
      <c r="T221" s="108">
        <v>0</v>
      </c>
      <c r="U221" s="108">
        <v>0</v>
      </c>
      <c r="V221" s="108">
        <v>0</v>
      </c>
      <c r="W221" s="108">
        <v>0</v>
      </c>
      <c r="X221" s="108">
        <v>0</v>
      </c>
      <c r="Y221" s="107">
        <v>0</v>
      </c>
      <c r="Z221" s="108">
        <v>0</v>
      </c>
      <c r="AA221" s="108">
        <v>0</v>
      </c>
      <c r="AB221" s="108">
        <v>0</v>
      </c>
      <c r="AC221" s="108">
        <v>0</v>
      </c>
      <c r="AD221" s="108">
        <v>0</v>
      </c>
      <c r="AE221" s="108">
        <v>0</v>
      </c>
      <c r="AF221" s="107">
        <v>0</v>
      </c>
      <c r="AG221" s="108">
        <v>0</v>
      </c>
      <c r="AH221" s="108">
        <v>0</v>
      </c>
      <c r="AI221" s="108">
        <v>0</v>
      </c>
      <c r="AJ221" s="108">
        <v>0</v>
      </c>
      <c r="AK221" s="108">
        <v>0</v>
      </c>
      <c r="AL221" s="108">
        <v>0</v>
      </c>
      <c r="AM221" s="107">
        <v>0</v>
      </c>
      <c r="AN221" s="108">
        <f t="shared" si="1003"/>
        <v>0</v>
      </c>
      <c r="AO221" s="108"/>
      <c r="AP221" s="108">
        <f t="shared" si="606"/>
        <v>0</v>
      </c>
      <c r="AQ221" s="108">
        <v>0</v>
      </c>
      <c r="AR221" s="108"/>
      <c r="AS221" s="108"/>
      <c r="AT221" s="107"/>
      <c r="AU221" s="107"/>
      <c r="AV221" s="107"/>
      <c r="AW221" s="107"/>
      <c r="AX221" s="107"/>
      <c r="AY221" s="107"/>
      <c r="AZ221" s="107">
        <v>0</v>
      </c>
      <c r="BA221" s="107">
        <v>0</v>
      </c>
      <c r="BB221" s="107">
        <v>0</v>
      </c>
      <c r="BC221" s="189">
        <f>BC124</f>
        <v>0</v>
      </c>
      <c r="BD221" s="107"/>
      <c r="BE221" s="107">
        <v>0</v>
      </c>
      <c r="BF221" s="107">
        <v>0</v>
      </c>
      <c r="BG221" s="107">
        <v>-173424</v>
      </c>
      <c r="BH221" s="107">
        <v>0</v>
      </c>
      <c r="BI221" s="107">
        <v>0</v>
      </c>
      <c r="BJ221" s="107">
        <v>0</v>
      </c>
      <c r="BK221" s="107">
        <v>0</v>
      </c>
      <c r="BL221" s="107">
        <v>0</v>
      </c>
      <c r="BM221" s="107">
        <v>0</v>
      </c>
      <c r="BN221" s="107">
        <v>0</v>
      </c>
      <c r="BO221" s="107">
        <v>0</v>
      </c>
      <c r="BP221" s="107">
        <v>0</v>
      </c>
      <c r="BQ221" s="107">
        <v>0</v>
      </c>
      <c r="BR221" s="107">
        <v>0</v>
      </c>
      <c r="BS221" s="107">
        <v>0</v>
      </c>
      <c r="BT221" s="107">
        <v>0</v>
      </c>
      <c r="BU221" s="107">
        <v>0</v>
      </c>
      <c r="BV221" s="107">
        <v>0</v>
      </c>
      <c r="BW221" s="107">
        <v>0</v>
      </c>
      <c r="BX221" s="107">
        <v>0</v>
      </c>
      <c r="BY221" s="107">
        <v>0</v>
      </c>
      <c r="BZ221" s="107">
        <v>0</v>
      </c>
      <c r="CA221" s="107">
        <v>0</v>
      </c>
      <c r="CB221" s="107">
        <v>0</v>
      </c>
      <c r="CC221" s="107">
        <v>0</v>
      </c>
      <c r="CD221" s="107">
        <v>0</v>
      </c>
      <c r="CE221" s="107">
        <v>0</v>
      </c>
      <c r="CF221" s="107">
        <v>0</v>
      </c>
      <c r="CG221" s="107">
        <v>0</v>
      </c>
      <c r="CH221" s="107">
        <v>0</v>
      </c>
      <c r="CI221" s="107">
        <v>0</v>
      </c>
      <c r="CJ221" s="107">
        <v>0</v>
      </c>
      <c r="CK221" s="107">
        <v>0</v>
      </c>
      <c r="CL221" s="107">
        <v>0</v>
      </c>
      <c r="CM221" s="107">
        <v>0</v>
      </c>
      <c r="CN221" s="107">
        <v>0</v>
      </c>
      <c r="CO221" s="107">
        <v>0</v>
      </c>
    </row>
    <row r="222" spans="1:93" s="92" customFormat="1" x14ac:dyDescent="0.25">
      <c r="A222" s="121" t="str">
        <f>Language!AA217</f>
        <v>(+) Realização da Reserva de Reavaliação Reflexa</v>
      </c>
      <c r="B222" s="165">
        <v>10429</v>
      </c>
      <c r="C222" s="165">
        <f t="shared" ref="C222:S222" si="1132">B71-C71</f>
        <v>11453</v>
      </c>
      <c r="D222" s="165">
        <f t="shared" si="1132"/>
        <v>10623</v>
      </c>
      <c r="E222" s="166">
        <f t="shared" si="1132"/>
        <v>10156</v>
      </c>
      <c r="F222" s="165">
        <f t="shared" si="1132"/>
        <v>9895</v>
      </c>
      <c r="G222" s="165">
        <f t="shared" si="1132"/>
        <v>11023</v>
      </c>
      <c r="H222" s="165">
        <f t="shared" si="1132"/>
        <v>9298</v>
      </c>
      <c r="I222" s="166">
        <f t="shared" si="1132"/>
        <v>9528</v>
      </c>
      <c r="J222" s="165">
        <f t="shared" si="1132"/>
        <v>7772</v>
      </c>
      <c r="K222" s="165">
        <f t="shared" si="1132"/>
        <v>5881</v>
      </c>
      <c r="L222" s="165">
        <f t="shared" si="1132"/>
        <v>5881</v>
      </c>
      <c r="M222" s="166">
        <f t="shared" si="1132"/>
        <v>5678</v>
      </c>
      <c r="N222" s="165">
        <f t="shared" si="1132"/>
        <v>5682</v>
      </c>
      <c r="O222" s="165">
        <f t="shared" si="1132"/>
        <v>5843</v>
      </c>
      <c r="P222" s="165">
        <f t="shared" si="1132"/>
        <v>5157</v>
      </c>
      <c r="Q222" s="165">
        <f t="shared" si="1132"/>
        <v>5437</v>
      </c>
      <c r="R222" s="167">
        <f t="shared" si="1132"/>
        <v>3884</v>
      </c>
      <c r="S222" s="165">
        <f t="shared" si="1132"/>
        <v>134101</v>
      </c>
      <c r="T222" s="201">
        <v>10742</v>
      </c>
      <c r="U222" s="108">
        <v>86319</v>
      </c>
      <c r="V222" s="108">
        <v>7608</v>
      </c>
      <c r="W222" s="108">
        <v>32692</v>
      </c>
      <c r="X222" s="108">
        <v>119011</v>
      </c>
      <c r="Y222" s="167">
        <v>11302</v>
      </c>
      <c r="Z222" s="108">
        <v>10743</v>
      </c>
      <c r="AA222" s="201">
        <v>10742</v>
      </c>
      <c r="AB222" s="108">
        <v>10666</v>
      </c>
      <c r="AC222" s="108">
        <v>22045</v>
      </c>
      <c r="AD222" s="108">
        <v>32876</v>
      </c>
      <c r="AE222" s="108">
        <v>43542</v>
      </c>
      <c r="AF222" s="167">
        <v>11355</v>
      </c>
      <c r="AG222" s="108">
        <v>11150</v>
      </c>
      <c r="AH222" s="108">
        <v>22654</v>
      </c>
      <c r="AI222" s="108">
        <v>10666</v>
      </c>
      <c r="AJ222" s="108">
        <v>22505</v>
      </c>
      <c r="AK222" s="108">
        <v>33804</v>
      </c>
      <c r="AL222" s="108">
        <v>20241</v>
      </c>
      <c r="AM222" s="167">
        <v>15637</v>
      </c>
      <c r="AN222" s="165">
        <f t="shared" si="1003"/>
        <v>5067</v>
      </c>
      <c r="AO222" s="165"/>
      <c r="AP222" s="165">
        <f t="shared" si="606"/>
        <v>9407</v>
      </c>
      <c r="AQ222" s="201">
        <v>20704</v>
      </c>
      <c r="AR222" s="201">
        <v>26586</v>
      </c>
      <c r="AS222" s="108">
        <v>35993</v>
      </c>
      <c r="AT222" s="167">
        <v>5142</v>
      </c>
      <c r="AU222" s="167">
        <v>5296</v>
      </c>
      <c r="AV222" s="167">
        <f>AY222-AX222</f>
        <v>5527</v>
      </c>
      <c r="AW222" s="167">
        <f>AZ222-AY222</f>
        <v>5826</v>
      </c>
      <c r="AX222" s="742">
        <v>10438</v>
      </c>
      <c r="AY222" s="167">
        <v>15965</v>
      </c>
      <c r="AZ222" s="742">
        <v>21791</v>
      </c>
      <c r="BA222" s="742">
        <v>0</v>
      </c>
      <c r="BB222" s="742">
        <f>BE222</f>
        <v>5643.6489499999989</v>
      </c>
      <c r="BC222" s="742">
        <f>BF222-BE222</f>
        <v>3659</v>
      </c>
      <c r="BD222" s="742"/>
      <c r="BE222" s="742">
        <v>5643.6489499999989</v>
      </c>
      <c r="BF222" s="742">
        <v>9302.6489499999989</v>
      </c>
      <c r="BG222" s="742">
        <v>13472</v>
      </c>
      <c r="BH222" s="742"/>
      <c r="BI222" s="742"/>
      <c r="BJ222" s="742"/>
      <c r="BK222" s="742"/>
      <c r="BL222" s="742"/>
      <c r="BM222" s="742"/>
      <c r="BN222" s="742">
        <v>2948</v>
      </c>
      <c r="BO222" s="742"/>
      <c r="BP222" s="742">
        <v>0</v>
      </c>
      <c r="BQ222" s="742"/>
      <c r="BR222" s="742"/>
      <c r="BS222" s="742">
        <v>0</v>
      </c>
      <c r="BT222" s="742">
        <v>0</v>
      </c>
      <c r="BU222" s="742">
        <v>0</v>
      </c>
      <c r="BV222" s="742">
        <v>0</v>
      </c>
      <c r="BW222" s="742">
        <v>0</v>
      </c>
      <c r="BX222" s="742">
        <v>0</v>
      </c>
      <c r="BY222" s="742">
        <v>0</v>
      </c>
      <c r="BZ222" s="742">
        <v>0</v>
      </c>
      <c r="CA222" s="742">
        <v>0</v>
      </c>
      <c r="CB222" s="742">
        <v>0</v>
      </c>
      <c r="CC222" s="742">
        <v>0</v>
      </c>
      <c r="CD222" s="742">
        <v>0</v>
      </c>
      <c r="CE222" s="742">
        <v>0</v>
      </c>
      <c r="CF222" s="742">
        <v>0</v>
      </c>
      <c r="CG222" s="742">
        <v>0</v>
      </c>
      <c r="CH222" s="742">
        <v>0</v>
      </c>
      <c r="CI222" s="742">
        <v>0</v>
      </c>
      <c r="CJ222" s="742">
        <v>0</v>
      </c>
      <c r="CK222" s="742">
        <v>0</v>
      </c>
      <c r="CL222" s="742">
        <v>0</v>
      </c>
      <c r="CM222" s="742">
        <v>0</v>
      </c>
      <c r="CN222" s="742">
        <v>0</v>
      </c>
      <c r="CO222" s="742">
        <v>0</v>
      </c>
    </row>
    <row r="223" spans="1:93" s="92" customFormat="1" x14ac:dyDescent="0.25">
      <c r="A223" s="121" t="str">
        <f>Language!AA218</f>
        <v>(+) Realização do Ajuste de Avaliação Patrimonial</v>
      </c>
      <c r="B223" s="108">
        <v>6274</v>
      </c>
      <c r="C223" s="165">
        <f t="shared" ref="C223:S223" si="1133">B73-C73</f>
        <v>6355</v>
      </c>
      <c r="D223" s="165">
        <f t="shared" si="1133"/>
        <v>6273</v>
      </c>
      <c r="E223" s="166">
        <f t="shared" si="1133"/>
        <v>6255</v>
      </c>
      <c r="F223" s="165">
        <f t="shared" si="1133"/>
        <v>7764</v>
      </c>
      <c r="G223" s="165">
        <f t="shared" si="1133"/>
        <v>7763</v>
      </c>
      <c r="H223" s="165">
        <f t="shared" si="1133"/>
        <v>7763</v>
      </c>
      <c r="I223" s="166">
        <f t="shared" si="1133"/>
        <v>7763</v>
      </c>
      <c r="J223" s="165">
        <f t="shared" si="1133"/>
        <v>7763</v>
      </c>
      <c r="K223" s="165">
        <f t="shared" si="1133"/>
        <v>7764</v>
      </c>
      <c r="L223" s="165">
        <f t="shared" si="1133"/>
        <v>7762</v>
      </c>
      <c r="M223" s="166">
        <f t="shared" si="1133"/>
        <v>7764</v>
      </c>
      <c r="N223" s="165">
        <f t="shared" si="1133"/>
        <v>7763</v>
      </c>
      <c r="O223" s="165">
        <f t="shared" si="1133"/>
        <v>7764</v>
      </c>
      <c r="P223" s="165">
        <f t="shared" si="1133"/>
        <v>10862</v>
      </c>
      <c r="Q223" s="165">
        <f t="shared" si="1133"/>
        <v>7874</v>
      </c>
      <c r="R223" s="167">
        <f t="shared" si="1133"/>
        <v>7171</v>
      </c>
      <c r="S223" s="165">
        <f t="shared" si="1133"/>
        <v>379198</v>
      </c>
      <c r="T223" s="201">
        <v>0</v>
      </c>
      <c r="U223" s="201">
        <v>0</v>
      </c>
      <c r="V223" s="201">
        <v>14342</v>
      </c>
      <c r="W223" s="108">
        <v>0</v>
      </c>
      <c r="X223" s="108">
        <v>0</v>
      </c>
      <c r="Y223" s="167">
        <v>0</v>
      </c>
      <c r="Z223" s="165">
        <v>0</v>
      </c>
      <c r="AA223" s="201">
        <v>0</v>
      </c>
      <c r="AB223" s="201">
        <v>0</v>
      </c>
      <c r="AC223" s="201">
        <v>0</v>
      </c>
      <c r="AD223" s="201">
        <v>0</v>
      </c>
      <c r="AE223" s="108">
        <v>0</v>
      </c>
      <c r="AF223" s="167">
        <v>0</v>
      </c>
      <c r="AG223" s="165">
        <v>0</v>
      </c>
      <c r="AH223" s="165">
        <v>0</v>
      </c>
      <c r="AI223" s="201">
        <v>0</v>
      </c>
      <c r="AJ223" s="201">
        <v>0</v>
      </c>
      <c r="AK223" s="201">
        <v>0</v>
      </c>
      <c r="AL223" s="108">
        <v>256546</v>
      </c>
      <c r="AM223" s="167">
        <v>0</v>
      </c>
      <c r="AN223" s="165">
        <f t="shared" si="1003"/>
        <v>0</v>
      </c>
      <c r="AO223" s="165"/>
      <c r="AP223" s="165">
        <f t="shared" si="606"/>
        <v>0</v>
      </c>
      <c r="AQ223" s="201">
        <v>0</v>
      </c>
      <c r="AR223" s="201"/>
      <c r="AS223" s="108"/>
      <c r="AT223" s="167"/>
      <c r="AU223" s="167"/>
      <c r="AV223" s="167"/>
      <c r="AW223" s="167"/>
      <c r="AX223" s="167"/>
      <c r="AY223" s="167"/>
      <c r="AZ223" s="167">
        <v>0</v>
      </c>
      <c r="BA223" s="167">
        <v>0</v>
      </c>
      <c r="BB223" s="167">
        <v>0</v>
      </c>
      <c r="BC223" s="167"/>
      <c r="BD223" s="167"/>
      <c r="BE223" s="167">
        <v>0</v>
      </c>
      <c r="BF223" s="167">
        <v>0</v>
      </c>
      <c r="BG223" s="167">
        <v>0</v>
      </c>
      <c r="BH223" s="167">
        <v>0</v>
      </c>
      <c r="BI223" s="167">
        <v>0</v>
      </c>
      <c r="BJ223" s="167">
        <v>0</v>
      </c>
      <c r="BK223" s="167">
        <v>0</v>
      </c>
      <c r="BL223" s="167">
        <v>0</v>
      </c>
      <c r="BM223" s="167">
        <v>0</v>
      </c>
      <c r="BN223" s="167">
        <v>0</v>
      </c>
      <c r="BO223" s="167"/>
      <c r="BP223" s="167">
        <v>0</v>
      </c>
      <c r="BQ223" s="167"/>
      <c r="BR223" s="167"/>
      <c r="BS223" s="167">
        <v>0</v>
      </c>
      <c r="BT223" s="167">
        <v>0</v>
      </c>
      <c r="BU223" s="167">
        <v>0</v>
      </c>
      <c r="BV223" s="167">
        <v>0</v>
      </c>
      <c r="BW223" s="167">
        <v>0</v>
      </c>
      <c r="BX223" s="167">
        <v>0</v>
      </c>
      <c r="BY223" s="167">
        <v>0</v>
      </c>
      <c r="BZ223" s="167">
        <v>0</v>
      </c>
      <c r="CA223" s="167">
        <v>0</v>
      </c>
      <c r="CB223" s="167">
        <v>0</v>
      </c>
      <c r="CC223" s="167">
        <v>0</v>
      </c>
      <c r="CD223" s="167">
        <v>0</v>
      </c>
      <c r="CE223" s="167">
        <v>0</v>
      </c>
      <c r="CF223" s="167">
        <v>0</v>
      </c>
      <c r="CG223" s="167">
        <v>0</v>
      </c>
      <c r="CH223" s="167">
        <v>0</v>
      </c>
      <c r="CI223" s="167">
        <v>0</v>
      </c>
      <c r="CJ223" s="167">
        <v>0</v>
      </c>
      <c r="CK223" s="167">
        <v>0</v>
      </c>
      <c r="CL223" s="167">
        <v>0</v>
      </c>
      <c r="CM223" s="167">
        <v>0</v>
      </c>
      <c r="CN223" s="167">
        <v>0</v>
      </c>
      <c r="CO223" s="167">
        <v>0</v>
      </c>
    </row>
    <row r="224" spans="1:93" s="92" customFormat="1" x14ac:dyDescent="0.25">
      <c r="A224" s="121" t="str">
        <f>Language!AA219</f>
        <v>(+) Constituição da Reserva Legal (5%)</v>
      </c>
      <c r="B224" s="108">
        <v>0</v>
      </c>
      <c r="C224" s="108">
        <v>-384</v>
      </c>
      <c r="D224" s="108">
        <v>0</v>
      </c>
      <c r="E224" s="106">
        <v>-706</v>
      </c>
      <c r="F224" s="108">
        <v>-750</v>
      </c>
      <c r="G224" s="108">
        <v>518</v>
      </c>
      <c r="H224" s="108">
        <v>193</v>
      </c>
      <c r="I224" s="106">
        <v>-424.65</v>
      </c>
      <c r="J224" s="108">
        <v>-909</v>
      </c>
      <c r="K224" s="108">
        <v>909</v>
      </c>
      <c r="L224" s="108">
        <v>0</v>
      </c>
      <c r="M224" s="106">
        <v>9</v>
      </c>
      <c r="N224" s="108">
        <v>-7822</v>
      </c>
      <c r="O224" s="108">
        <v>1763</v>
      </c>
      <c r="P224" s="108">
        <v>66</v>
      </c>
      <c r="Q224" s="108">
        <v>0</v>
      </c>
      <c r="R224" s="107">
        <v>-4403</v>
      </c>
      <c r="S224" s="108">
        <v>3524</v>
      </c>
      <c r="T224" s="112">
        <v>478</v>
      </c>
      <c r="U224" s="112">
        <v>-4449</v>
      </c>
      <c r="V224" s="112">
        <v>-879</v>
      </c>
      <c r="W224" s="108">
        <v>-401</v>
      </c>
      <c r="X224" s="108">
        <v>-4850</v>
      </c>
      <c r="Y224" s="107">
        <v>0</v>
      </c>
      <c r="Z224" s="108">
        <v>0</v>
      </c>
      <c r="AA224" s="112">
        <v>478</v>
      </c>
      <c r="AB224" s="112">
        <v>0</v>
      </c>
      <c r="AC224" s="112">
        <v>0</v>
      </c>
      <c r="AD224" s="112">
        <v>0</v>
      </c>
      <c r="AE224" s="108">
        <v>0</v>
      </c>
      <c r="AF224" s="107">
        <v>0</v>
      </c>
      <c r="AG224" s="108">
        <v>0</v>
      </c>
      <c r="AH224" s="108">
        <v>0</v>
      </c>
      <c r="AI224" s="112">
        <v>0</v>
      </c>
      <c r="AJ224" s="112">
        <v>0</v>
      </c>
      <c r="AK224" s="112">
        <v>0</v>
      </c>
      <c r="AL224" s="108">
        <v>0</v>
      </c>
      <c r="AM224" s="107">
        <v>-1290</v>
      </c>
      <c r="AN224" s="108">
        <f t="shared" si="1003"/>
        <v>1290</v>
      </c>
      <c r="AO224" s="108"/>
      <c r="AP224" s="108">
        <f t="shared" si="606"/>
        <v>0</v>
      </c>
      <c r="AQ224" s="112">
        <v>0</v>
      </c>
      <c r="AR224" s="112"/>
      <c r="AS224" s="108"/>
      <c r="AT224" s="107"/>
      <c r="AU224" s="107"/>
      <c r="AV224" s="107"/>
      <c r="AW224" s="107"/>
      <c r="AX224" s="107"/>
      <c r="AY224" s="107"/>
      <c r="AZ224" s="107">
        <v>0</v>
      </c>
      <c r="BA224" s="107">
        <v>0</v>
      </c>
      <c r="BB224" s="107">
        <v>0</v>
      </c>
      <c r="BC224" s="107"/>
      <c r="BD224" s="107"/>
      <c r="BE224" s="107">
        <v>0</v>
      </c>
      <c r="BF224" s="107">
        <v>0</v>
      </c>
      <c r="BG224" s="107">
        <v>-796</v>
      </c>
      <c r="BH224" s="107">
        <v>0</v>
      </c>
      <c r="BI224" s="107">
        <v>0</v>
      </c>
      <c r="BJ224" s="107">
        <v>0</v>
      </c>
      <c r="BK224" s="107">
        <v>0</v>
      </c>
      <c r="BL224" s="107">
        <v>0</v>
      </c>
      <c r="BM224" s="107">
        <v>0</v>
      </c>
      <c r="BN224" s="107">
        <v>-528</v>
      </c>
      <c r="BO224" s="107"/>
      <c r="BP224" s="107">
        <v>0</v>
      </c>
      <c r="BQ224" s="107"/>
      <c r="BR224" s="107">
        <v>-419</v>
      </c>
      <c r="BS224" s="107"/>
      <c r="BT224" s="107"/>
      <c r="BU224" s="107">
        <v>-419</v>
      </c>
      <c r="BV224" s="107"/>
      <c r="BW224" s="107"/>
      <c r="BX224" s="107"/>
      <c r="BY224" s="107"/>
      <c r="BZ224" s="107"/>
      <c r="CA224" s="107"/>
      <c r="CB224" s="107"/>
      <c r="CC224" s="107"/>
      <c r="CD224" s="107"/>
      <c r="CE224" s="107"/>
      <c r="CF224" s="107"/>
      <c r="CG224" s="107"/>
      <c r="CH224" s="107"/>
      <c r="CI224" s="107">
        <f>-CI218*0.05</f>
        <v>-1779.4</v>
      </c>
      <c r="CJ224" s="107">
        <v>515.4</v>
      </c>
      <c r="CK224" s="107">
        <f t="shared" ref="CK224:CO224" si="1134">-CK218*0.05</f>
        <v>1841.0500000000002</v>
      </c>
      <c r="CL224" s="107">
        <f t="shared" si="1134"/>
        <v>0</v>
      </c>
      <c r="CM224" s="107">
        <f t="shared" si="1134"/>
        <v>0</v>
      </c>
      <c r="CN224" s="107">
        <f t="shared" si="1134"/>
        <v>2356.4500000000003</v>
      </c>
      <c r="CO224" s="107">
        <f t="shared" si="1134"/>
        <v>0</v>
      </c>
    </row>
    <row r="225" spans="1:93" s="92" customFormat="1" ht="13" x14ac:dyDescent="0.3">
      <c r="A225" s="142" t="str">
        <f>Language!AA220</f>
        <v>NCG: Necessidade de Capital de Giro</v>
      </c>
      <c r="B225" s="143">
        <f>SUM(B226,-B227)</f>
        <v>-42451</v>
      </c>
      <c r="C225" s="143">
        <f t="shared" ref="C225:K225" si="1135">SUM(C226,-C227)</f>
        <v>-44180</v>
      </c>
      <c r="D225" s="143">
        <f t="shared" si="1135"/>
        <v>-74698</v>
      </c>
      <c r="E225" s="144">
        <f t="shared" si="1135"/>
        <v>-58272</v>
      </c>
      <c r="F225" s="143">
        <f t="shared" si="1135"/>
        <v>-21651</v>
      </c>
      <c r="G225" s="143">
        <f t="shared" si="1135"/>
        <v>10</v>
      </c>
      <c r="H225" s="143">
        <f t="shared" si="1135"/>
        <v>5744</v>
      </c>
      <c r="I225" s="144">
        <f t="shared" si="1135"/>
        <v>-83903</v>
      </c>
      <c r="J225" s="143">
        <f t="shared" si="1135"/>
        <v>-93674</v>
      </c>
      <c r="K225" s="143">
        <f t="shared" si="1135"/>
        <v>-76488</v>
      </c>
      <c r="L225" s="143">
        <f t="shared" ref="L225:M225" si="1136">SUM(L226,-L227)</f>
        <v>-74590</v>
      </c>
      <c r="M225" s="144">
        <f t="shared" si="1136"/>
        <v>-98309</v>
      </c>
      <c r="N225" s="143">
        <f t="shared" ref="N225:O225" si="1137">SUM(N226,-N227)</f>
        <v>5001</v>
      </c>
      <c r="O225" s="143">
        <f t="shared" si="1137"/>
        <v>9225</v>
      </c>
      <c r="P225" s="143">
        <f t="shared" ref="P225:X225" si="1138">SUM(P226,-P227)</f>
        <v>-150192</v>
      </c>
      <c r="Q225" s="143">
        <f t="shared" si="1138"/>
        <v>-45961</v>
      </c>
      <c r="R225" s="145">
        <f t="shared" si="1138"/>
        <v>155281</v>
      </c>
      <c r="S225" s="143">
        <f t="shared" si="1138"/>
        <v>0</v>
      </c>
      <c r="T225" s="143">
        <f t="shared" si="1138"/>
        <v>273053</v>
      </c>
      <c r="U225" s="143">
        <f t="shared" si="1138"/>
        <v>381957</v>
      </c>
      <c r="V225" s="143">
        <f t="shared" ref="V225" si="1139">SUM(V226,-V227)</f>
        <v>0</v>
      </c>
      <c r="W225" s="143">
        <f t="shared" si="1138"/>
        <v>273053</v>
      </c>
      <c r="X225" s="143">
        <f t="shared" si="1138"/>
        <v>381957</v>
      </c>
      <c r="Y225" s="145">
        <f t="shared" ref="Y225:AB225" si="1140">SUM(Y226,-Y227)</f>
        <v>20511</v>
      </c>
      <c r="Z225" s="143">
        <f t="shared" si="1140"/>
        <v>-256908</v>
      </c>
      <c r="AA225" s="143">
        <f t="shared" si="1140"/>
        <v>-326472</v>
      </c>
      <c r="AB225" s="143">
        <f t="shared" si="1140"/>
        <v>-296634</v>
      </c>
      <c r="AC225" s="143">
        <f t="shared" ref="AC225:AD225" si="1141">SUM(AC226,-AC227)</f>
        <v>-256908</v>
      </c>
      <c r="AD225" s="143">
        <f t="shared" si="1141"/>
        <v>-326472</v>
      </c>
      <c r="AE225" s="143">
        <f t="shared" ref="AE225" si="1142">SUM(AE226,-AE227)</f>
        <v>-296634</v>
      </c>
      <c r="AF225" s="145">
        <v>-331254</v>
      </c>
      <c r="AG225" s="143">
        <v>-432758</v>
      </c>
      <c r="AH225" s="143">
        <v>-229398</v>
      </c>
      <c r="AI225" s="143">
        <v>-194918</v>
      </c>
      <c r="AJ225" s="143">
        <v>-432758</v>
      </c>
      <c r="AK225" s="143">
        <v>-229398</v>
      </c>
      <c r="AL225" s="143">
        <v>-194918</v>
      </c>
      <c r="AM225" s="145">
        <f t="shared" ref="AM225:AQ225" si="1143">SUM(AM226,-AM227)</f>
        <v>-215016</v>
      </c>
      <c r="AN225" s="143">
        <f>AQ225</f>
        <v>-268770</v>
      </c>
      <c r="AO225" s="143"/>
      <c r="AP225" s="143">
        <f t="shared" si="606"/>
        <v>10998</v>
      </c>
      <c r="AQ225" s="143">
        <f t="shared" si="1143"/>
        <v>-268770</v>
      </c>
      <c r="AR225" s="143">
        <f t="shared" ref="AR225:AS225" si="1144">SUM(AR226,-AR227)</f>
        <v>-221490</v>
      </c>
      <c r="AS225" s="143">
        <f t="shared" si="1144"/>
        <v>-210492</v>
      </c>
      <c r="AT225" s="145">
        <f t="shared" ref="AT225" si="1145">SUM(AT226,-AT227)</f>
        <v>-223424</v>
      </c>
      <c r="AU225" s="145">
        <f t="shared" ref="AU225:AX225" si="1146">SUM(AU226,-AU227)</f>
        <v>-187832</v>
      </c>
      <c r="AV225" s="145">
        <f t="shared" ref="AV225:AY225" si="1147">SUM(AV226,-AV227)</f>
        <v>-157044</v>
      </c>
      <c r="AW225" s="145">
        <f t="shared" si="1146"/>
        <v>-179580</v>
      </c>
      <c r="AX225" s="145">
        <f t="shared" si="1146"/>
        <v>-187832</v>
      </c>
      <c r="AY225" s="145">
        <f t="shared" si="1147"/>
        <v>-157044</v>
      </c>
      <c r="AZ225" s="145">
        <f t="shared" ref="AZ225:BA225" si="1148">SUM(AZ226,-AZ227)</f>
        <v>-179580</v>
      </c>
      <c r="BA225" s="145">
        <f t="shared" si="1148"/>
        <v>-178775</v>
      </c>
      <c r="BB225" s="145">
        <f t="shared" ref="BB225:BC225" si="1149">SUM(BB226,-BB227)</f>
        <v>-175358</v>
      </c>
      <c r="BC225" s="145">
        <f t="shared" si="1149"/>
        <v>-164276</v>
      </c>
      <c r="BD225" s="145">
        <f t="shared" ref="BD225:BE225" si="1150">SUM(BD226,-BD227)</f>
        <v>-107073</v>
      </c>
      <c r="BE225" s="145">
        <f t="shared" si="1150"/>
        <v>-175358</v>
      </c>
      <c r="BF225" s="145">
        <f t="shared" ref="BF225:BG225" si="1151">SUM(BF226,-BF227)</f>
        <v>-164276</v>
      </c>
      <c r="BG225" s="145">
        <f t="shared" si="1151"/>
        <v>-107073</v>
      </c>
      <c r="BH225" s="145">
        <f t="shared" ref="BH225:BL225" si="1152">SUM(BH226,-BH227)</f>
        <v>-131559</v>
      </c>
      <c r="BI225" s="145">
        <f t="shared" si="1152"/>
        <v>-121640</v>
      </c>
      <c r="BJ225" s="145">
        <f t="shared" si="1152"/>
        <v>-80188</v>
      </c>
      <c r="BK225" s="145">
        <f t="shared" si="1152"/>
        <v>-99918</v>
      </c>
      <c r="BL225" s="145">
        <f t="shared" si="1152"/>
        <v>-121640</v>
      </c>
      <c r="BM225" s="145">
        <f t="shared" ref="BM225:BN225" si="1153">SUM(BM226,-BM227)</f>
        <v>-80188</v>
      </c>
      <c r="BN225" s="145">
        <f t="shared" si="1153"/>
        <v>-99918</v>
      </c>
      <c r="BO225" s="145">
        <f t="shared" ref="BO225:BP225" si="1154">SUM(BO226,-BO227)</f>
        <v>-127633</v>
      </c>
      <c r="BP225" s="145">
        <f t="shared" si="1154"/>
        <v>-189979</v>
      </c>
      <c r="BQ225" s="145">
        <f t="shared" ref="BQ225:BS225" si="1155">SUM(BQ226,-BQ227)</f>
        <v>-90405</v>
      </c>
      <c r="BR225" s="145">
        <f t="shared" si="1155"/>
        <v>-111977</v>
      </c>
      <c r="BS225" s="145">
        <f t="shared" si="1155"/>
        <v>-189979</v>
      </c>
      <c r="BT225" s="145">
        <f t="shared" ref="BT225:BU225" si="1156">SUM(BT226,-BT227)</f>
        <v>-90405</v>
      </c>
      <c r="BU225" s="145">
        <f t="shared" si="1156"/>
        <v>-111977</v>
      </c>
      <c r="BV225" s="145">
        <f t="shared" ref="BV225" si="1157">SUM(BV226,-BV227)</f>
        <v>-124393</v>
      </c>
      <c r="BW225" s="145">
        <f t="shared" ref="BW225:CB225" si="1158">SUM(BW226,-BW227)</f>
        <v>-135786</v>
      </c>
      <c r="BX225" s="145">
        <f t="shared" si="1158"/>
        <v>-142439</v>
      </c>
      <c r="BY225" s="145">
        <f t="shared" si="1158"/>
        <v>-130389</v>
      </c>
      <c r="BZ225" s="145">
        <f t="shared" si="1158"/>
        <v>-135786</v>
      </c>
      <c r="CA225" s="145">
        <f t="shared" si="1158"/>
        <v>-142439</v>
      </c>
      <c r="CB225" s="145">
        <f t="shared" si="1158"/>
        <v>-130389</v>
      </c>
      <c r="CC225" s="145">
        <f t="shared" ref="CC225:CD225" si="1159">SUM(CC226,-CC227)</f>
        <v>-115016</v>
      </c>
      <c r="CD225" s="145">
        <f t="shared" si="1159"/>
        <v>-120719</v>
      </c>
      <c r="CE225" s="145">
        <f t="shared" ref="CE225:CG225" si="1160">SUM(CE226,-CE227)</f>
        <v>-102748</v>
      </c>
      <c r="CF225" s="145">
        <f t="shared" si="1160"/>
        <v>-102170</v>
      </c>
      <c r="CG225" s="145">
        <f t="shared" si="1160"/>
        <v>-120719</v>
      </c>
      <c r="CH225" s="145">
        <f t="shared" ref="CH225:CI225" si="1161">SUM(CH226,-CH227)</f>
        <v>-102748</v>
      </c>
      <c r="CI225" s="145">
        <f t="shared" si="1161"/>
        <v>-102170</v>
      </c>
      <c r="CJ225" s="145">
        <v>-141309</v>
      </c>
      <c r="CK225" s="145">
        <f t="shared" ref="CK225:CO225" si="1162">SUM(CK226,-CK227)</f>
        <v>-112089</v>
      </c>
      <c r="CL225" s="145">
        <f t="shared" si="1162"/>
        <v>0</v>
      </c>
      <c r="CM225" s="145">
        <f t="shared" si="1162"/>
        <v>0</v>
      </c>
      <c r="CN225" s="145">
        <f t="shared" si="1162"/>
        <v>-112089</v>
      </c>
      <c r="CO225" s="145">
        <f t="shared" si="1162"/>
        <v>0</v>
      </c>
    </row>
    <row r="226" spans="1:93" s="92" customFormat="1" x14ac:dyDescent="0.25">
      <c r="A226" s="121" t="str">
        <f>Language!AA221</f>
        <v>(+) Ativo Operacional Circulante</v>
      </c>
      <c r="B226" s="155">
        <f t="shared" ref="B226:AE226" si="1163">B7-SUM(B8,B9)</f>
        <v>95706</v>
      </c>
      <c r="C226" s="155">
        <f t="shared" si="1163"/>
        <v>80143</v>
      </c>
      <c r="D226" s="155">
        <f t="shared" si="1163"/>
        <v>97019</v>
      </c>
      <c r="E226" s="188">
        <f t="shared" si="1163"/>
        <v>118010</v>
      </c>
      <c r="F226" s="155">
        <f t="shared" si="1163"/>
        <v>128540</v>
      </c>
      <c r="G226" s="155">
        <f t="shared" si="1163"/>
        <v>153574</v>
      </c>
      <c r="H226" s="155">
        <f t="shared" si="1163"/>
        <v>182671</v>
      </c>
      <c r="I226" s="188">
        <f t="shared" si="1163"/>
        <v>159372</v>
      </c>
      <c r="J226" s="155">
        <f t="shared" si="1163"/>
        <v>179025</v>
      </c>
      <c r="K226" s="155">
        <f t="shared" si="1163"/>
        <v>173775</v>
      </c>
      <c r="L226" s="155">
        <f t="shared" si="1163"/>
        <v>170248</v>
      </c>
      <c r="M226" s="188">
        <f t="shared" si="1163"/>
        <v>172596</v>
      </c>
      <c r="N226" s="155">
        <f t="shared" si="1163"/>
        <v>227743</v>
      </c>
      <c r="O226" s="155">
        <f t="shared" si="1163"/>
        <v>221582</v>
      </c>
      <c r="P226" s="155">
        <f t="shared" si="1163"/>
        <v>327545</v>
      </c>
      <c r="Q226" s="155">
        <f t="shared" si="1163"/>
        <v>446613</v>
      </c>
      <c r="R226" s="189">
        <f t="shared" si="1163"/>
        <v>633448</v>
      </c>
      <c r="S226" s="155">
        <f t="shared" si="1163"/>
        <v>0</v>
      </c>
      <c r="T226" s="155">
        <f t="shared" si="1163"/>
        <v>795105</v>
      </c>
      <c r="U226" s="155">
        <f t="shared" si="1163"/>
        <v>849498</v>
      </c>
      <c r="V226" s="155">
        <f t="shared" si="1163"/>
        <v>0</v>
      </c>
      <c r="W226" s="155">
        <f t="shared" si="1163"/>
        <v>795105</v>
      </c>
      <c r="X226" s="155">
        <f t="shared" si="1163"/>
        <v>849498</v>
      </c>
      <c r="Y226" s="189">
        <f t="shared" si="1163"/>
        <v>479759</v>
      </c>
      <c r="Z226" s="155">
        <f t="shared" si="1163"/>
        <v>231919</v>
      </c>
      <c r="AA226" s="155">
        <f t="shared" si="1163"/>
        <v>212714</v>
      </c>
      <c r="AB226" s="155">
        <f t="shared" si="1163"/>
        <v>221506</v>
      </c>
      <c r="AC226" s="155">
        <f t="shared" si="1163"/>
        <v>231919</v>
      </c>
      <c r="AD226" s="155">
        <f t="shared" si="1163"/>
        <v>212714</v>
      </c>
      <c r="AE226" s="155">
        <f t="shared" si="1163"/>
        <v>221506</v>
      </c>
      <c r="AF226" s="189">
        <v>211886</v>
      </c>
      <c r="AG226" s="155">
        <v>216113</v>
      </c>
      <c r="AH226" s="155">
        <v>153446</v>
      </c>
      <c r="AI226" s="155">
        <v>238903</v>
      </c>
      <c r="AJ226" s="155">
        <v>216113</v>
      </c>
      <c r="AK226" s="155">
        <v>153446</v>
      </c>
      <c r="AL226" s="155">
        <v>238903</v>
      </c>
      <c r="AM226" s="189">
        <f>AM7-SUM(AM8,AM9)</f>
        <v>201237</v>
      </c>
      <c r="AN226" s="155">
        <f t="shared" ref="AN226:AN230" si="1164">AQ226</f>
        <v>104922</v>
      </c>
      <c r="AO226" s="155"/>
      <c r="AP226" s="155">
        <f t="shared" si="606"/>
        <v>2057</v>
      </c>
      <c r="AQ226" s="155">
        <f t="shared" ref="AQ226:CI226" si="1165">AQ7-SUM(AQ8,AQ9)</f>
        <v>104922</v>
      </c>
      <c r="AR226" s="155">
        <f t="shared" si="1165"/>
        <v>105231</v>
      </c>
      <c r="AS226" s="155">
        <f t="shared" si="1165"/>
        <v>107288</v>
      </c>
      <c r="AT226" s="189">
        <f t="shared" si="1165"/>
        <v>101479</v>
      </c>
      <c r="AU226" s="189">
        <f t="shared" si="1165"/>
        <v>115750</v>
      </c>
      <c r="AV226" s="189">
        <f t="shared" si="1165"/>
        <v>129902</v>
      </c>
      <c r="AW226" s="189">
        <f t="shared" si="1165"/>
        <v>109329</v>
      </c>
      <c r="AX226" s="189">
        <f t="shared" si="1165"/>
        <v>115750</v>
      </c>
      <c r="AY226" s="189">
        <f t="shared" si="1165"/>
        <v>129902</v>
      </c>
      <c r="AZ226" s="189">
        <f t="shared" si="1165"/>
        <v>109329</v>
      </c>
      <c r="BA226" s="189">
        <f t="shared" si="1165"/>
        <v>113613</v>
      </c>
      <c r="BB226" s="189">
        <f t="shared" si="1165"/>
        <v>118580</v>
      </c>
      <c r="BC226" s="189">
        <f t="shared" si="1165"/>
        <v>129195</v>
      </c>
      <c r="BD226" s="189">
        <f t="shared" si="1165"/>
        <v>138433</v>
      </c>
      <c r="BE226" s="189">
        <f t="shared" si="1165"/>
        <v>118580</v>
      </c>
      <c r="BF226" s="189">
        <f t="shared" si="1165"/>
        <v>129195</v>
      </c>
      <c r="BG226" s="189">
        <f t="shared" si="1165"/>
        <v>138433</v>
      </c>
      <c r="BH226" s="189">
        <f t="shared" si="1165"/>
        <v>119194</v>
      </c>
      <c r="BI226" s="189">
        <f t="shared" si="1165"/>
        <v>134253</v>
      </c>
      <c r="BJ226" s="189">
        <f t="shared" si="1165"/>
        <v>145931</v>
      </c>
      <c r="BK226" s="189">
        <f t="shared" si="1165"/>
        <v>97278</v>
      </c>
      <c r="BL226" s="189">
        <f t="shared" si="1165"/>
        <v>134253</v>
      </c>
      <c r="BM226" s="189">
        <f t="shared" si="1165"/>
        <v>145931</v>
      </c>
      <c r="BN226" s="189">
        <f t="shared" si="1165"/>
        <v>97278</v>
      </c>
      <c r="BO226" s="189">
        <f t="shared" si="1165"/>
        <v>98011</v>
      </c>
      <c r="BP226" s="189">
        <f t="shared" si="1165"/>
        <v>130584</v>
      </c>
      <c r="BQ226" s="189">
        <f t="shared" si="1165"/>
        <v>131898</v>
      </c>
      <c r="BR226" s="189">
        <f t="shared" si="1165"/>
        <v>109640</v>
      </c>
      <c r="BS226" s="189">
        <f t="shared" si="1165"/>
        <v>130584</v>
      </c>
      <c r="BT226" s="189">
        <f t="shared" si="1165"/>
        <v>131898</v>
      </c>
      <c r="BU226" s="189">
        <f t="shared" si="1165"/>
        <v>109640</v>
      </c>
      <c r="BV226" s="189">
        <f t="shared" si="1165"/>
        <v>129046</v>
      </c>
      <c r="BW226" s="189">
        <f t="shared" si="1165"/>
        <v>133096</v>
      </c>
      <c r="BX226" s="189">
        <f t="shared" si="1165"/>
        <v>132796</v>
      </c>
      <c r="BY226" s="189">
        <f t="shared" si="1165"/>
        <v>121540</v>
      </c>
      <c r="BZ226" s="189">
        <f t="shared" si="1165"/>
        <v>133096</v>
      </c>
      <c r="CA226" s="189">
        <f t="shared" si="1165"/>
        <v>132796</v>
      </c>
      <c r="CB226" s="189">
        <f t="shared" si="1165"/>
        <v>121540</v>
      </c>
      <c r="CC226" s="189">
        <f t="shared" si="1165"/>
        <v>159445</v>
      </c>
      <c r="CD226" s="189">
        <f t="shared" si="1165"/>
        <v>153321</v>
      </c>
      <c r="CE226" s="189">
        <f t="shared" si="1165"/>
        <v>156257</v>
      </c>
      <c r="CF226" s="189">
        <f t="shared" si="1165"/>
        <v>154813</v>
      </c>
      <c r="CG226" s="189">
        <f t="shared" si="1165"/>
        <v>153321</v>
      </c>
      <c r="CH226" s="189">
        <f t="shared" si="1165"/>
        <v>156257</v>
      </c>
      <c r="CI226" s="189">
        <f t="shared" si="1165"/>
        <v>154813</v>
      </c>
      <c r="CJ226" s="189">
        <v>161029</v>
      </c>
      <c r="CK226" s="189">
        <f t="shared" ref="CK226:CO226" si="1166">CK7-SUM(CK8,CK9)</f>
        <v>177567</v>
      </c>
      <c r="CL226" s="189">
        <f t="shared" si="1166"/>
        <v>0</v>
      </c>
      <c r="CM226" s="189">
        <f t="shared" si="1166"/>
        <v>0</v>
      </c>
      <c r="CN226" s="189">
        <f t="shared" si="1166"/>
        <v>177567</v>
      </c>
      <c r="CO226" s="189">
        <f t="shared" si="1166"/>
        <v>0</v>
      </c>
    </row>
    <row r="227" spans="1:93" s="92" customFormat="1" x14ac:dyDescent="0.25">
      <c r="A227" s="190" t="str">
        <f>Language!AA222</f>
        <v>(-) Passivo Operacional Circulante</v>
      </c>
      <c r="B227" s="191">
        <f t="shared" ref="B227:AE227" si="1167">B31-SUM(B33,B34,B36)</f>
        <v>138157</v>
      </c>
      <c r="C227" s="191">
        <f t="shared" si="1167"/>
        <v>124323</v>
      </c>
      <c r="D227" s="191">
        <f t="shared" si="1167"/>
        <v>171717</v>
      </c>
      <c r="E227" s="192">
        <f t="shared" si="1167"/>
        <v>176282</v>
      </c>
      <c r="F227" s="191">
        <f t="shared" si="1167"/>
        <v>150191</v>
      </c>
      <c r="G227" s="191">
        <f t="shared" si="1167"/>
        <v>153564</v>
      </c>
      <c r="H227" s="191">
        <f t="shared" si="1167"/>
        <v>176927</v>
      </c>
      <c r="I227" s="192">
        <f t="shared" si="1167"/>
        <v>243275</v>
      </c>
      <c r="J227" s="191">
        <f t="shared" si="1167"/>
        <v>272699</v>
      </c>
      <c r="K227" s="191">
        <f t="shared" si="1167"/>
        <v>250263</v>
      </c>
      <c r="L227" s="191">
        <f t="shared" si="1167"/>
        <v>244838</v>
      </c>
      <c r="M227" s="192">
        <f t="shared" si="1167"/>
        <v>270905</v>
      </c>
      <c r="N227" s="191">
        <f t="shared" si="1167"/>
        <v>222742</v>
      </c>
      <c r="O227" s="191">
        <f t="shared" si="1167"/>
        <v>212357</v>
      </c>
      <c r="P227" s="191">
        <f t="shared" si="1167"/>
        <v>477737</v>
      </c>
      <c r="Q227" s="191">
        <f t="shared" si="1167"/>
        <v>492574</v>
      </c>
      <c r="R227" s="193">
        <f t="shared" si="1167"/>
        <v>478167</v>
      </c>
      <c r="S227" s="191">
        <f t="shared" si="1167"/>
        <v>0</v>
      </c>
      <c r="T227" s="191">
        <f t="shared" si="1167"/>
        <v>522052</v>
      </c>
      <c r="U227" s="191">
        <f t="shared" si="1167"/>
        <v>467541</v>
      </c>
      <c r="V227" s="191">
        <f t="shared" si="1167"/>
        <v>0</v>
      </c>
      <c r="W227" s="191">
        <f t="shared" si="1167"/>
        <v>522052</v>
      </c>
      <c r="X227" s="191">
        <f t="shared" si="1167"/>
        <v>467541</v>
      </c>
      <c r="Y227" s="193">
        <f t="shared" si="1167"/>
        <v>459248</v>
      </c>
      <c r="Z227" s="191">
        <f t="shared" si="1167"/>
        <v>488827</v>
      </c>
      <c r="AA227" s="191">
        <f t="shared" si="1167"/>
        <v>539186</v>
      </c>
      <c r="AB227" s="191">
        <f t="shared" si="1167"/>
        <v>518140</v>
      </c>
      <c r="AC227" s="191">
        <f t="shared" si="1167"/>
        <v>488827</v>
      </c>
      <c r="AD227" s="191">
        <f t="shared" si="1167"/>
        <v>539186</v>
      </c>
      <c r="AE227" s="191">
        <f t="shared" si="1167"/>
        <v>518140</v>
      </c>
      <c r="AF227" s="193">
        <v>543140</v>
      </c>
      <c r="AG227" s="191">
        <v>648871</v>
      </c>
      <c r="AH227" s="191">
        <v>382844</v>
      </c>
      <c r="AI227" s="191">
        <v>433821</v>
      </c>
      <c r="AJ227" s="191">
        <v>648871</v>
      </c>
      <c r="AK227" s="191">
        <v>382844</v>
      </c>
      <c r="AL227" s="191">
        <v>433821</v>
      </c>
      <c r="AM227" s="193">
        <f>AM31-SUM(AM33,AM34,AM36)</f>
        <v>416253</v>
      </c>
      <c r="AN227" s="191">
        <f t="shared" si="1164"/>
        <v>373692</v>
      </c>
      <c r="AO227" s="191"/>
      <c r="AP227" s="191">
        <f t="shared" si="606"/>
        <v>-8941</v>
      </c>
      <c r="AQ227" s="191">
        <f t="shared" ref="AQ227:CI227" si="1168">AQ31-SUM(AQ33,AQ34,AQ36)</f>
        <v>373692</v>
      </c>
      <c r="AR227" s="191">
        <f t="shared" si="1168"/>
        <v>326721</v>
      </c>
      <c r="AS227" s="191">
        <f t="shared" si="1168"/>
        <v>317780</v>
      </c>
      <c r="AT227" s="193">
        <f t="shared" si="1168"/>
        <v>324903</v>
      </c>
      <c r="AU227" s="193">
        <f t="shared" si="1168"/>
        <v>303582</v>
      </c>
      <c r="AV227" s="193">
        <f t="shared" si="1168"/>
        <v>286946</v>
      </c>
      <c r="AW227" s="193">
        <f t="shared" si="1168"/>
        <v>288909</v>
      </c>
      <c r="AX227" s="193">
        <f t="shared" si="1168"/>
        <v>303582</v>
      </c>
      <c r="AY227" s="193">
        <f t="shared" si="1168"/>
        <v>286946</v>
      </c>
      <c r="AZ227" s="193">
        <f t="shared" si="1168"/>
        <v>288909</v>
      </c>
      <c r="BA227" s="193">
        <f t="shared" si="1168"/>
        <v>292388</v>
      </c>
      <c r="BB227" s="193">
        <f t="shared" si="1168"/>
        <v>293938</v>
      </c>
      <c r="BC227" s="193">
        <f t="shared" si="1168"/>
        <v>293471</v>
      </c>
      <c r="BD227" s="193">
        <f t="shared" si="1168"/>
        <v>245506</v>
      </c>
      <c r="BE227" s="193">
        <f t="shared" si="1168"/>
        <v>293938</v>
      </c>
      <c r="BF227" s="193">
        <f t="shared" si="1168"/>
        <v>293471</v>
      </c>
      <c r="BG227" s="193">
        <f t="shared" si="1168"/>
        <v>245506</v>
      </c>
      <c r="BH227" s="193">
        <f t="shared" si="1168"/>
        <v>250753</v>
      </c>
      <c r="BI227" s="193">
        <f t="shared" si="1168"/>
        <v>255893</v>
      </c>
      <c r="BJ227" s="193">
        <f t="shared" si="1168"/>
        <v>226119</v>
      </c>
      <c r="BK227" s="193">
        <f t="shared" si="1168"/>
        <v>197196</v>
      </c>
      <c r="BL227" s="193">
        <f t="shared" si="1168"/>
        <v>255893</v>
      </c>
      <c r="BM227" s="193">
        <f t="shared" si="1168"/>
        <v>226119</v>
      </c>
      <c r="BN227" s="193">
        <f t="shared" si="1168"/>
        <v>197196</v>
      </c>
      <c r="BO227" s="193">
        <f t="shared" si="1168"/>
        <v>225644</v>
      </c>
      <c r="BP227" s="193">
        <f t="shared" si="1168"/>
        <v>320563</v>
      </c>
      <c r="BQ227" s="193">
        <f t="shared" si="1168"/>
        <v>222303</v>
      </c>
      <c r="BR227" s="193">
        <f t="shared" si="1168"/>
        <v>221617</v>
      </c>
      <c r="BS227" s="193">
        <f t="shared" si="1168"/>
        <v>320563</v>
      </c>
      <c r="BT227" s="193">
        <f t="shared" si="1168"/>
        <v>222303</v>
      </c>
      <c r="BU227" s="193">
        <f t="shared" si="1168"/>
        <v>221617</v>
      </c>
      <c r="BV227" s="193">
        <f t="shared" si="1168"/>
        <v>253439</v>
      </c>
      <c r="BW227" s="193">
        <f t="shared" si="1168"/>
        <v>268882</v>
      </c>
      <c r="BX227" s="193">
        <f t="shared" si="1168"/>
        <v>275235</v>
      </c>
      <c r="BY227" s="193">
        <f t="shared" si="1168"/>
        <v>251929</v>
      </c>
      <c r="BZ227" s="193">
        <f t="shared" si="1168"/>
        <v>268882</v>
      </c>
      <c r="CA227" s="193">
        <f t="shared" si="1168"/>
        <v>275235</v>
      </c>
      <c r="CB227" s="193">
        <f t="shared" si="1168"/>
        <v>251929</v>
      </c>
      <c r="CC227" s="193">
        <f t="shared" si="1168"/>
        <v>274461</v>
      </c>
      <c r="CD227" s="193">
        <f t="shared" si="1168"/>
        <v>274040</v>
      </c>
      <c r="CE227" s="193">
        <f t="shared" si="1168"/>
        <v>259005</v>
      </c>
      <c r="CF227" s="193">
        <f t="shared" si="1168"/>
        <v>256983</v>
      </c>
      <c r="CG227" s="193">
        <f t="shared" si="1168"/>
        <v>274040</v>
      </c>
      <c r="CH227" s="193">
        <f t="shared" si="1168"/>
        <v>259005</v>
      </c>
      <c r="CI227" s="193">
        <f t="shared" si="1168"/>
        <v>256983</v>
      </c>
      <c r="CJ227" s="193">
        <v>302338</v>
      </c>
      <c r="CK227" s="193">
        <f t="shared" ref="CK227:CO227" si="1169">CK31-SUM(CK33,CK34,CK36)</f>
        <v>289656</v>
      </c>
      <c r="CL227" s="193">
        <f t="shared" si="1169"/>
        <v>0</v>
      </c>
      <c r="CM227" s="193">
        <f t="shared" si="1169"/>
        <v>0</v>
      </c>
      <c r="CN227" s="193">
        <f t="shared" si="1169"/>
        <v>289656</v>
      </c>
      <c r="CO227" s="193">
        <f t="shared" si="1169"/>
        <v>0</v>
      </c>
    </row>
    <row r="228" spans="1:93" s="92" customFormat="1" ht="13" x14ac:dyDescent="0.3">
      <c r="A228" s="142" t="str">
        <f>Language!AA223</f>
        <v>Ativo Operacional</v>
      </c>
      <c r="B228" s="143">
        <f>SUM(B229,B230,B231)</f>
        <v>2728159</v>
      </c>
      <c r="C228" s="143">
        <f t="shared" ref="C228:K228" si="1170">SUM(C229,C230,C231)</f>
        <v>2807099</v>
      </c>
      <c r="D228" s="143">
        <f t="shared" si="1170"/>
        <v>2834101</v>
      </c>
      <c r="E228" s="144">
        <f t="shared" si="1170"/>
        <v>2942505</v>
      </c>
      <c r="F228" s="143">
        <f t="shared" si="1170"/>
        <v>3077448</v>
      </c>
      <c r="G228" s="143">
        <f t="shared" si="1170"/>
        <v>3185776</v>
      </c>
      <c r="H228" s="143">
        <f t="shared" si="1170"/>
        <v>3303415</v>
      </c>
      <c r="I228" s="144">
        <f t="shared" si="1170"/>
        <v>3860125</v>
      </c>
      <c r="J228" s="143">
        <f t="shared" si="1170"/>
        <v>4026866</v>
      </c>
      <c r="K228" s="143">
        <f t="shared" si="1170"/>
        <v>4222569</v>
      </c>
      <c r="L228" s="143">
        <f t="shared" ref="L228:M228" si="1171">SUM(L229,L230,L231)</f>
        <v>4456486</v>
      </c>
      <c r="M228" s="144">
        <f t="shared" si="1171"/>
        <v>5583552</v>
      </c>
      <c r="N228" s="143">
        <f t="shared" ref="N228:O228" si="1172">SUM(N229,N230,N231)</f>
        <v>5775169</v>
      </c>
      <c r="O228" s="143">
        <f t="shared" si="1172"/>
        <v>6042192</v>
      </c>
      <c r="P228" s="143">
        <f t="shared" ref="P228:Q228" si="1173">SUM(P229,P230,P231)</f>
        <v>6034538</v>
      </c>
      <c r="Q228" s="143">
        <f t="shared" si="1173"/>
        <v>5672910</v>
      </c>
      <c r="R228" s="145">
        <f t="shared" ref="R228:S228" si="1174">SUM(R229,R230,R231)</f>
        <v>6541641</v>
      </c>
      <c r="S228" s="143">
        <f t="shared" si="1174"/>
        <v>0</v>
      </c>
      <c r="T228" s="143">
        <f t="shared" ref="T228:W228" si="1175">SUM(T229,T230,T231)</f>
        <v>6963232</v>
      </c>
      <c r="U228" s="143">
        <f t="shared" ref="U228:V228" si="1176">SUM(U229,U230,U231)</f>
        <v>5630565</v>
      </c>
      <c r="V228" s="143">
        <f t="shared" si="1176"/>
        <v>0</v>
      </c>
      <c r="W228" s="143">
        <f t="shared" si="1175"/>
        <v>6963232</v>
      </c>
      <c r="X228" s="143">
        <f t="shared" ref="X228:Y228" si="1177">SUM(X229,X230,X231)</f>
        <v>5630565</v>
      </c>
      <c r="Y228" s="145">
        <f t="shared" si="1177"/>
        <v>5654284</v>
      </c>
      <c r="Z228" s="143">
        <f t="shared" ref="Z228:AB228" si="1178">SUM(Z229,Z230,Z231)</f>
        <v>5531385</v>
      </c>
      <c r="AA228" s="143">
        <f t="shared" si="1178"/>
        <v>5453670</v>
      </c>
      <c r="AB228" s="143">
        <f t="shared" si="1178"/>
        <v>5447853</v>
      </c>
      <c r="AC228" s="143">
        <f t="shared" ref="AC228:AD228" si="1179">SUM(AC229,AC230,AC231)</f>
        <v>5531385</v>
      </c>
      <c r="AD228" s="143">
        <f t="shared" si="1179"/>
        <v>5453670</v>
      </c>
      <c r="AE228" s="143">
        <f t="shared" ref="AE228" si="1180">SUM(AE229,AE230,AE231)</f>
        <v>5447853</v>
      </c>
      <c r="AF228" s="145">
        <v>5352069</v>
      </c>
      <c r="AG228" s="143">
        <v>5200009</v>
      </c>
      <c r="AH228" s="143">
        <v>3773093</v>
      </c>
      <c r="AI228" s="143">
        <v>3152947</v>
      </c>
      <c r="AJ228" s="143">
        <v>5200009</v>
      </c>
      <c r="AK228" s="143">
        <v>3773093</v>
      </c>
      <c r="AL228" s="143">
        <v>3152947</v>
      </c>
      <c r="AM228" s="145">
        <f t="shared" ref="AM228:AQ228" si="1181">SUM(AM229,AM230,AM231)</f>
        <v>3106457</v>
      </c>
      <c r="AN228" s="143">
        <f t="shared" si="1164"/>
        <v>3038715</v>
      </c>
      <c r="AO228" s="143"/>
      <c r="AP228" s="143">
        <f t="shared" si="606"/>
        <v>-208284</v>
      </c>
      <c r="AQ228" s="143">
        <f t="shared" si="1181"/>
        <v>3038715</v>
      </c>
      <c r="AR228" s="143">
        <f t="shared" ref="AR228:AS228" si="1182">SUM(AR229,AR230,AR231)</f>
        <v>3167969</v>
      </c>
      <c r="AS228" s="143">
        <f t="shared" si="1182"/>
        <v>2959685</v>
      </c>
      <c r="AT228" s="145">
        <f t="shared" ref="AT228" si="1183">SUM(AT229,AT230,AT231)</f>
        <v>2972918</v>
      </c>
      <c r="AU228" s="145">
        <f t="shared" ref="AU228:AX228" si="1184">SUM(AU229,AU230,AU231)</f>
        <v>2956253</v>
      </c>
      <c r="AV228" s="145">
        <f t="shared" ref="AV228:AY228" si="1185">SUM(AV229,AV230,AV231)</f>
        <v>2875407</v>
      </c>
      <c r="AW228" s="145">
        <f t="shared" si="1184"/>
        <v>2799671</v>
      </c>
      <c r="AX228" s="145">
        <f t="shared" si="1184"/>
        <v>2956253</v>
      </c>
      <c r="AY228" s="145">
        <f t="shared" si="1185"/>
        <v>2875407</v>
      </c>
      <c r="AZ228" s="145">
        <f t="shared" ref="AZ228:BA228" si="1186">SUM(AZ229,AZ230,AZ231)</f>
        <v>2799671</v>
      </c>
      <c r="BA228" s="145">
        <f t="shared" si="1186"/>
        <v>2743114</v>
      </c>
      <c r="BB228" s="145">
        <f t="shared" ref="BB228:BC228" si="1187">SUM(BB229,BB230,BB231)</f>
        <v>2699461</v>
      </c>
      <c r="BC228" s="145">
        <f t="shared" si="1187"/>
        <v>2642296</v>
      </c>
      <c r="BD228" s="145">
        <f t="shared" ref="BD228:BE228" si="1188">SUM(BD229,BD230,BD231)</f>
        <v>2558457</v>
      </c>
      <c r="BE228" s="145">
        <f t="shared" si="1188"/>
        <v>2699461</v>
      </c>
      <c r="BF228" s="145">
        <f t="shared" ref="BF228:BG228" si="1189">SUM(BF229,BF230,BF231)</f>
        <v>2642296</v>
      </c>
      <c r="BG228" s="145">
        <f t="shared" si="1189"/>
        <v>2558457</v>
      </c>
      <c r="BH228" s="145">
        <f t="shared" ref="BH228:BL228" si="1190">SUM(BH229,BH230,BH231)</f>
        <v>2459466</v>
      </c>
      <c r="BI228" s="145">
        <f t="shared" si="1190"/>
        <v>2394366</v>
      </c>
      <c r="BJ228" s="145">
        <f t="shared" si="1190"/>
        <v>2428621</v>
      </c>
      <c r="BK228" s="145">
        <f t="shared" si="1190"/>
        <v>2365722</v>
      </c>
      <c r="BL228" s="145">
        <f t="shared" si="1190"/>
        <v>2394366</v>
      </c>
      <c r="BM228" s="145">
        <f t="shared" ref="BM228:BN228" si="1191">SUM(BM229,BM230,BM231)</f>
        <v>2428621</v>
      </c>
      <c r="BN228" s="145">
        <f t="shared" si="1191"/>
        <v>2365722</v>
      </c>
      <c r="BO228" s="145">
        <f t="shared" ref="BO228:BP228" si="1192">SUM(BO229,BO230,BO231)</f>
        <v>2320289</v>
      </c>
      <c r="BP228" s="145">
        <f t="shared" si="1192"/>
        <v>950158</v>
      </c>
      <c r="BQ228" s="145">
        <f t="shared" ref="BQ228:BS228" si="1193">SUM(BQ229,BQ230,BQ231)</f>
        <v>1036008</v>
      </c>
      <c r="BR228" s="145">
        <f t="shared" si="1193"/>
        <v>1052281</v>
      </c>
      <c r="BS228" s="145">
        <f t="shared" si="1193"/>
        <v>950158</v>
      </c>
      <c r="BT228" s="145">
        <f t="shared" ref="BT228:BU228" si="1194">SUM(BT229,BT230,BT231)</f>
        <v>1036008</v>
      </c>
      <c r="BU228" s="145">
        <f t="shared" si="1194"/>
        <v>1052281</v>
      </c>
      <c r="BV228" s="145">
        <f t="shared" ref="BV228" si="1195">SUM(BV229,BV230,BV231)</f>
        <v>1037831</v>
      </c>
      <c r="BW228" s="145">
        <f t="shared" ref="BW228:CB228" si="1196">SUM(BW229,BW230,BW231)</f>
        <v>1029374</v>
      </c>
      <c r="BX228" s="145">
        <f t="shared" si="1196"/>
        <v>1101742</v>
      </c>
      <c r="BY228" s="145">
        <f t="shared" si="1196"/>
        <v>1098717</v>
      </c>
      <c r="BZ228" s="145">
        <f t="shared" si="1196"/>
        <v>1029374</v>
      </c>
      <c r="CA228" s="145">
        <f t="shared" si="1196"/>
        <v>1101742</v>
      </c>
      <c r="CB228" s="145">
        <f t="shared" si="1196"/>
        <v>1098717</v>
      </c>
      <c r="CC228" s="145">
        <f t="shared" ref="CC228:CD228" si="1197">SUM(CC229,CC230,CC231)</f>
        <v>1097613</v>
      </c>
      <c r="CD228" s="145">
        <f t="shared" si="1197"/>
        <v>1105839</v>
      </c>
      <c r="CE228" s="145">
        <f t="shared" ref="CE228:CG228" si="1198">SUM(CE229,CE230,CE231)</f>
        <v>1118684</v>
      </c>
      <c r="CF228" s="145">
        <f t="shared" si="1198"/>
        <v>914880</v>
      </c>
      <c r="CG228" s="145">
        <f t="shared" si="1198"/>
        <v>1105839</v>
      </c>
      <c r="CH228" s="145">
        <f t="shared" ref="CH228:CI228" si="1199">SUM(CH229,CH230,CH231)</f>
        <v>1118684</v>
      </c>
      <c r="CI228" s="145">
        <f t="shared" si="1199"/>
        <v>914880</v>
      </c>
      <c r="CJ228" s="145">
        <v>853294</v>
      </c>
      <c r="CK228" s="145">
        <f t="shared" ref="CK228:CO228" si="1200">SUM(CK229,CK230,CK231)</f>
        <v>838376</v>
      </c>
      <c r="CL228" s="145">
        <f t="shared" si="1200"/>
        <v>0</v>
      </c>
      <c r="CM228" s="145">
        <f t="shared" si="1200"/>
        <v>0</v>
      </c>
      <c r="CN228" s="145">
        <f t="shared" si="1200"/>
        <v>838376</v>
      </c>
      <c r="CO228" s="145">
        <f t="shared" si="1200"/>
        <v>0</v>
      </c>
    </row>
    <row r="229" spans="1:93" s="92" customFormat="1" x14ac:dyDescent="0.25">
      <c r="A229" s="121" t="str">
        <f>Language!AA224</f>
        <v>(+)  Imobilizado Líquido</v>
      </c>
      <c r="B229" s="155">
        <f t="shared" ref="B229:AE229" si="1201">B26</f>
        <v>1621635</v>
      </c>
      <c r="C229" s="155">
        <f t="shared" si="1201"/>
        <v>1622009</v>
      </c>
      <c r="D229" s="155">
        <f t="shared" si="1201"/>
        <v>1762894</v>
      </c>
      <c r="E229" s="188">
        <f t="shared" si="1201"/>
        <v>1829167</v>
      </c>
      <c r="F229" s="155">
        <f t="shared" si="1201"/>
        <v>1910222</v>
      </c>
      <c r="G229" s="155">
        <f t="shared" si="1201"/>
        <v>1985826</v>
      </c>
      <c r="H229" s="155">
        <f t="shared" si="1201"/>
        <v>2097912</v>
      </c>
      <c r="I229" s="188">
        <f t="shared" si="1201"/>
        <v>2182518</v>
      </c>
      <c r="J229" s="155">
        <f t="shared" si="1201"/>
        <v>2311565</v>
      </c>
      <c r="K229" s="155">
        <f t="shared" si="1201"/>
        <v>2407481</v>
      </c>
      <c r="L229" s="155">
        <f t="shared" si="1201"/>
        <v>2514546</v>
      </c>
      <c r="M229" s="188">
        <f t="shared" si="1201"/>
        <v>2566936</v>
      </c>
      <c r="N229" s="155">
        <f t="shared" si="1201"/>
        <v>2468290</v>
      </c>
      <c r="O229" s="155">
        <f t="shared" si="1201"/>
        <v>2482974</v>
      </c>
      <c r="P229" s="155">
        <f t="shared" si="1201"/>
        <v>2466335</v>
      </c>
      <c r="Q229" s="155">
        <f t="shared" si="1201"/>
        <v>2448623</v>
      </c>
      <c r="R229" s="189">
        <f t="shared" si="1201"/>
        <v>2452038</v>
      </c>
      <c r="S229" s="155">
        <f t="shared" si="1201"/>
        <v>0</v>
      </c>
      <c r="T229" s="155">
        <f t="shared" si="1201"/>
        <v>2420215</v>
      </c>
      <c r="U229" s="155">
        <f t="shared" si="1201"/>
        <v>831764</v>
      </c>
      <c r="V229" s="155">
        <f t="shared" si="1201"/>
        <v>0</v>
      </c>
      <c r="W229" s="155">
        <f t="shared" si="1201"/>
        <v>2420215</v>
      </c>
      <c r="X229" s="155">
        <f t="shared" si="1201"/>
        <v>831764</v>
      </c>
      <c r="Y229" s="189">
        <f t="shared" si="1201"/>
        <v>820678</v>
      </c>
      <c r="Z229" s="155">
        <f t="shared" si="1201"/>
        <v>812460</v>
      </c>
      <c r="AA229" s="155">
        <f t="shared" si="1201"/>
        <v>804689</v>
      </c>
      <c r="AB229" s="155">
        <f t="shared" si="1201"/>
        <v>796341</v>
      </c>
      <c r="AC229" s="155">
        <f t="shared" si="1201"/>
        <v>812460</v>
      </c>
      <c r="AD229" s="155">
        <f t="shared" si="1201"/>
        <v>804689</v>
      </c>
      <c r="AE229" s="155">
        <f t="shared" si="1201"/>
        <v>796341</v>
      </c>
      <c r="AF229" s="189">
        <v>787461</v>
      </c>
      <c r="AG229" s="155">
        <v>764983</v>
      </c>
      <c r="AH229" s="155">
        <v>749353</v>
      </c>
      <c r="AI229" s="155">
        <v>155160</v>
      </c>
      <c r="AJ229" s="155">
        <v>764983</v>
      </c>
      <c r="AK229" s="155">
        <v>749353</v>
      </c>
      <c r="AL229" s="155">
        <v>155160</v>
      </c>
      <c r="AM229" s="189">
        <f>AM26</f>
        <v>154957</v>
      </c>
      <c r="AN229" s="155">
        <f t="shared" si="1164"/>
        <v>156026</v>
      </c>
      <c r="AO229" s="155"/>
      <c r="AP229" s="155">
        <f t="shared" si="606"/>
        <v>36035</v>
      </c>
      <c r="AQ229" s="155">
        <f t="shared" ref="AQ229:CI229" si="1202">AQ26</f>
        <v>156026</v>
      </c>
      <c r="AR229" s="155">
        <f t="shared" si="1202"/>
        <v>153926</v>
      </c>
      <c r="AS229" s="155">
        <f t="shared" si="1202"/>
        <v>189961</v>
      </c>
      <c r="AT229" s="189">
        <f t="shared" si="1202"/>
        <v>190324</v>
      </c>
      <c r="AU229" s="189">
        <f t="shared" si="1202"/>
        <v>190373</v>
      </c>
      <c r="AV229" s="189">
        <f t="shared" si="1202"/>
        <v>191165</v>
      </c>
      <c r="AW229" s="189">
        <f t="shared" si="1202"/>
        <v>200008</v>
      </c>
      <c r="AX229" s="189">
        <f t="shared" si="1202"/>
        <v>190373</v>
      </c>
      <c r="AY229" s="189">
        <f t="shared" si="1202"/>
        <v>191165</v>
      </c>
      <c r="AZ229" s="189">
        <f t="shared" si="1202"/>
        <v>200008</v>
      </c>
      <c r="BA229" s="189">
        <f t="shared" si="1202"/>
        <v>198739</v>
      </c>
      <c r="BB229" s="189">
        <f t="shared" si="1202"/>
        <v>198031</v>
      </c>
      <c r="BC229" s="189">
        <f t="shared" si="1202"/>
        <v>197254</v>
      </c>
      <c r="BD229" s="189">
        <f t="shared" si="1202"/>
        <v>196042</v>
      </c>
      <c r="BE229" s="189">
        <f t="shared" si="1202"/>
        <v>198031</v>
      </c>
      <c r="BF229" s="189">
        <f t="shared" si="1202"/>
        <v>197254</v>
      </c>
      <c r="BG229" s="189">
        <f t="shared" si="1202"/>
        <v>196042</v>
      </c>
      <c r="BH229" s="189">
        <f t="shared" si="1202"/>
        <v>196671</v>
      </c>
      <c r="BI229" s="189">
        <f t="shared" si="1202"/>
        <v>197373</v>
      </c>
      <c r="BJ229" s="189">
        <f t="shared" si="1202"/>
        <v>194573</v>
      </c>
      <c r="BK229" s="189">
        <f t="shared" si="1202"/>
        <v>195181</v>
      </c>
      <c r="BL229" s="189">
        <f t="shared" si="1202"/>
        <v>197373</v>
      </c>
      <c r="BM229" s="189">
        <f t="shared" si="1202"/>
        <v>194573</v>
      </c>
      <c r="BN229" s="189">
        <f t="shared" si="1202"/>
        <v>195181</v>
      </c>
      <c r="BO229" s="189">
        <f t="shared" si="1202"/>
        <v>194729</v>
      </c>
      <c r="BP229" s="189">
        <f t="shared" si="1202"/>
        <v>191885</v>
      </c>
      <c r="BQ229" s="189">
        <f t="shared" si="1202"/>
        <v>192044</v>
      </c>
      <c r="BR229" s="189">
        <f t="shared" si="1202"/>
        <v>197006</v>
      </c>
      <c r="BS229" s="189">
        <f t="shared" si="1202"/>
        <v>191885</v>
      </c>
      <c r="BT229" s="189">
        <f t="shared" si="1202"/>
        <v>192044</v>
      </c>
      <c r="BU229" s="189">
        <f t="shared" si="1202"/>
        <v>197006</v>
      </c>
      <c r="BV229" s="189">
        <f t="shared" si="1202"/>
        <v>198246</v>
      </c>
      <c r="BW229" s="189">
        <f t="shared" si="1202"/>
        <v>200280</v>
      </c>
      <c r="BX229" s="189">
        <f t="shared" si="1202"/>
        <v>202909</v>
      </c>
      <c r="BY229" s="189">
        <f t="shared" si="1202"/>
        <v>192113</v>
      </c>
      <c r="BZ229" s="189">
        <f t="shared" si="1202"/>
        <v>200280</v>
      </c>
      <c r="CA229" s="189">
        <f t="shared" si="1202"/>
        <v>202909</v>
      </c>
      <c r="CB229" s="189">
        <f t="shared" si="1202"/>
        <v>192113</v>
      </c>
      <c r="CC229" s="189">
        <f t="shared" si="1202"/>
        <v>192936</v>
      </c>
      <c r="CD229" s="189">
        <f t="shared" si="1202"/>
        <v>191364</v>
      </c>
      <c r="CE229" s="189">
        <f t="shared" si="1202"/>
        <v>192735</v>
      </c>
      <c r="CF229" s="189">
        <f t="shared" si="1202"/>
        <v>194722</v>
      </c>
      <c r="CG229" s="189">
        <f t="shared" si="1202"/>
        <v>191364</v>
      </c>
      <c r="CH229" s="189">
        <f t="shared" si="1202"/>
        <v>192735</v>
      </c>
      <c r="CI229" s="189">
        <f t="shared" si="1202"/>
        <v>194722</v>
      </c>
      <c r="CJ229" s="189">
        <v>196670</v>
      </c>
      <c r="CK229" s="189">
        <f t="shared" ref="CK229:CO229" si="1203">CK26</f>
        <v>197960</v>
      </c>
      <c r="CL229" s="189">
        <f t="shared" si="1203"/>
        <v>0</v>
      </c>
      <c r="CM229" s="189">
        <f t="shared" si="1203"/>
        <v>0</v>
      </c>
      <c r="CN229" s="189">
        <f t="shared" si="1203"/>
        <v>197960</v>
      </c>
      <c r="CO229" s="189">
        <f t="shared" si="1203"/>
        <v>0</v>
      </c>
    </row>
    <row r="230" spans="1:93" s="92" customFormat="1" x14ac:dyDescent="0.25">
      <c r="A230" s="121" t="str">
        <f>Language!AA225</f>
        <v>(+)  Intangível Líquido</v>
      </c>
      <c r="B230" s="155">
        <f t="shared" ref="B230:AE230" si="1204">B27</f>
        <v>1148975</v>
      </c>
      <c r="C230" s="155">
        <f t="shared" si="1204"/>
        <v>1229270</v>
      </c>
      <c r="D230" s="155">
        <f t="shared" si="1204"/>
        <v>1145905</v>
      </c>
      <c r="E230" s="188">
        <f t="shared" si="1204"/>
        <v>1171610</v>
      </c>
      <c r="F230" s="155">
        <f t="shared" si="1204"/>
        <v>1188877</v>
      </c>
      <c r="G230" s="155">
        <f t="shared" si="1204"/>
        <v>1199940</v>
      </c>
      <c r="H230" s="155">
        <f t="shared" si="1204"/>
        <v>1199759</v>
      </c>
      <c r="I230" s="188">
        <f t="shared" si="1204"/>
        <v>1761510</v>
      </c>
      <c r="J230" s="155">
        <f t="shared" si="1204"/>
        <v>1808975</v>
      </c>
      <c r="K230" s="155">
        <f t="shared" si="1204"/>
        <v>1891576</v>
      </c>
      <c r="L230" s="155">
        <f t="shared" si="1204"/>
        <v>2016530</v>
      </c>
      <c r="M230" s="188">
        <f t="shared" si="1204"/>
        <v>3114925</v>
      </c>
      <c r="N230" s="155">
        <f t="shared" si="1204"/>
        <v>3301878</v>
      </c>
      <c r="O230" s="155">
        <f t="shared" si="1204"/>
        <v>3549993</v>
      </c>
      <c r="P230" s="155">
        <f t="shared" si="1204"/>
        <v>3718395</v>
      </c>
      <c r="Q230" s="155">
        <f t="shared" si="1204"/>
        <v>3270248</v>
      </c>
      <c r="R230" s="189">
        <f t="shared" si="1204"/>
        <v>3934322</v>
      </c>
      <c r="S230" s="155">
        <f t="shared" si="1204"/>
        <v>0</v>
      </c>
      <c r="T230" s="155">
        <f t="shared" si="1204"/>
        <v>4269964</v>
      </c>
      <c r="U230" s="155">
        <f t="shared" si="1204"/>
        <v>4416844</v>
      </c>
      <c r="V230" s="155">
        <f t="shared" si="1204"/>
        <v>0</v>
      </c>
      <c r="W230" s="155">
        <f t="shared" si="1204"/>
        <v>4269964</v>
      </c>
      <c r="X230" s="155">
        <f t="shared" si="1204"/>
        <v>4416844</v>
      </c>
      <c r="Y230" s="189">
        <f t="shared" si="1204"/>
        <v>4813095</v>
      </c>
      <c r="Z230" s="155">
        <f t="shared" si="1204"/>
        <v>4975833</v>
      </c>
      <c r="AA230" s="155">
        <f t="shared" si="1204"/>
        <v>4975453</v>
      </c>
      <c r="AB230" s="155">
        <f t="shared" si="1204"/>
        <v>4948146</v>
      </c>
      <c r="AC230" s="155">
        <f t="shared" si="1204"/>
        <v>4975833</v>
      </c>
      <c r="AD230" s="155">
        <f t="shared" si="1204"/>
        <v>4975453</v>
      </c>
      <c r="AE230" s="155">
        <f t="shared" si="1204"/>
        <v>4948146</v>
      </c>
      <c r="AF230" s="189">
        <v>4895862</v>
      </c>
      <c r="AG230" s="155">
        <v>4867784</v>
      </c>
      <c r="AH230" s="155">
        <v>3253138</v>
      </c>
      <c r="AI230" s="155">
        <v>3192705</v>
      </c>
      <c r="AJ230" s="155">
        <v>4867784</v>
      </c>
      <c r="AK230" s="155">
        <v>3253138</v>
      </c>
      <c r="AL230" s="155">
        <v>3192705</v>
      </c>
      <c r="AM230" s="189">
        <f>AM27</f>
        <v>3166516</v>
      </c>
      <c r="AN230" s="155">
        <f t="shared" si="1164"/>
        <v>3151459</v>
      </c>
      <c r="AO230" s="155"/>
      <c r="AP230" s="155">
        <f t="shared" si="606"/>
        <v>-255317</v>
      </c>
      <c r="AQ230" s="155">
        <f t="shared" ref="AQ230:CI230" si="1205">AQ27</f>
        <v>3151459</v>
      </c>
      <c r="AR230" s="155">
        <f t="shared" si="1205"/>
        <v>3235533</v>
      </c>
      <c r="AS230" s="155">
        <f t="shared" si="1205"/>
        <v>2980216</v>
      </c>
      <c r="AT230" s="189">
        <f t="shared" si="1205"/>
        <v>3006018</v>
      </c>
      <c r="AU230" s="189">
        <f t="shared" si="1205"/>
        <v>2953712</v>
      </c>
      <c r="AV230" s="189">
        <f t="shared" si="1205"/>
        <v>2841286</v>
      </c>
      <c r="AW230" s="189">
        <f t="shared" si="1205"/>
        <v>2779243</v>
      </c>
      <c r="AX230" s="189">
        <f t="shared" si="1205"/>
        <v>2953712</v>
      </c>
      <c r="AY230" s="189">
        <f t="shared" si="1205"/>
        <v>2841286</v>
      </c>
      <c r="AZ230" s="189">
        <f t="shared" si="1205"/>
        <v>2779243</v>
      </c>
      <c r="BA230" s="189">
        <f t="shared" si="1205"/>
        <v>2723150</v>
      </c>
      <c r="BB230" s="189">
        <f t="shared" si="1205"/>
        <v>2676788</v>
      </c>
      <c r="BC230" s="189">
        <f t="shared" si="1205"/>
        <v>2609318</v>
      </c>
      <c r="BD230" s="189">
        <f t="shared" si="1205"/>
        <v>2469488</v>
      </c>
      <c r="BE230" s="189">
        <f t="shared" si="1205"/>
        <v>2676788</v>
      </c>
      <c r="BF230" s="189">
        <f t="shared" si="1205"/>
        <v>2609318</v>
      </c>
      <c r="BG230" s="189">
        <f t="shared" si="1205"/>
        <v>2469488</v>
      </c>
      <c r="BH230" s="189">
        <f t="shared" si="1205"/>
        <v>2394354</v>
      </c>
      <c r="BI230" s="189">
        <f t="shared" si="1205"/>
        <v>2318633</v>
      </c>
      <c r="BJ230" s="189">
        <f t="shared" si="1205"/>
        <v>2314236</v>
      </c>
      <c r="BK230" s="189">
        <f t="shared" si="1205"/>
        <v>2270459</v>
      </c>
      <c r="BL230" s="189">
        <f t="shared" si="1205"/>
        <v>2318633</v>
      </c>
      <c r="BM230" s="189">
        <f t="shared" si="1205"/>
        <v>2314236</v>
      </c>
      <c r="BN230" s="189">
        <f t="shared" si="1205"/>
        <v>2270459</v>
      </c>
      <c r="BO230" s="189">
        <f t="shared" si="1205"/>
        <v>2253193</v>
      </c>
      <c r="BP230" s="189">
        <f t="shared" si="1205"/>
        <v>948252</v>
      </c>
      <c r="BQ230" s="189">
        <f t="shared" si="1205"/>
        <v>934369</v>
      </c>
      <c r="BR230" s="189">
        <f t="shared" si="1205"/>
        <v>967252</v>
      </c>
      <c r="BS230" s="189">
        <f t="shared" si="1205"/>
        <v>948252</v>
      </c>
      <c r="BT230" s="189">
        <f t="shared" si="1205"/>
        <v>934369</v>
      </c>
      <c r="BU230" s="189">
        <f t="shared" si="1205"/>
        <v>967252</v>
      </c>
      <c r="BV230" s="189">
        <f t="shared" si="1205"/>
        <v>963978</v>
      </c>
      <c r="BW230" s="189">
        <f t="shared" si="1205"/>
        <v>964880</v>
      </c>
      <c r="BX230" s="189">
        <f t="shared" si="1205"/>
        <v>1041272</v>
      </c>
      <c r="BY230" s="189">
        <f t="shared" si="1205"/>
        <v>1036993</v>
      </c>
      <c r="BZ230" s="189">
        <f t="shared" si="1205"/>
        <v>964880</v>
      </c>
      <c r="CA230" s="189">
        <f t="shared" si="1205"/>
        <v>1041272</v>
      </c>
      <c r="CB230" s="189">
        <f t="shared" si="1205"/>
        <v>1036993</v>
      </c>
      <c r="CC230" s="189">
        <f t="shared" si="1205"/>
        <v>1019693</v>
      </c>
      <c r="CD230" s="189">
        <f t="shared" si="1205"/>
        <v>1035194</v>
      </c>
      <c r="CE230" s="189">
        <f t="shared" si="1205"/>
        <v>1028697</v>
      </c>
      <c r="CF230" s="189">
        <f t="shared" si="1205"/>
        <v>822328</v>
      </c>
      <c r="CG230" s="189">
        <f t="shared" si="1205"/>
        <v>1035194</v>
      </c>
      <c r="CH230" s="189">
        <f t="shared" si="1205"/>
        <v>1028697</v>
      </c>
      <c r="CI230" s="189">
        <f t="shared" si="1205"/>
        <v>822328</v>
      </c>
      <c r="CJ230" s="189">
        <v>797933</v>
      </c>
      <c r="CK230" s="189">
        <f t="shared" ref="CK230:CO230" si="1206">CK27</f>
        <v>752505</v>
      </c>
      <c r="CL230" s="189">
        <f t="shared" si="1206"/>
        <v>0</v>
      </c>
      <c r="CM230" s="189">
        <f t="shared" si="1206"/>
        <v>0</v>
      </c>
      <c r="CN230" s="189">
        <f t="shared" si="1206"/>
        <v>752505</v>
      </c>
      <c r="CO230" s="189">
        <f t="shared" si="1206"/>
        <v>0</v>
      </c>
    </row>
    <row r="231" spans="1:93" s="92" customFormat="1" x14ac:dyDescent="0.25">
      <c r="A231" s="121" t="str">
        <f>Language!AA226</f>
        <v>(+)  NCG</v>
      </c>
      <c r="B231" s="155">
        <f>B225</f>
        <v>-42451</v>
      </c>
      <c r="C231" s="155">
        <f t="shared" ref="C231:K231" si="1207">C225</f>
        <v>-44180</v>
      </c>
      <c r="D231" s="155">
        <f t="shared" si="1207"/>
        <v>-74698</v>
      </c>
      <c r="E231" s="188">
        <f t="shared" si="1207"/>
        <v>-58272</v>
      </c>
      <c r="F231" s="155">
        <f t="shared" si="1207"/>
        <v>-21651</v>
      </c>
      <c r="G231" s="155">
        <f t="shared" si="1207"/>
        <v>10</v>
      </c>
      <c r="H231" s="155">
        <f t="shared" si="1207"/>
        <v>5744</v>
      </c>
      <c r="I231" s="188">
        <f t="shared" si="1207"/>
        <v>-83903</v>
      </c>
      <c r="J231" s="155">
        <f t="shared" si="1207"/>
        <v>-93674</v>
      </c>
      <c r="K231" s="155">
        <f t="shared" si="1207"/>
        <v>-76488</v>
      </c>
      <c r="L231" s="155">
        <f t="shared" ref="L231:M231" si="1208">L225</f>
        <v>-74590</v>
      </c>
      <c r="M231" s="188">
        <f t="shared" si="1208"/>
        <v>-98309</v>
      </c>
      <c r="N231" s="155">
        <f t="shared" ref="N231:O231" si="1209">N225</f>
        <v>5001</v>
      </c>
      <c r="O231" s="155">
        <f t="shared" si="1209"/>
        <v>9225</v>
      </c>
      <c r="P231" s="155">
        <f t="shared" ref="P231" si="1210">P225</f>
        <v>-150192</v>
      </c>
      <c r="Q231" s="155">
        <f t="shared" ref="Q231:R231" si="1211">Q225</f>
        <v>-45961</v>
      </c>
      <c r="R231" s="189">
        <f t="shared" si="1211"/>
        <v>155281</v>
      </c>
      <c r="S231" s="155">
        <f t="shared" ref="S231:T231" si="1212">S225</f>
        <v>0</v>
      </c>
      <c r="T231" s="155">
        <f t="shared" si="1212"/>
        <v>273053</v>
      </c>
      <c r="U231" s="155">
        <f t="shared" ref="U231:V231" si="1213">U225</f>
        <v>381957</v>
      </c>
      <c r="V231" s="155">
        <f t="shared" si="1213"/>
        <v>0</v>
      </c>
      <c r="W231" s="155">
        <f t="shared" ref="W231:X231" si="1214">W225</f>
        <v>273053</v>
      </c>
      <c r="X231" s="155">
        <f t="shared" si="1214"/>
        <v>381957</v>
      </c>
      <c r="Y231" s="189">
        <f t="shared" ref="Y231:AB231" si="1215">Y225</f>
        <v>20511</v>
      </c>
      <c r="Z231" s="155">
        <f t="shared" si="1215"/>
        <v>-256908</v>
      </c>
      <c r="AA231" s="155">
        <f t="shared" si="1215"/>
        <v>-326472</v>
      </c>
      <c r="AB231" s="155">
        <f t="shared" si="1215"/>
        <v>-296634</v>
      </c>
      <c r="AC231" s="155">
        <f t="shared" ref="AC231:AD231" si="1216">AC225</f>
        <v>-256908</v>
      </c>
      <c r="AD231" s="155">
        <f t="shared" si="1216"/>
        <v>-326472</v>
      </c>
      <c r="AE231" s="155">
        <f t="shared" ref="AE231" si="1217">AE225</f>
        <v>-296634</v>
      </c>
      <c r="AF231" s="189">
        <v>-331254</v>
      </c>
      <c r="AG231" s="155">
        <v>-432758</v>
      </c>
      <c r="AH231" s="155">
        <v>-229398</v>
      </c>
      <c r="AI231" s="155">
        <v>-194918</v>
      </c>
      <c r="AJ231" s="155">
        <v>-432758</v>
      </c>
      <c r="AK231" s="155">
        <v>-229398</v>
      </c>
      <c r="AL231" s="155">
        <v>-194918</v>
      </c>
      <c r="AM231" s="189">
        <f t="shared" ref="AM231:AQ231" si="1218">AM225</f>
        <v>-215016</v>
      </c>
      <c r="AN231" s="155">
        <f>AQ231</f>
        <v>-268770</v>
      </c>
      <c r="AO231" s="155"/>
      <c r="AP231" s="155">
        <f t="shared" si="606"/>
        <v>10998</v>
      </c>
      <c r="AQ231" s="155">
        <f t="shared" si="1218"/>
        <v>-268770</v>
      </c>
      <c r="AR231" s="155">
        <f t="shared" ref="AR231:AS231" si="1219">AR225</f>
        <v>-221490</v>
      </c>
      <c r="AS231" s="155">
        <f t="shared" si="1219"/>
        <v>-210492</v>
      </c>
      <c r="AT231" s="189">
        <f t="shared" ref="AT231:AU231" si="1220">AT225</f>
        <v>-223424</v>
      </c>
      <c r="AU231" s="189">
        <f t="shared" si="1220"/>
        <v>-187832</v>
      </c>
      <c r="AV231" s="189">
        <f t="shared" ref="AV231:AY231" si="1221">AV225</f>
        <v>-157044</v>
      </c>
      <c r="AW231" s="189">
        <f t="shared" ref="AW231:AX231" si="1222">AW225</f>
        <v>-179580</v>
      </c>
      <c r="AX231" s="189">
        <f t="shared" si="1222"/>
        <v>-187832</v>
      </c>
      <c r="AY231" s="189">
        <f t="shared" si="1221"/>
        <v>-157044</v>
      </c>
      <c r="AZ231" s="189">
        <f t="shared" ref="AZ231:BA231" si="1223">AZ225</f>
        <v>-179580</v>
      </c>
      <c r="BA231" s="189">
        <f t="shared" si="1223"/>
        <v>-178775</v>
      </c>
      <c r="BB231" s="189">
        <f t="shared" ref="BB231:BC231" si="1224">BB225</f>
        <v>-175358</v>
      </c>
      <c r="BC231" s="189">
        <f t="shared" si="1224"/>
        <v>-164276</v>
      </c>
      <c r="BD231" s="189">
        <f t="shared" ref="BD231:BE231" si="1225">BD225</f>
        <v>-107073</v>
      </c>
      <c r="BE231" s="189">
        <f t="shared" si="1225"/>
        <v>-175358</v>
      </c>
      <c r="BF231" s="189">
        <f t="shared" ref="BF231:BG231" si="1226">BF225</f>
        <v>-164276</v>
      </c>
      <c r="BG231" s="189">
        <f t="shared" si="1226"/>
        <v>-107073</v>
      </c>
      <c r="BH231" s="189">
        <f t="shared" ref="BH231:BL231" si="1227">BH225</f>
        <v>-131559</v>
      </c>
      <c r="BI231" s="189">
        <f t="shared" si="1227"/>
        <v>-121640</v>
      </c>
      <c r="BJ231" s="189">
        <f t="shared" si="1227"/>
        <v>-80188</v>
      </c>
      <c r="BK231" s="189">
        <f t="shared" si="1227"/>
        <v>-99918</v>
      </c>
      <c r="BL231" s="189">
        <f t="shared" si="1227"/>
        <v>-121640</v>
      </c>
      <c r="BM231" s="189">
        <f t="shared" ref="BM231:BN231" si="1228">BM225</f>
        <v>-80188</v>
      </c>
      <c r="BN231" s="189">
        <f t="shared" si="1228"/>
        <v>-99918</v>
      </c>
      <c r="BO231" s="189">
        <f t="shared" ref="BO231:BP231" si="1229">BO225</f>
        <v>-127633</v>
      </c>
      <c r="BP231" s="189">
        <f t="shared" si="1229"/>
        <v>-189979</v>
      </c>
      <c r="BQ231" s="189">
        <f t="shared" ref="BQ231:BS231" si="1230">BQ225</f>
        <v>-90405</v>
      </c>
      <c r="BR231" s="189">
        <f t="shared" si="1230"/>
        <v>-111977</v>
      </c>
      <c r="BS231" s="189">
        <f t="shared" si="1230"/>
        <v>-189979</v>
      </c>
      <c r="BT231" s="189">
        <f t="shared" ref="BT231:BU231" si="1231">BT225</f>
        <v>-90405</v>
      </c>
      <c r="BU231" s="189">
        <f t="shared" si="1231"/>
        <v>-111977</v>
      </c>
      <c r="BV231" s="189">
        <f t="shared" ref="BV231" si="1232">BV225</f>
        <v>-124393</v>
      </c>
      <c r="BW231" s="189">
        <f t="shared" ref="BW231:CB231" si="1233">BW225</f>
        <v>-135786</v>
      </c>
      <c r="BX231" s="189">
        <f t="shared" si="1233"/>
        <v>-142439</v>
      </c>
      <c r="BY231" s="189">
        <f t="shared" si="1233"/>
        <v>-130389</v>
      </c>
      <c r="BZ231" s="189">
        <f t="shared" si="1233"/>
        <v>-135786</v>
      </c>
      <c r="CA231" s="189">
        <f t="shared" si="1233"/>
        <v>-142439</v>
      </c>
      <c r="CB231" s="189">
        <f t="shared" si="1233"/>
        <v>-130389</v>
      </c>
      <c r="CC231" s="189">
        <f t="shared" ref="CC231:CD231" si="1234">CC225</f>
        <v>-115016</v>
      </c>
      <c r="CD231" s="189">
        <f t="shared" si="1234"/>
        <v>-120719</v>
      </c>
      <c r="CE231" s="189">
        <f t="shared" ref="CE231:CG231" si="1235">CE225</f>
        <v>-102748</v>
      </c>
      <c r="CF231" s="189">
        <f t="shared" si="1235"/>
        <v>-102170</v>
      </c>
      <c r="CG231" s="189">
        <f t="shared" si="1235"/>
        <v>-120719</v>
      </c>
      <c r="CH231" s="189">
        <f t="shared" ref="CH231:CI231" si="1236">CH225</f>
        <v>-102748</v>
      </c>
      <c r="CI231" s="189">
        <f t="shared" si="1236"/>
        <v>-102170</v>
      </c>
      <c r="CJ231" s="189">
        <v>-141309</v>
      </c>
      <c r="CK231" s="189">
        <f t="shared" ref="CK231:CO231" si="1237">CK225</f>
        <v>-112089</v>
      </c>
      <c r="CL231" s="189">
        <f t="shared" si="1237"/>
        <v>0</v>
      </c>
      <c r="CM231" s="189">
        <f t="shared" si="1237"/>
        <v>0</v>
      </c>
      <c r="CN231" s="189">
        <f t="shared" si="1237"/>
        <v>-112089</v>
      </c>
      <c r="CO231" s="189">
        <f t="shared" si="1237"/>
        <v>0</v>
      </c>
    </row>
    <row r="232" spans="1:93" s="92" customFormat="1" ht="13" x14ac:dyDescent="0.3">
      <c r="A232" s="142" t="str">
        <f>Language!AA227</f>
        <v>NOPAT</v>
      </c>
      <c r="B232" s="143">
        <f>(B234)*(1-B233)</f>
        <v>36557.399999999994</v>
      </c>
      <c r="C232" s="143">
        <f t="shared" ref="C232:K232" si="1238">(C234)*(1-C233)</f>
        <v>24280.079999999998</v>
      </c>
      <c r="D232" s="143">
        <f t="shared" si="1238"/>
        <v>34951.619999999995</v>
      </c>
      <c r="E232" s="144">
        <f t="shared" si="1238"/>
        <v>79468.62</v>
      </c>
      <c r="F232" s="143">
        <f t="shared" si="1238"/>
        <v>55882.859999999993</v>
      </c>
      <c r="G232" s="143">
        <f t="shared" si="1238"/>
        <v>39958.379999999997</v>
      </c>
      <c r="H232" s="143">
        <f t="shared" si="1238"/>
        <v>47838.119999999995</v>
      </c>
      <c r="I232" s="144">
        <f t="shared" si="1238"/>
        <v>66043.56</v>
      </c>
      <c r="J232" s="143">
        <f t="shared" si="1238"/>
        <v>71571.719999999987</v>
      </c>
      <c r="K232" s="143">
        <f t="shared" si="1238"/>
        <v>46699.617763804497</v>
      </c>
      <c r="L232" s="143">
        <f t="shared" ref="L232:M232" si="1239">(L234)*(1-L233)</f>
        <v>55545.487800000017</v>
      </c>
      <c r="M232" s="144">
        <f t="shared" si="1239"/>
        <v>74120.600663999983</v>
      </c>
      <c r="N232" s="143">
        <f t="shared" ref="N232:P232" si="1240">(N234)*(1-N233)</f>
        <v>206092.91999999998</v>
      </c>
      <c r="O232" s="143" t="e">
        <f t="shared" si="1240"/>
        <v>#REF!</v>
      </c>
      <c r="P232" s="143" t="e">
        <f t="shared" si="1240"/>
        <v>#REF!</v>
      </c>
      <c r="Q232" s="143" t="e">
        <f t="shared" ref="Q232:R232" si="1241">(Q234)*(1-Q233)</f>
        <v>#REF!</v>
      </c>
      <c r="R232" s="145" t="e">
        <f t="shared" si="1241"/>
        <v>#REF!</v>
      </c>
      <c r="S232" s="143" t="e">
        <f t="shared" ref="S232:T232" si="1242">(S234)*(1-S233)</f>
        <v>#REF!</v>
      </c>
      <c r="T232" s="143" t="e">
        <f t="shared" si="1242"/>
        <v>#REF!</v>
      </c>
      <c r="U232" s="143" t="e">
        <f t="shared" ref="U232:V232" si="1243">(U234)*(1-U233)</f>
        <v>#REF!</v>
      </c>
      <c r="V232" s="143" t="e">
        <f t="shared" si="1243"/>
        <v>#REF!</v>
      </c>
      <c r="W232" s="143" t="e">
        <f t="shared" ref="W232:X232" si="1244">(W234)*(1-W233)</f>
        <v>#REF!</v>
      </c>
      <c r="X232" s="143" t="e">
        <f t="shared" si="1244"/>
        <v>#REF!</v>
      </c>
      <c r="Y232" s="145" t="e">
        <f t="shared" ref="Y232:AB232" si="1245">(Y234)*(1-Y233)</f>
        <v>#REF!</v>
      </c>
      <c r="Z232" s="143" t="e">
        <f t="shared" si="1245"/>
        <v>#REF!</v>
      </c>
      <c r="AA232" s="143" t="e">
        <f t="shared" si="1245"/>
        <v>#REF!</v>
      </c>
      <c r="AB232" s="143" t="e">
        <f t="shared" si="1245"/>
        <v>#REF!</v>
      </c>
      <c r="AC232" s="143" t="e">
        <f>(AC234)*(1-AC233)</f>
        <v>#REF!</v>
      </c>
      <c r="AD232" s="143" t="e">
        <f>(AD234)*(1-AD233)</f>
        <v>#REF!</v>
      </c>
      <c r="AE232" s="143" t="e">
        <f>(AE234)*(1-AE233)</f>
        <v>#REF!</v>
      </c>
      <c r="AF232" s="145">
        <v>85712.87999999999</v>
      </c>
      <c r="AG232" s="143">
        <v>50740.799999999996</v>
      </c>
      <c r="AH232" s="143">
        <v>111223.85999999999</v>
      </c>
      <c r="AI232" s="143">
        <v>732556.44</v>
      </c>
      <c r="AJ232" s="143">
        <v>136453.68</v>
      </c>
      <c r="AK232" s="143">
        <v>241300.61999999997</v>
      </c>
      <c r="AL232" s="143">
        <v>999582.53999999992</v>
      </c>
      <c r="AM232" s="145">
        <f>(AM234)*(1-AM233)</f>
        <v>63796.919999999991</v>
      </c>
      <c r="AN232" s="143">
        <f>AQ232-AM232</f>
        <v>27956.939999999995</v>
      </c>
      <c r="AO232" s="143"/>
      <c r="AP232" s="143">
        <f t="shared" si="606"/>
        <v>41936.399999999994</v>
      </c>
      <c r="AQ232" s="143">
        <f>(AQ234)*(1-AQ233)</f>
        <v>91753.859999999986</v>
      </c>
      <c r="AR232" s="143">
        <f>(AR234)*(1-AR233)</f>
        <v>130810.01999999999</v>
      </c>
      <c r="AS232" s="143">
        <f>(AS234)*(1-AS233)</f>
        <v>172746.41999999998</v>
      </c>
      <c r="AT232" s="145">
        <f>(AT234)*(1-AT233)</f>
        <v>13630.979999999998</v>
      </c>
      <c r="AU232" s="145">
        <f t="shared" ref="AU232" si="1246">(AU234)*(1-AU233)</f>
        <v>7902.1799999999994</v>
      </c>
      <c r="AV232" s="145">
        <f>(AV234)*(1-AV233)</f>
        <v>30643.139999999996</v>
      </c>
      <c r="AW232" s="145">
        <f>(AW234)*(1-AW233)</f>
        <v>15044.039999999999</v>
      </c>
      <c r="AX232" s="145">
        <f t="shared" ref="AX232:BE232" si="1247">(AX234)*(1-AX233)</f>
        <v>21533.159999999996</v>
      </c>
      <c r="AY232" s="145">
        <f t="shared" si="1247"/>
        <v>52176.299999999996</v>
      </c>
      <c r="AZ232" s="145">
        <f t="shared" si="1247"/>
        <v>67220.34</v>
      </c>
      <c r="BA232" s="145">
        <f t="shared" si="1247"/>
        <v>24412.079999999998</v>
      </c>
      <c r="BB232" s="145">
        <f t="shared" si="1247"/>
        <v>13168.979999999998</v>
      </c>
      <c r="BC232" s="145">
        <f t="shared" si="1247"/>
        <v>3193.0799999999995</v>
      </c>
      <c r="BD232" s="145">
        <f t="shared" si="1247"/>
        <v>3492.0599999999995</v>
      </c>
      <c r="BE232" s="145">
        <f t="shared" si="1247"/>
        <v>37581.06</v>
      </c>
      <c r="BF232" s="145">
        <f t="shared" ref="BF232:BG232" si="1248">(BF234)*(1-BF233)</f>
        <v>40774.139999999992</v>
      </c>
      <c r="BG232" s="145">
        <f t="shared" si="1248"/>
        <v>44266.2</v>
      </c>
      <c r="BH232" s="145">
        <f t="shared" ref="BH232:BL232" si="1249">(BH234)*(1-BH233)</f>
        <v>-9855.7799999999988</v>
      </c>
      <c r="BI232" s="145">
        <f t="shared" si="1249"/>
        <v>-14656.619999999999</v>
      </c>
      <c r="BJ232" s="145">
        <f t="shared" si="1249"/>
        <v>66863.939999999988</v>
      </c>
      <c r="BK232" s="145">
        <f t="shared" si="1249"/>
        <v>1539.12</v>
      </c>
      <c r="BL232" s="145">
        <f t="shared" si="1249"/>
        <v>-24512.399999999998</v>
      </c>
      <c r="BM232" s="145">
        <f t="shared" ref="BM232:BN232" si="1250">(BM234)*(1-BM233)</f>
        <v>42351.539999999994</v>
      </c>
      <c r="BN232" s="145">
        <f t="shared" si="1250"/>
        <v>43890.659999999996</v>
      </c>
      <c r="BO232" s="145">
        <f t="shared" ref="BO232:BP232" si="1251">(BO234)*(1-BO233)</f>
        <v>8368.7999999999993</v>
      </c>
      <c r="BP232" s="145">
        <f t="shared" si="1251"/>
        <v>70578</v>
      </c>
      <c r="BQ232" s="145">
        <f t="shared" ref="BQ232:BS232" si="1252">(BQ234)*(1-BQ233)</f>
        <v>-45205</v>
      </c>
      <c r="BR232" s="145">
        <f t="shared" si="1252"/>
        <v>51229</v>
      </c>
      <c r="BS232" s="145">
        <f t="shared" si="1252"/>
        <v>83258</v>
      </c>
      <c r="BT232" s="145">
        <f t="shared" ref="BT232:BU232" si="1253">(BT234)*(1-BT233)</f>
        <v>147147</v>
      </c>
      <c r="BU232" s="145">
        <f t="shared" si="1253"/>
        <v>198376</v>
      </c>
      <c r="BV232" s="145">
        <f t="shared" ref="BV232" si="1254">(BV234)*(1-BV233)</f>
        <v>48469</v>
      </c>
      <c r="BW232" s="145">
        <f t="shared" ref="BW232:CB232" si="1255">(BW234)*(1-BW233)</f>
        <v>79432</v>
      </c>
      <c r="BX232" s="145">
        <f t="shared" si="1255"/>
        <v>160610</v>
      </c>
      <c r="BY232" s="145">
        <f t="shared" si="1255"/>
        <v>109727</v>
      </c>
      <c r="BZ232" s="145">
        <f t="shared" si="1255"/>
        <v>127901</v>
      </c>
      <c r="CA232" s="145">
        <f t="shared" si="1255"/>
        <v>288511</v>
      </c>
      <c r="CB232" s="145">
        <f t="shared" si="1255"/>
        <v>398238</v>
      </c>
      <c r="CC232" s="145">
        <f t="shared" ref="CC232:CD232" si="1256">(CC234)*(1-CC233)</f>
        <v>36070</v>
      </c>
      <c r="CD232" s="145">
        <f t="shared" si="1256"/>
        <v>54092</v>
      </c>
      <c r="CE232" s="145">
        <f t="shared" ref="CE232:CG232" si="1257">(CE234)*(1-CE233)</f>
        <v>-401576</v>
      </c>
      <c r="CF232" s="145">
        <f t="shared" si="1257"/>
        <v>-574506</v>
      </c>
      <c r="CG232" s="145">
        <f t="shared" si="1257"/>
        <v>90163</v>
      </c>
      <c r="CH232" s="145">
        <f t="shared" ref="CH232:CI232" si="1258">(CH234)*(1-CH233)</f>
        <v>-311413</v>
      </c>
      <c r="CI232" s="145">
        <f t="shared" si="1258"/>
        <v>-881816</v>
      </c>
      <c r="CJ232" s="145">
        <v>-1423446</v>
      </c>
      <c r="CK232" s="145">
        <f t="shared" ref="CK232:CO232" si="1259">(CK234)*(1-CK233)</f>
        <v>1484221</v>
      </c>
      <c r="CL232" s="145">
        <f t="shared" si="1259"/>
        <v>0</v>
      </c>
      <c r="CM232" s="145">
        <f t="shared" si="1259"/>
        <v>0</v>
      </c>
      <c r="CN232" s="145">
        <f t="shared" si="1259"/>
        <v>60775</v>
      </c>
      <c r="CO232" s="145">
        <f t="shared" si="1259"/>
        <v>0</v>
      </c>
    </row>
    <row r="233" spans="1:93" s="92" customFormat="1" x14ac:dyDescent="0.25">
      <c r="A233" s="121" t="str">
        <f>Language!AA228</f>
        <v>(*1-) Impostos</v>
      </c>
      <c r="B233" s="202">
        <v>0.34</v>
      </c>
      <c r="C233" s="202">
        <v>0.34</v>
      </c>
      <c r="D233" s="202">
        <v>0.34</v>
      </c>
      <c r="E233" s="203">
        <v>0.34</v>
      </c>
      <c r="F233" s="202">
        <v>0.34</v>
      </c>
      <c r="G233" s="202">
        <v>0.34</v>
      </c>
      <c r="H233" s="202">
        <v>0.34</v>
      </c>
      <c r="I233" s="203">
        <v>0.34</v>
      </c>
      <c r="J233" s="202">
        <v>0.34</v>
      </c>
      <c r="K233" s="202">
        <v>0.34</v>
      </c>
      <c r="L233" s="202">
        <v>0.34</v>
      </c>
      <c r="M233" s="203">
        <v>0.34</v>
      </c>
      <c r="N233" s="202">
        <v>0.34</v>
      </c>
      <c r="O233" s="202">
        <v>0.34</v>
      </c>
      <c r="P233" s="202">
        <f t="shared" ref="P233:V233" si="1260">O233</f>
        <v>0.34</v>
      </c>
      <c r="Q233" s="202">
        <f t="shared" si="1260"/>
        <v>0.34</v>
      </c>
      <c r="R233" s="204">
        <f t="shared" si="1260"/>
        <v>0.34</v>
      </c>
      <c r="S233" s="202">
        <f t="shared" si="1260"/>
        <v>0.34</v>
      </c>
      <c r="T233" s="202">
        <f t="shared" si="1260"/>
        <v>0.34</v>
      </c>
      <c r="U233" s="202">
        <f t="shared" si="1260"/>
        <v>0.34</v>
      </c>
      <c r="V233" s="202">
        <f t="shared" si="1260"/>
        <v>0.34</v>
      </c>
      <c r="W233" s="202">
        <f>T233</f>
        <v>0.34</v>
      </c>
      <c r="X233" s="202">
        <f>U233</f>
        <v>0.34</v>
      </c>
      <c r="Y233" s="204">
        <f>V233</f>
        <v>0.34</v>
      </c>
      <c r="Z233" s="202">
        <f>W233</f>
        <v>0.34</v>
      </c>
      <c r="AA233" s="202">
        <f t="shared" ref="AA233:AB233" si="1261">Z233</f>
        <v>0.34</v>
      </c>
      <c r="AB233" s="202">
        <f t="shared" si="1261"/>
        <v>0.34</v>
      </c>
      <c r="AC233" s="202">
        <f t="shared" ref="AC233:AE233" si="1262">Z233</f>
        <v>0.34</v>
      </c>
      <c r="AD233" s="202">
        <f t="shared" si="1262"/>
        <v>0.34</v>
      </c>
      <c r="AE233" s="202">
        <f t="shared" si="1262"/>
        <v>0.34</v>
      </c>
      <c r="AF233" s="204">
        <v>0.34</v>
      </c>
      <c r="AG233" s="202">
        <v>0.34</v>
      </c>
      <c r="AH233" s="202">
        <v>0.34</v>
      </c>
      <c r="AI233" s="202">
        <v>0.34</v>
      </c>
      <c r="AJ233" s="202">
        <v>0.34</v>
      </c>
      <c r="AK233" s="202">
        <v>0.34</v>
      </c>
      <c r="AL233" s="202">
        <v>0.34</v>
      </c>
      <c r="AM233" s="204">
        <f>AH233</f>
        <v>0.34</v>
      </c>
      <c r="AN233" s="202">
        <f t="shared" ref="AN233:AN238" si="1263">AQ233-AM233</f>
        <v>0</v>
      </c>
      <c r="AO233" s="202"/>
      <c r="AP233" s="202">
        <f t="shared" si="606"/>
        <v>0</v>
      </c>
      <c r="AQ233" s="202">
        <f>AI233</f>
        <v>0.34</v>
      </c>
      <c r="AR233" s="592">
        <v>0.34</v>
      </c>
      <c r="AS233" s="202">
        <v>0.34</v>
      </c>
      <c r="AT233" s="204">
        <v>0.34</v>
      </c>
      <c r="AU233" s="204">
        <v>0.34</v>
      </c>
      <c r="AV233" s="204">
        <v>0.34</v>
      </c>
      <c r="AW233" s="204">
        <v>0.34</v>
      </c>
      <c r="AX233" s="204">
        <v>0.34</v>
      </c>
      <c r="AY233" s="204">
        <v>0.34</v>
      </c>
      <c r="AZ233" s="730">
        <v>0.34</v>
      </c>
      <c r="BA233" s="730">
        <v>0.34</v>
      </c>
      <c r="BB233" s="730">
        <v>0.34</v>
      </c>
      <c r="BC233" s="730">
        <v>0.34</v>
      </c>
      <c r="BD233" s="730">
        <v>0.34</v>
      </c>
      <c r="BE233" s="730">
        <v>0.34</v>
      </c>
      <c r="BF233" s="730">
        <v>0.34</v>
      </c>
      <c r="BG233" s="730">
        <v>0.34</v>
      </c>
      <c r="BH233" s="730">
        <v>0.34</v>
      </c>
      <c r="BI233" s="730">
        <v>0.34</v>
      </c>
      <c r="BJ233" s="730">
        <v>0.34</v>
      </c>
      <c r="BK233" s="730">
        <v>0.34</v>
      </c>
      <c r="BL233" s="730">
        <v>0.34</v>
      </c>
      <c r="BM233" s="730">
        <v>0.34</v>
      </c>
      <c r="BN233" s="730">
        <v>0.34</v>
      </c>
      <c r="BO233" s="730">
        <v>0.34</v>
      </c>
      <c r="BP233" s="730"/>
      <c r="BQ233" s="730"/>
      <c r="BR233" s="730"/>
      <c r="BS233" s="730"/>
      <c r="BT233" s="730"/>
      <c r="BU233" s="730"/>
      <c r="BV233" s="730"/>
      <c r="BW233" s="730"/>
      <c r="BX233" s="730"/>
      <c r="BY233" s="730"/>
      <c r="BZ233" s="730"/>
      <c r="CA233" s="730"/>
      <c r="CB233" s="730"/>
      <c r="CC233" s="730"/>
      <c r="CD233" s="730"/>
      <c r="CE233" s="730"/>
      <c r="CF233" s="730"/>
      <c r="CG233" s="730"/>
      <c r="CH233" s="730"/>
      <c r="CI233" s="730"/>
      <c r="CJ233" s="730"/>
      <c r="CK233" s="730"/>
      <c r="CL233" s="730"/>
      <c r="CM233" s="730"/>
      <c r="CN233" s="730"/>
      <c r="CO233" s="730"/>
    </row>
    <row r="234" spans="1:93" s="92" customFormat="1" x14ac:dyDescent="0.25">
      <c r="A234" s="121" t="str">
        <f>Language!AA229</f>
        <v>(=) EBIT Ajustado antes do D&amp;A Reavaliação</v>
      </c>
      <c r="B234" s="155">
        <f t="shared" ref="B234:J234" si="1264">SUM(B235,B238)</f>
        <v>55390</v>
      </c>
      <c r="C234" s="155">
        <f t="shared" si="1264"/>
        <v>36788</v>
      </c>
      <c r="D234" s="155">
        <f t="shared" si="1264"/>
        <v>52957</v>
      </c>
      <c r="E234" s="188">
        <f t="shared" si="1264"/>
        <v>120407</v>
      </c>
      <c r="F234" s="155">
        <f t="shared" si="1264"/>
        <v>84671</v>
      </c>
      <c r="G234" s="155">
        <f t="shared" si="1264"/>
        <v>60543</v>
      </c>
      <c r="H234" s="155">
        <f t="shared" si="1264"/>
        <v>72482</v>
      </c>
      <c r="I234" s="188">
        <f t="shared" si="1264"/>
        <v>100066</v>
      </c>
      <c r="J234" s="155">
        <f t="shared" si="1264"/>
        <v>108442</v>
      </c>
      <c r="K234" s="155">
        <f t="shared" ref="K234:P234" si="1265">SUM(K235,K238)</f>
        <v>70756.996611825001</v>
      </c>
      <c r="L234" s="155">
        <f t="shared" si="1265"/>
        <v>84159.830000000031</v>
      </c>
      <c r="M234" s="188">
        <f t="shared" si="1265"/>
        <v>112303.94039999999</v>
      </c>
      <c r="N234" s="155">
        <f t="shared" si="1265"/>
        <v>312262</v>
      </c>
      <c r="O234" s="155" t="e">
        <f t="shared" si="1265"/>
        <v>#REF!</v>
      </c>
      <c r="P234" s="155" t="e">
        <f t="shared" si="1265"/>
        <v>#REF!</v>
      </c>
      <c r="Q234" s="155" t="e">
        <f t="shared" ref="Q234:R234" si="1266">SUM(Q235,Q238)</f>
        <v>#REF!</v>
      </c>
      <c r="R234" s="189" t="e">
        <f t="shared" si="1266"/>
        <v>#REF!</v>
      </c>
      <c r="S234" s="155" t="e">
        <f t="shared" ref="S234:T234" si="1267">SUM(S235,S238)</f>
        <v>#REF!</v>
      </c>
      <c r="T234" s="155" t="e">
        <f t="shared" si="1267"/>
        <v>#REF!</v>
      </c>
      <c r="U234" s="155" t="e">
        <f t="shared" ref="U234:V234" si="1268">SUM(U235,U238)</f>
        <v>#REF!</v>
      </c>
      <c r="V234" s="155" t="e">
        <f t="shared" si="1268"/>
        <v>#REF!</v>
      </c>
      <c r="W234" s="155" t="e">
        <f t="shared" ref="W234:X234" si="1269">SUM(W235,W238)</f>
        <v>#REF!</v>
      </c>
      <c r="X234" s="155" t="e">
        <f t="shared" si="1269"/>
        <v>#REF!</v>
      </c>
      <c r="Y234" s="189" t="e">
        <f t="shared" ref="Y234:AB234" si="1270">SUM(Y235,Y238)</f>
        <v>#REF!</v>
      </c>
      <c r="Z234" s="155" t="e">
        <f t="shared" si="1270"/>
        <v>#REF!</v>
      </c>
      <c r="AA234" s="155" t="e">
        <f t="shared" si="1270"/>
        <v>#REF!</v>
      </c>
      <c r="AB234" s="155" t="e">
        <f t="shared" si="1270"/>
        <v>#REF!</v>
      </c>
      <c r="AC234" s="155" t="e">
        <f t="shared" ref="AC234:AD234" si="1271">SUM(AC235,AC238)</f>
        <v>#REF!</v>
      </c>
      <c r="AD234" s="155" t="e">
        <f t="shared" si="1271"/>
        <v>#REF!</v>
      </c>
      <c r="AE234" s="155" t="e">
        <f t="shared" ref="AE234" si="1272">SUM(AE235,AE238)</f>
        <v>#REF!</v>
      </c>
      <c r="AF234" s="189">
        <v>129868</v>
      </c>
      <c r="AG234" s="155">
        <v>76880</v>
      </c>
      <c r="AH234" s="155">
        <v>168521</v>
      </c>
      <c r="AI234" s="155">
        <v>1109934</v>
      </c>
      <c r="AJ234" s="155">
        <v>206748</v>
      </c>
      <c r="AK234" s="155">
        <v>365607</v>
      </c>
      <c r="AL234" s="155">
        <v>1514519</v>
      </c>
      <c r="AM234" s="189">
        <f t="shared" ref="AM234:AQ234" si="1273">SUM(AM235,AM238)</f>
        <v>96662</v>
      </c>
      <c r="AN234" s="155">
        <f t="shared" si="1263"/>
        <v>42359</v>
      </c>
      <c r="AO234" s="155"/>
      <c r="AP234" s="155">
        <f t="shared" si="606"/>
        <v>63540</v>
      </c>
      <c r="AQ234" s="155">
        <f t="shared" si="1273"/>
        <v>139021</v>
      </c>
      <c r="AR234" s="155">
        <f t="shared" ref="AR234:AS234" si="1274">SUM(AR235,AR238)</f>
        <v>198197</v>
      </c>
      <c r="AS234" s="155">
        <f t="shared" si="1274"/>
        <v>261737</v>
      </c>
      <c r="AT234" s="189">
        <f t="shared" ref="AT234:AU234" si="1275">SUM(AT235,AT238)</f>
        <v>20653</v>
      </c>
      <c r="AU234" s="189">
        <f t="shared" si="1275"/>
        <v>11973</v>
      </c>
      <c r="AV234" s="189">
        <f t="shared" ref="AV234:AY234" si="1276">SUM(AV235,AV238)</f>
        <v>46429</v>
      </c>
      <c r="AW234" s="189">
        <f t="shared" ref="AW234:AX234" si="1277">SUM(AW235,AW238)</f>
        <v>22794</v>
      </c>
      <c r="AX234" s="189">
        <f t="shared" si="1277"/>
        <v>32626</v>
      </c>
      <c r="AY234" s="189">
        <f t="shared" si="1276"/>
        <v>79055</v>
      </c>
      <c r="AZ234" s="189">
        <f t="shared" ref="AZ234:BA234" si="1278">SUM(AZ235,AZ238)</f>
        <v>101849</v>
      </c>
      <c r="BA234" s="189">
        <f t="shared" si="1278"/>
        <v>36988</v>
      </c>
      <c r="BB234" s="189">
        <f t="shared" ref="BB234:BC234" si="1279">SUM(BB235,BB238)</f>
        <v>19953</v>
      </c>
      <c r="BC234" s="189">
        <f t="shared" si="1279"/>
        <v>4838</v>
      </c>
      <c r="BD234" s="189">
        <f t="shared" ref="BD234:BE234" si="1280">SUM(BD235,BD238)</f>
        <v>5291</v>
      </c>
      <c r="BE234" s="189">
        <f t="shared" si="1280"/>
        <v>56941</v>
      </c>
      <c r="BF234" s="189">
        <f t="shared" ref="BF234:BG234" si="1281">SUM(BF235,BF238)</f>
        <v>61779</v>
      </c>
      <c r="BG234" s="189">
        <f t="shared" si="1281"/>
        <v>67070</v>
      </c>
      <c r="BH234" s="189">
        <f t="shared" ref="BH234:BL234" si="1282">SUM(BH235,BH238)</f>
        <v>-14933</v>
      </c>
      <c r="BI234" s="189">
        <f t="shared" si="1282"/>
        <v>-22207</v>
      </c>
      <c r="BJ234" s="189">
        <f t="shared" si="1282"/>
        <v>101309</v>
      </c>
      <c r="BK234" s="189">
        <f t="shared" si="1282"/>
        <v>2332</v>
      </c>
      <c r="BL234" s="189">
        <f t="shared" si="1282"/>
        <v>-37140</v>
      </c>
      <c r="BM234" s="189">
        <f t="shared" ref="BM234:BN234" si="1283">SUM(BM235,BM238)</f>
        <v>64169</v>
      </c>
      <c r="BN234" s="189">
        <f t="shared" si="1283"/>
        <v>66501</v>
      </c>
      <c r="BO234" s="189">
        <f t="shared" ref="BO234:BP234" si="1284">SUM(BO235,BO238)</f>
        <v>12680</v>
      </c>
      <c r="BP234" s="189">
        <f t="shared" si="1284"/>
        <v>70578</v>
      </c>
      <c r="BQ234" s="189">
        <f t="shared" ref="BQ234:BS234" si="1285">SUM(BQ235,BQ238)</f>
        <v>-45205</v>
      </c>
      <c r="BR234" s="189">
        <f t="shared" si="1285"/>
        <v>51229</v>
      </c>
      <c r="BS234" s="189">
        <f t="shared" si="1285"/>
        <v>83258</v>
      </c>
      <c r="BT234" s="189">
        <f t="shared" ref="BT234:BU234" si="1286">SUM(BT235,BT238)</f>
        <v>147147</v>
      </c>
      <c r="BU234" s="189">
        <f t="shared" si="1286"/>
        <v>198376</v>
      </c>
      <c r="BV234" s="189">
        <f t="shared" ref="BV234" si="1287">SUM(BV235,BV238)</f>
        <v>48469</v>
      </c>
      <c r="BW234" s="189">
        <f t="shared" ref="BW234:CB234" si="1288">SUM(BW235,BW238)</f>
        <v>79432</v>
      </c>
      <c r="BX234" s="189">
        <f t="shared" si="1288"/>
        <v>160610</v>
      </c>
      <c r="BY234" s="189">
        <f t="shared" si="1288"/>
        <v>109727</v>
      </c>
      <c r="BZ234" s="189">
        <f t="shared" si="1288"/>
        <v>127901</v>
      </c>
      <c r="CA234" s="189">
        <f t="shared" si="1288"/>
        <v>288511</v>
      </c>
      <c r="CB234" s="189">
        <f t="shared" si="1288"/>
        <v>398238</v>
      </c>
      <c r="CC234" s="189">
        <f t="shared" ref="CC234:CD234" si="1289">SUM(CC235,CC238)</f>
        <v>36070</v>
      </c>
      <c r="CD234" s="189">
        <f t="shared" si="1289"/>
        <v>54092</v>
      </c>
      <c r="CE234" s="189">
        <f t="shared" ref="CE234:CG234" si="1290">SUM(CE235,CE238)</f>
        <v>-401576</v>
      </c>
      <c r="CF234" s="189">
        <f t="shared" si="1290"/>
        <v>-574506</v>
      </c>
      <c r="CG234" s="189">
        <f t="shared" si="1290"/>
        <v>90163</v>
      </c>
      <c r="CH234" s="189">
        <f t="shared" ref="CH234:CI234" si="1291">SUM(CH235,CH238)</f>
        <v>-311413</v>
      </c>
      <c r="CI234" s="189">
        <f t="shared" si="1291"/>
        <v>-881816</v>
      </c>
      <c r="CJ234" s="189">
        <v>-1423446</v>
      </c>
      <c r="CK234" s="189">
        <f t="shared" ref="CK234:CO234" si="1292">SUM(CK235,CK238)</f>
        <v>1484221</v>
      </c>
      <c r="CL234" s="189">
        <f t="shared" si="1292"/>
        <v>0</v>
      </c>
      <c r="CM234" s="189">
        <f t="shared" si="1292"/>
        <v>0</v>
      </c>
      <c r="CN234" s="189">
        <f t="shared" si="1292"/>
        <v>60775</v>
      </c>
      <c r="CO234" s="189">
        <f t="shared" si="1292"/>
        <v>0</v>
      </c>
    </row>
    <row r="235" spans="1:93" s="92" customFormat="1" x14ac:dyDescent="0.25">
      <c r="A235" s="164" t="str">
        <f>Language!AA230</f>
        <v>(+) EBIT Ajustado</v>
      </c>
      <c r="B235" s="155">
        <f>SUM(B236,-B237)</f>
        <v>47275</v>
      </c>
      <c r="C235" s="155">
        <f t="shared" ref="C235:K235" si="1293">SUM(C236,-C237)</f>
        <v>26527</v>
      </c>
      <c r="D235" s="155">
        <f t="shared" si="1293"/>
        <v>30580</v>
      </c>
      <c r="E235" s="188">
        <f t="shared" si="1293"/>
        <v>70022</v>
      </c>
      <c r="F235" s="155">
        <f t="shared" si="1293"/>
        <v>59386</v>
      </c>
      <c r="G235" s="155">
        <f t="shared" si="1293"/>
        <v>33445</v>
      </c>
      <c r="H235" s="155">
        <f t="shared" si="1293"/>
        <v>51746</v>
      </c>
      <c r="I235" s="188">
        <f t="shared" si="1293"/>
        <v>68827</v>
      </c>
      <c r="J235" s="155">
        <f t="shared" si="1293"/>
        <v>83355</v>
      </c>
      <c r="K235" s="155">
        <f t="shared" si="1293"/>
        <v>45389.996611825001</v>
      </c>
      <c r="L235" s="155">
        <f t="shared" ref="L235:M235" si="1294">SUM(L236,-L237)</f>
        <v>58974.830000000031</v>
      </c>
      <c r="M235" s="188">
        <f t="shared" si="1294"/>
        <v>87700.940399999992</v>
      </c>
      <c r="N235" s="155">
        <f t="shared" ref="N235:O235" si="1295">SUM(N236,-N237)</f>
        <v>285748</v>
      </c>
      <c r="O235" s="155" t="e">
        <f t="shared" si="1295"/>
        <v>#REF!</v>
      </c>
      <c r="P235" s="155" t="e">
        <f t="shared" ref="P235" si="1296">SUM(P236,-P237)</f>
        <v>#REF!</v>
      </c>
      <c r="Q235" s="155" t="e">
        <f t="shared" ref="Q235:R235" si="1297">SUM(Q236,-Q237)</f>
        <v>#REF!</v>
      </c>
      <c r="R235" s="189" t="e">
        <f t="shared" si="1297"/>
        <v>#REF!</v>
      </c>
      <c r="S235" s="155" t="e">
        <f t="shared" ref="S235:T235" si="1298">SUM(S236,-S237)</f>
        <v>#REF!</v>
      </c>
      <c r="T235" s="155" t="e">
        <f t="shared" si="1298"/>
        <v>#REF!</v>
      </c>
      <c r="U235" s="155" t="e">
        <f t="shared" ref="U235:V235" si="1299">SUM(U236,-U237)</f>
        <v>#REF!</v>
      </c>
      <c r="V235" s="155" t="e">
        <f t="shared" si="1299"/>
        <v>#REF!</v>
      </c>
      <c r="W235" s="155" t="e">
        <f t="shared" ref="W235:X235" si="1300">SUM(W236,-W237)</f>
        <v>#REF!</v>
      </c>
      <c r="X235" s="155" t="e">
        <f t="shared" si="1300"/>
        <v>#REF!</v>
      </c>
      <c r="Y235" s="189" t="e">
        <f t="shared" ref="Y235:AB235" si="1301">SUM(Y236,-Y237)</f>
        <v>#REF!</v>
      </c>
      <c r="Z235" s="155" t="e">
        <f t="shared" si="1301"/>
        <v>#REF!</v>
      </c>
      <c r="AA235" s="155" t="e">
        <f t="shared" si="1301"/>
        <v>#REF!</v>
      </c>
      <c r="AB235" s="155" t="e">
        <f t="shared" si="1301"/>
        <v>#REF!</v>
      </c>
      <c r="AC235" s="155" t="e">
        <f t="shared" ref="AC235:AD235" si="1302">SUM(AC236,-AC237)</f>
        <v>#REF!</v>
      </c>
      <c r="AD235" s="155" t="e">
        <f t="shared" si="1302"/>
        <v>#REF!</v>
      </c>
      <c r="AE235" s="155" t="e">
        <f t="shared" ref="AE235" si="1303">SUM(AE236,-AE237)</f>
        <v>#REF!</v>
      </c>
      <c r="AF235" s="189">
        <v>105237</v>
      </c>
      <c r="AG235" s="155">
        <v>59811</v>
      </c>
      <c r="AH235" s="155">
        <v>152366</v>
      </c>
      <c r="AI235" s="155">
        <v>1102818</v>
      </c>
      <c r="AJ235" s="155">
        <v>165048</v>
      </c>
      <c r="AK235" s="155">
        <v>307752</v>
      </c>
      <c r="AL235" s="155">
        <v>1449548</v>
      </c>
      <c r="AM235" s="189">
        <f t="shared" ref="AM235:AQ235" si="1304">SUM(AM236,-AM237)</f>
        <v>89686</v>
      </c>
      <c r="AN235" s="155">
        <f t="shared" si="1263"/>
        <v>35415</v>
      </c>
      <c r="AO235" s="155"/>
      <c r="AP235" s="155">
        <f t="shared" ref="AP235:AP238" si="1305">AS235-AR235</f>
        <v>55208</v>
      </c>
      <c r="AQ235" s="155">
        <f t="shared" si="1304"/>
        <v>125101</v>
      </c>
      <c r="AR235" s="155">
        <f t="shared" ref="AR235:AS235" si="1306">SUM(AR236,-AR237)</f>
        <v>176252</v>
      </c>
      <c r="AS235" s="155">
        <f t="shared" si="1306"/>
        <v>231460</v>
      </c>
      <c r="AT235" s="189">
        <f t="shared" ref="AT235:AU235" si="1307">SUM(AT236,-AT237)</f>
        <v>12639</v>
      </c>
      <c r="AU235" s="189">
        <f t="shared" si="1307"/>
        <v>3502</v>
      </c>
      <c r="AV235" s="189">
        <f t="shared" ref="AV235:AY235" si="1308">SUM(AV236,-AV237)</f>
        <v>38059</v>
      </c>
      <c r="AW235" s="189">
        <f t="shared" ref="AW235:AX235" si="1309">SUM(AW236,-AW237)</f>
        <v>13745</v>
      </c>
      <c r="AX235" s="189">
        <f t="shared" si="1309"/>
        <v>16141</v>
      </c>
      <c r="AY235" s="189">
        <f t="shared" si="1308"/>
        <v>54200</v>
      </c>
      <c r="AZ235" s="189">
        <f t="shared" ref="AZ235:BA235" si="1310">SUM(AZ236,-AZ237)</f>
        <v>67945</v>
      </c>
      <c r="BA235" s="189">
        <f t="shared" si="1310"/>
        <v>31872</v>
      </c>
      <c r="BB235" s="189">
        <f t="shared" ref="BB235:BC235" si="1311">SUM(BB236,-BB237)</f>
        <v>16041</v>
      </c>
      <c r="BC235" s="189">
        <f t="shared" si="1311"/>
        <v>-944</v>
      </c>
      <c r="BD235" s="189">
        <f t="shared" ref="BD235:BE235" si="1312">SUM(BD236,-BD237)</f>
        <v>-1267</v>
      </c>
      <c r="BE235" s="189">
        <f t="shared" si="1312"/>
        <v>47913</v>
      </c>
      <c r="BF235" s="189">
        <f t="shared" ref="BF235:BG235" si="1313">SUM(BF236,-BF237)</f>
        <v>46969</v>
      </c>
      <c r="BG235" s="189">
        <f t="shared" si="1313"/>
        <v>45702</v>
      </c>
      <c r="BH235" s="189">
        <f t="shared" ref="BH235:BL235" si="1314">SUM(BH236,-BH237)</f>
        <v>-19643</v>
      </c>
      <c r="BI235" s="189">
        <f t="shared" si="1314"/>
        <v>-22452</v>
      </c>
      <c r="BJ235" s="189">
        <f t="shared" si="1314"/>
        <v>101063</v>
      </c>
      <c r="BK235" s="189">
        <f t="shared" si="1314"/>
        <v>1778</v>
      </c>
      <c r="BL235" s="189">
        <f t="shared" si="1314"/>
        <v>-42095</v>
      </c>
      <c r="BM235" s="189">
        <f t="shared" ref="BM235:BN235" si="1315">SUM(BM236,-BM237)</f>
        <v>58968</v>
      </c>
      <c r="BN235" s="189">
        <f t="shared" si="1315"/>
        <v>60746</v>
      </c>
      <c r="BO235" s="189">
        <f t="shared" ref="BO235:BP235" si="1316">SUM(BO236,-BO237)</f>
        <v>12165</v>
      </c>
      <c r="BP235" s="189">
        <f t="shared" si="1316"/>
        <v>70587</v>
      </c>
      <c r="BQ235" s="189">
        <f t="shared" ref="BQ235:BS235" si="1317">SUM(BQ236,-BQ237)</f>
        <v>-48471</v>
      </c>
      <c r="BR235" s="189">
        <f t="shared" si="1317"/>
        <v>51542</v>
      </c>
      <c r="BS235" s="189">
        <f t="shared" si="1317"/>
        <v>82752</v>
      </c>
      <c r="BT235" s="189">
        <f t="shared" ref="BT235:BU235" si="1318">SUM(BT236,-BT237)</f>
        <v>143375</v>
      </c>
      <c r="BU235" s="189">
        <f t="shared" si="1318"/>
        <v>194917</v>
      </c>
      <c r="BV235" s="189">
        <f t="shared" ref="BV235" si="1319">SUM(BV236,-BV237)</f>
        <v>48207</v>
      </c>
      <c r="BW235" s="189">
        <f t="shared" ref="BW235:CB235" si="1320">SUM(BW236,-BW237)</f>
        <v>79170</v>
      </c>
      <c r="BX235" s="189">
        <f t="shared" si="1320"/>
        <v>160348</v>
      </c>
      <c r="BY235" s="189">
        <f t="shared" si="1320"/>
        <v>109328</v>
      </c>
      <c r="BZ235" s="189">
        <f t="shared" si="1320"/>
        <v>127377</v>
      </c>
      <c r="CA235" s="189">
        <f t="shared" si="1320"/>
        <v>287725</v>
      </c>
      <c r="CB235" s="189">
        <f t="shared" si="1320"/>
        <v>397053</v>
      </c>
      <c r="CC235" s="189">
        <f t="shared" ref="CC235:CD235" si="1321">SUM(CC236,-CC237)</f>
        <v>35823</v>
      </c>
      <c r="CD235" s="189">
        <f t="shared" si="1321"/>
        <v>53777</v>
      </c>
      <c r="CE235" s="189">
        <f t="shared" ref="CE235:CG235" si="1322">SUM(CE236,-CE237)</f>
        <v>159885</v>
      </c>
      <c r="CF235" s="189">
        <f t="shared" si="1322"/>
        <v>98145</v>
      </c>
      <c r="CG235" s="189">
        <f t="shared" si="1322"/>
        <v>89601</v>
      </c>
      <c r="CH235" s="189">
        <f t="shared" ref="CH235:CI235" si="1323">SUM(CH236,-CH237)</f>
        <v>249486</v>
      </c>
      <c r="CI235" s="189">
        <f t="shared" si="1323"/>
        <v>351734</v>
      </c>
      <c r="CJ235" s="189">
        <v>36540</v>
      </c>
      <c r="CK235" s="189">
        <f t="shared" ref="CK235:CO235" si="1324">SUM(CK236,-CK237)</f>
        <v>23722</v>
      </c>
      <c r="CL235" s="189">
        <f t="shared" si="1324"/>
        <v>0</v>
      </c>
      <c r="CM235" s="189">
        <f t="shared" si="1324"/>
        <v>0</v>
      </c>
      <c r="CN235" s="189">
        <f t="shared" si="1324"/>
        <v>60262</v>
      </c>
      <c r="CO235" s="189">
        <f t="shared" si="1324"/>
        <v>0</v>
      </c>
    </row>
    <row r="236" spans="1:93" s="92" customFormat="1" x14ac:dyDescent="0.25">
      <c r="A236" s="180" t="str">
        <f>Language!AA231</f>
        <v>(+) EBITDA Ajustado</v>
      </c>
      <c r="B236" s="155">
        <f t="shared" ref="B236:AE236" si="1325">B204</f>
        <v>89989</v>
      </c>
      <c r="C236" s="155">
        <f t="shared" si="1325"/>
        <v>71591</v>
      </c>
      <c r="D236" s="155">
        <f t="shared" si="1325"/>
        <v>73380</v>
      </c>
      <c r="E236" s="188">
        <f t="shared" si="1325"/>
        <v>116990</v>
      </c>
      <c r="F236" s="155">
        <f t="shared" si="1325"/>
        <v>109929</v>
      </c>
      <c r="G236" s="155">
        <f t="shared" si="1325"/>
        <v>88720</v>
      </c>
      <c r="H236" s="155">
        <f t="shared" si="1325"/>
        <v>101111</v>
      </c>
      <c r="I236" s="188">
        <f t="shared" si="1325"/>
        <v>123609</v>
      </c>
      <c r="J236" s="155">
        <f t="shared" si="1325"/>
        <v>141678</v>
      </c>
      <c r="K236" s="155">
        <f t="shared" si="1325"/>
        <v>102526.208377127</v>
      </c>
      <c r="L236" s="155">
        <f t="shared" si="1325"/>
        <v>119079.67220000003</v>
      </c>
      <c r="M236" s="188">
        <f t="shared" si="1325"/>
        <v>152875.677</v>
      </c>
      <c r="N236" s="155">
        <f t="shared" si="1325"/>
        <v>354127</v>
      </c>
      <c r="O236" s="155" t="e">
        <f t="shared" si="1325"/>
        <v>#REF!</v>
      </c>
      <c r="P236" s="155" t="e">
        <f t="shared" si="1325"/>
        <v>#REF!</v>
      </c>
      <c r="Q236" s="155" t="e">
        <f t="shared" si="1325"/>
        <v>#REF!</v>
      </c>
      <c r="R236" s="189" t="e">
        <f t="shared" si="1325"/>
        <v>#REF!</v>
      </c>
      <c r="S236" s="155" t="e">
        <f t="shared" si="1325"/>
        <v>#REF!</v>
      </c>
      <c r="T236" s="155" t="e">
        <f t="shared" si="1325"/>
        <v>#REF!</v>
      </c>
      <c r="U236" s="155" t="e">
        <f t="shared" si="1325"/>
        <v>#REF!</v>
      </c>
      <c r="V236" s="155" t="e">
        <f t="shared" si="1325"/>
        <v>#REF!</v>
      </c>
      <c r="W236" s="155" t="e">
        <f t="shared" si="1325"/>
        <v>#REF!</v>
      </c>
      <c r="X236" s="155" t="e">
        <f t="shared" si="1325"/>
        <v>#REF!</v>
      </c>
      <c r="Y236" s="189" t="e">
        <f t="shared" si="1325"/>
        <v>#REF!</v>
      </c>
      <c r="Z236" s="155" t="e">
        <f t="shared" si="1325"/>
        <v>#REF!</v>
      </c>
      <c r="AA236" s="155" t="e">
        <f t="shared" si="1325"/>
        <v>#REF!</v>
      </c>
      <c r="AB236" s="155" t="e">
        <f t="shared" si="1325"/>
        <v>#REF!</v>
      </c>
      <c r="AC236" s="155" t="e">
        <f t="shared" si="1325"/>
        <v>#REF!</v>
      </c>
      <c r="AD236" s="155" t="e">
        <f t="shared" si="1325"/>
        <v>#REF!</v>
      </c>
      <c r="AE236" s="155" t="e">
        <f t="shared" si="1325"/>
        <v>#REF!</v>
      </c>
      <c r="AF236" s="189">
        <v>224093</v>
      </c>
      <c r="AG236" s="155">
        <v>186399</v>
      </c>
      <c r="AH236" s="155">
        <v>199180</v>
      </c>
      <c r="AI236" s="155">
        <v>919408</v>
      </c>
      <c r="AJ236" s="155">
        <v>410492</v>
      </c>
      <c r="AK236" s="155">
        <v>600010</v>
      </c>
      <c r="AL236" s="155">
        <v>1558396</v>
      </c>
      <c r="AM236" s="189">
        <f>AM204</f>
        <v>142288</v>
      </c>
      <c r="AN236" s="155">
        <f t="shared" si="1263"/>
        <v>87628</v>
      </c>
      <c r="AO236" s="155"/>
      <c r="AP236" s="155">
        <f t="shared" si="1305"/>
        <v>130583</v>
      </c>
      <c r="AQ236" s="155">
        <f t="shared" ref="AQ236:CI236" si="1326">AQ204</f>
        <v>229916</v>
      </c>
      <c r="AR236" s="155">
        <f t="shared" si="1326"/>
        <v>341543</v>
      </c>
      <c r="AS236" s="155">
        <f t="shared" si="1326"/>
        <v>472126</v>
      </c>
      <c r="AT236" s="189">
        <f t="shared" si="1326"/>
        <v>90385</v>
      </c>
      <c r="AU236" s="189">
        <f t="shared" si="1326"/>
        <v>86053</v>
      </c>
      <c r="AV236" s="189">
        <f t="shared" si="1326"/>
        <v>122021</v>
      </c>
      <c r="AW236" s="189">
        <f t="shared" si="1326"/>
        <v>123497</v>
      </c>
      <c r="AX236" s="189">
        <f t="shared" si="1326"/>
        <v>176438</v>
      </c>
      <c r="AY236" s="189">
        <f t="shared" si="1326"/>
        <v>298459</v>
      </c>
      <c r="AZ236" s="189">
        <f t="shared" si="1326"/>
        <v>421956</v>
      </c>
      <c r="BA236" s="189">
        <f t="shared" si="1326"/>
        <v>117235</v>
      </c>
      <c r="BB236" s="189">
        <f t="shared" si="1326"/>
        <v>89533</v>
      </c>
      <c r="BC236" s="189">
        <f t="shared" si="1326"/>
        <v>100071</v>
      </c>
      <c r="BD236" s="189">
        <f t="shared" si="1326"/>
        <v>116194</v>
      </c>
      <c r="BE236" s="189">
        <f t="shared" si="1326"/>
        <v>206768</v>
      </c>
      <c r="BF236" s="189">
        <f t="shared" si="1326"/>
        <v>306839</v>
      </c>
      <c r="BG236" s="189">
        <f t="shared" si="1326"/>
        <v>423033</v>
      </c>
      <c r="BH236" s="189">
        <f t="shared" si="1326"/>
        <v>91915</v>
      </c>
      <c r="BI236" s="189">
        <f t="shared" si="1326"/>
        <v>94767</v>
      </c>
      <c r="BJ236" s="189">
        <f t="shared" si="1326"/>
        <v>158102</v>
      </c>
      <c r="BK236" s="189">
        <f t="shared" si="1326"/>
        <v>92711</v>
      </c>
      <c r="BL236" s="189">
        <f t="shared" si="1326"/>
        <v>186682</v>
      </c>
      <c r="BM236" s="189">
        <f t="shared" si="1326"/>
        <v>344784</v>
      </c>
      <c r="BN236" s="189">
        <f t="shared" si="1326"/>
        <v>437495</v>
      </c>
      <c r="BO236" s="189">
        <f t="shared" si="1326"/>
        <v>56784</v>
      </c>
      <c r="BP236" s="189">
        <f t="shared" si="1326"/>
        <v>112268</v>
      </c>
      <c r="BQ236" s="189">
        <f t="shared" si="1326"/>
        <v>-3226</v>
      </c>
      <c r="BR236" s="189">
        <f t="shared" si="1326"/>
        <v>78006</v>
      </c>
      <c r="BS236" s="189">
        <f t="shared" si="1326"/>
        <v>169052</v>
      </c>
      <c r="BT236" s="189">
        <f t="shared" si="1326"/>
        <v>274920</v>
      </c>
      <c r="BU236" s="189">
        <f t="shared" si="1326"/>
        <v>352926</v>
      </c>
      <c r="BV236" s="189">
        <f t="shared" si="1326"/>
        <v>85425</v>
      </c>
      <c r="BW236" s="189">
        <f t="shared" si="1326"/>
        <v>116272</v>
      </c>
      <c r="BX236" s="189">
        <f t="shared" si="1326"/>
        <v>201721</v>
      </c>
      <c r="BY236" s="189">
        <f t="shared" si="1326"/>
        <v>155363</v>
      </c>
      <c r="BZ236" s="189">
        <f t="shared" si="1326"/>
        <v>201697</v>
      </c>
      <c r="CA236" s="189">
        <f t="shared" si="1326"/>
        <v>403418</v>
      </c>
      <c r="CB236" s="189">
        <f t="shared" si="1326"/>
        <v>558781</v>
      </c>
      <c r="CC236" s="189">
        <f t="shared" si="1326"/>
        <v>75405</v>
      </c>
      <c r="CD236" s="189">
        <f t="shared" si="1326"/>
        <v>96578</v>
      </c>
      <c r="CE236" s="189">
        <f t="shared" si="1326"/>
        <v>206712</v>
      </c>
      <c r="CF236" s="189">
        <f t="shared" si="1326"/>
        <v>136180</v>
      </c>
      <c r="CG236" s="189">
        <f t="shared" si="1326"/>
        <v>171984</v>
      </c>
      <c r="CH236" s="189">
        <f t="shared" si="1326"/>
        <v>378696</v>
      </c>
      <c r="CI236" s="189">
        <f t="shared" si="1326"/>
        <v>518979</v>
      </c>
      <c r="CJ236" s="189">
        <v>79693</v>
      </c>
      <c r="CK236" s="189">
        <f t="shared" ref="CK236:CO236" si="1327">CK204</f>
        <v>96348</v>
      </c>
      <c r="CL236" s="189">
        <f t="shared" si="1327"/>
        <v>0</v>
      </c>
      <c r="CM236" s="189">
        <f t="shared" si="1327"/>
        <v>0</v>
      </c>
      <c r="CN236" s="189">
        <f t="shared" si="1327"/>
        <v>176041</v>
      </c>
      <c r="CO236" s="189">
        <f t="shared" si="1327"/>
        <v>0</v>
      </c>
    </row>
    <row r="237" spans="1:93" s="92" customFormat="1" x14ac:dyDescent="0.25">
      <c r="A237" s="180" t="str">
        <f>Language!AA232</f>
        <v>(-) Depreciação e Amortização</v>
      </c>
      <c r="B237" s="155">
        <f t="shared" ref="B237:AE237" si="1328">-B168</f>
        <v>42714</v>
      </c>
      <c r="C237" s="155">
        <f t="shared" si="1328"/>
        <v>45064</v>
      </c>
      <c r="D237" s="155">
        <f t="shared" si="1328"/>
        <v>42800</v>
      </c>
      <c r="E237" s="188">
        <f t="shared" si="1328"/>
        <v>46968</v>
      </c>
      <c r="F237" s="155">
        <f t="shared" si="1328"/>
        <v>50543</v>
      </c>
      <c r="G237" s="155">
        <f t="shared" si="1328"/>
        <v>55275</v>
      </c>
      <c r="H237" s="155">
        <f t="shared" si="1328"/>
        <v>49365</v>
      </c>
      <c r="I237" s="188">
        <f t="shared" si="1328"/>
        <v>54782</v>
      </c>
      <c r="J237" s="155">
        <f t="shared" si="1328"/>
        <v>58323</v>
      </c>
      <c r="K237" s="155">
        <f t="shared" si="1328"/>
        <v>57136.211765301996</v>
      </c>
      <c r="L237" s="155">
        <f t="shared" si="1328"/>
        <v>60104.842199999999</v>
      </c>
      <c r="M237" s="188">
        <f t="shared" si="1328"/>
        <v>65174.736600000004</v>
      </c>
      <c r="N237" s="155">
        <f t="shared" si="1328"/>
        <v>68379</v>
      </c>
      <c r="O237" s="155">
        <f t="shared" si="1328"/>
        <v>70988</v>
      </c>
      <c r="P237" s="155">
        <f t="shared" si="1328"/>
        <v>70130</v>
      </c>
      <c r="Q237" s="155">
        <f t="shared" si="1328"/>
        <v>76090</v>
      </c>
      <c r="R237" s="189">
        <f t="shared" si="1328"/>
        <v>86568</v>
      </c>
      <c r="S237" s="155">
        <f t="shared" si="1328"/>
        <v>87121</v>
      </c>
      <c r="T237" s="155">
        <f t="shared" si="1328"/>
        <v>90869</v>
      </c>
      <c r="U237" s="155">
        <f t="shared" si="1328"/>
        <v>82029</v>
      </c>
      <c r="V237" s="155">
        <f t="shared" si="1328"/>
        <v>173689</v>
      </c>
      <c r="W237" s="155">
        <f t="shared" si="1328"/>
        <v>264558</v>
      </c>
      <c r="X237" s="155">
        <f t="shared" si="1328"/>
        <v>346587</v>
      </c>
      <c r="Y237" s="189">
        <f t="shared" si="1328"/>
        <v>91962</v>
      </c>
      <c r="Z237" s="155">
        <f t="shared" si="1328"/>
        <v>85999</v>
      </c>
      <c r="AA237" s="155">
        <f t="shared" si="1328"/>
        <v>95789</v>
      </c>
      <c r="AB237" s="155">
        <f t="shared" si="1328"/>
        <v>93307</v>
      </c>
      <c r="AC237" s="155">
        <f t="shared" si="1328"/>
        <v>177961</v>
      </c>
      <c r="AD237" s="155">
        <f t="shared" si="1328"/>
        <v>273750</v>
      </c>
      <c r="AE237" s="155">
        <f t="shared" si="1328"/>
        <v>367057</v>
      </c>
      <c r="AF237" s="189">
        <v>118856</v>
      </c>
      <c r="AG237" s="155">
        <v>126588</v>
      </c>
      <c r="AH237" s="155">
        <v>46814</v>
      </c>
      <c r="AI237" s="155">
        <v>-183410</v>
      </c>
      <c r="AJ237" s="155">
        <v>245444</v>
      </c>
      <c r="AK237" s="155">
        <v>292258</v>
      </c>
      <c r="AL237" s="155">
        <v>108848</v>
      </c>
      <c r="AM237" s="189">
        <f>-AM168</f>
        <v>52602</v>
      </c>
      <c r="AN237" s="155">
        <f t="shared" si="1263"/>
        <v>52213</v>
      </c>
      <c r="AO237" s="155"/>
      <c r="AP237" s="155">
        <f t="shared" si="1305"/>
        <v>75375</v>
      </c>
      <c r="AQ237" s="155">
        <f t="shared" ref="AQ237:CI237" si="1329">-AQ168</f>
        <v>104815</v>
      </c>
      <c r="AR237" s="155">
        <f t="shared" si="1329"/>
        <v>165291</v>
      </c>
      <c r="AS237" s="155">
        <f t="shared" si="1329"/>
        <v>240666</v>
      </c>
      <c r="AT237" s="189">
        <f t="shared" si="1329"/>
        <v>77746</v>
      </c>
      <c r="AU237" s="189">
        <f t="shared" si="1329"/>
        <v>82551</v>
      </c>
      <c r="AV237" s="189">
        <f t="shared" si="1329"/>
        <v>83962</v>
      </c>
      <c r="AW237" s="189">
        <f t="shared" si="1329"/>
        <v>109752</v>
      </c>
      <c r="AX237" s="189">
        <f t="shared" si="1329"/>
        <v>160297</v>
      </c>
      <c r="AY237" s="189">
        <f t="shared" si="1329"/>
        <v>244259</v>
      </c>
      <c r="AZ237" s="189">
        <f t="shared" si="1329"/>
        <v>354011</v>
      </c>
      <c r="BA237" s="189">
        <f t="shared" si="1329"/>
        <v>85363</v>
      </c>
      <c r="BB237" s="189">
        <f t="shared" si="1329"/>
        <v>73492</v>
      </c>
      <c r="BC237" s="189">
        <f t="shared" si="1329"/>
        <v>101015</v>
      </c>
      <c r="BD237" s="189">
        <f t="shared" si="1329"/>
        <v>117461</v>
      </c>
      <c r="BE237" s="189">
        <f t="shared" si="1329"/>
        <v>158855</v>
      </c>
      <c r="BF237" s="189">
        <f t="shared" si="1329"/>
        <v>259870</v>
      </c>
      <c r="BG237" s="189">
        <f t="shared" si="1329"/>
        <v>377331</v>
      </c>
      <c r="BH237" s="189">
        <f t="shared" si="1329"/>
        <v>111558</v>
      </c>
      <c r="BI237" s="189">
        <f t="shared" si="1329"/>
        <v>117219</v>
      </c>
      <c r="BJ237" s="189">
        <f t="shared" si="1329"/>
        <v>57039</v>
      </c>
      <c r="BK237" s="189">
        <f t="shared" si="1329"/>
        <v>90933</v>
      </c>
      <c r="BL237" s="189">
        <f t="shared" si="1329"/>
        <v>228777</v>
      </c>
      <c r="BM237" s="189">
        <f t="shared" si="1329"/>
        <v>285816</v>
      </c>
      <c r="BN237" s="189">
        <f t="shared" si="1329"/>
        <v>376749</v>
      </c>
      <c r="BO237" s="189">
        <f t="shared" si="1329"/>
        <v>44619</v>
      </c>
      <c r="BP237" s="189">
        <f t="shared" si="1329"/>
        <v>41681</v>
      </c>
      <c r="BQ237" s="189">
        <f t="shared" si="1329"/>
        <v>45245</v>
      </c>
      <c r="BR237" s="189">
        <f t="shared" si="1329"/>
        <v>26464</v>
      </c>
      <c r="BS237" s="189">
        <f t="shared" si="1329"/>
        <v>86300</v>
      </c>
      <c r="BT237" s="189">
        <f t="shared" si="1329"/>
        <v>131545</v>
      </c>
      <c r="BU237" s="189">
        <f t="shared" si="1329"/>
        <v>158009</v>
      </c>
      <c r="BV237" s="189">
        <f t="shared" si="1329"/>
        <v>37218</v>
      </c>
      <c r="BW237" s="189">
        <f t="shared" si="1329"/>
        <v>37102</v>
      </c>
      <c r="BX237" s="189">
        <f t="shared" si="1329"/>
        <v>41373</v>
      </c>
      <c r="BY237" s="189">
        <f t="shared" si="1329"/>
        <v>46035</v>
      </c>
      <c r="BZ237" s="189">
        <f t="shared" si="1329"/>
        <v>74320</v>
      </c>
      <c r="CA237" s="189">
        <f t="shared" si="1329"/>
        <v>115693</v>
      </c>
      <c r="CB237" s="189">
        <f t="shared" si="1329"/>
        <v>161728</v>
      </c>
      <c r="CC237" s="189">
        <f t="shared" si="1329"/>
        <v>39582</v>
      </c>
      <c r="CD237" s="189">
        <f t="shared" si="1329"/>
        <v>42801</v>
      </c>
      <c r="CE237" s="189">
        <f t="shared" si="1329"/>
        <v>46827</v>
      </c>
      <c r="CF237" s="189">
        <f t="shared" si="1329"/>
        <v>38035</v>
      </c>
      <c r="CG237" s="189">
        <f t="shared" si="1329"/>
        <v>82383</v>
      </c>
      <c r="CH237" s="189">
        <f t="shared" si="1329"/>
        <v>129210</v>
      </c>
      <c r="CI237" s="189">
        <f t="shared" si="1329"/>
        <v>167245</v>
      </c>
      <c r="CJ237" s="189">
        <v>43153</v>
      </c>
      <c r="CK237" s="189">
        <f t="shared" ref="CK237:CO237" si="1330">-CK168</f>
        <v>72626</v>
      </c>
      <c r="CL237" s="189">
        <f t="shared" si="1330"/>
        <v>0</v>
      </c>
      <c r="CM237" s="189">
        <f t="shared" si="1330"/>
        <v>0</v>
      </c>
      <c r="CN237" s="189">
        <f t="shared" si="1330"/>
        <v>115779</v>
      </c>
      <c r="CO237" s="189">
        <f t="shared" si="1330"/>
        <v>0</v>
      </c>
    </row>
    <row r="238" spans="1:93" s="92" customFormat="1" x14ac:dyDescent="0.25">
      <c r="A238" s="205" t="str">
        <f>Language!AA233</f>
        <v>(+) D&amp;A Reavaliação</v>
      </c>
      <c r="B238" s="191">
        <f t="shared" ref="B238:AE238" si="1331">-B170</f>
        <v>8115</v>
      </c>
      <c r="C238" s="191">
        <f t="shared" si="1331"/>
        <v>10261</v>
      </c>
      <c r="D238" s="191">
        <f t="shared" si="1331"/>
        <v>22377</v>
      </c>
      <c r="E238" s="192">
        <f t="shared" si="1331"/>
        <v>50385</v>
      </c>
      <c r="F238" s="191">
        <f t="shared" si="1331"/>
        <v>25285</v>
      </c>
      <c r="G238" s="191">
        <f t="shared" si="1331"/>
        <v>27098</v>
      </c>
      <c r="H238" s="191">
        <f t="shared" si="1331"/>
        <v>20736</v>
      </c>
      <c r="I238" s="192">
        <f t="shared" si="1331"/>
        <v>31239</v>
      </c>
      <c r="J238" s="191">
        <f t="shared" si="1331"/>
        <v>25087</v>
      </c>
      <c r="K238" s="191">
        <f t="shared" si="1331"/>
        <v>25367</v>
      </c>
      <c r="L238" s="191">
        <f t="shared" si="1331"/>
        <v>25185</v>
      </c>
      <c r="M238" s="192">
        <f t="shared" si="1331"/>
        <v>24603</v>
      </c>
      <c r="N238" s="191">
        <f t="shared" si="1331"/>
        <v>26514</v>
      </c>
      <c r="O238" s="191">
        <f t="shared" si="1331"/>
        <v>21261</v>
      </c>
      <c r="P238" s="191">
        <f t="shared" si="1331"/>
        <v>22551</v>
      </c>
      <c r="Q238" s="191">
        <f t="shared" si="1331"/>
        <v>16632</v>
      </c>
      <c r="R238" s="193">
        <f t="shared" si="1331"/>
        <v>22715</v>
      </c>
      <c r="S238" s="191">
        <f t="shared" si="1331"/>
        <v>21040</v>
      </c>
      <c r="T238" s="191">
        <f t="shared" si="1331"/>
        <v>21736</v>
      </c>
      <c r="U238" s="191">
        <f t="shared" si="1331"/>
        <v>18665</v>
      </c>
      <c r="V238" s="191">
        <f t="shared" si="1331"/>
        <v>43755</v>
      </c>
      <c r="W238" s="191">
        <f t="shared" si="1331"/>
        <v>65491</v>
      </c>
      <c r="X238" s="191">
        <f t="shared" si="1331"/>
        <v>84156</v>
      </c>
      <c r="Y238" s="193">
        <f t="shared" si="1331"/>
        <v>20183</v>
      </c>
      <c r="Z238" s="191">
        <f t="shared" si="1331"/>
        <v>18937</v>
      </c>
      <c r="AA238" s="191">
        <f t="shared" si="1331"/>
        <v>19224</v>
      </c>
      <c r="AB238" s="191">
        <f t="shared" si="1331"/>
        <v>19374</v>
      </c>
      <c r="AC238" s="191">
        <f t="shared" si="1331"/>
        <v>39120</v>
      </c>
      <c r="AD238" s="191">
        <f t="shared" si="1331"/>
        <v>58344</v>
      </c>
      <c r="AE238" s="191">
        <f t="shared" si="1331"/>
        <v>77718</v>
      </c>
      <c r="AF238" s="193">
        <v>24631</v>
      </c>
      <c r="AG238" s="191">
        <v>17069</v>
      </c>
      <c r="AH238" s="191">
        <v>16155</v>
      </c>
      <c r="AI238" s="191">
        <v>7116</v>
      </c>
      <c r="AJ238" s="191">
        <v>41700</v>
      </c>
      <c r="AK238" s="191">
        <v>57855</v>
      </c>
      <c r="AL238" s="191">
        <v>64971</v>
      </c>
      <c r="AM238" s="193">
        <f>-AM170</f>
        <v>6976</v>
      </c>
      <c r="AN238" s="191">
        <f t="shared" si="1263"/>
        <v>6944</v>
      </c>
      <c r="AO238" s="191"/>
      <c r="AP238" s="191">
        <f t="shared" si="1305"/>
        <v>8332</v>
      </c>
      <c r="AQ238" s="191">
        <f t="shared" ref="AQ238:CI238" si="1332">-AQ170</f>
        <v>13920</v>
      </c>
      <c r="AR238" s="191">
        <f t="shared" si="1332"/>
        <v>21945</v>
      </c>
      <c r="AS238" s="191">
        <f t="shared" si="1332"/>
        <v>30277</v>
      </c>
      <c r="AT238" s="193">
        <f t="shared" si="1332"/>
        <v>8014</v>
      </c>
      <c r="AU238" s="193">
        <f t="shared" si="1332"/>
        <v>8471</v>
      </c>
      <c r="AV238" s="193">
        <f t="shared" si="1332"/>
        <v>8370</v>
      </c>
      <c r="AW238" s="193">
        <f t="shared" si="1332"/>
        <v>9049</v>
      </c>
      <c r="AX238" s="193">
        <f t="shared" si="1332"/>
        <v>16485</v>
      </c>
      <c r="AY238" s="193">
        <f t="shared" si="1332"/>
        <v>24855</v>
      </c>
      <c r="AZ238" s="193">
        <f t="shared" si="1332"/>
        <v>33904</v>
      </c>
      <c r="BA238" s="193">
        <f t="shared" si="1332"/>
        <v>5116</v>
      </c>
      <c r="BB238" s="193">
        <f t="shared" si="1332"/>
        <v>3912</v>
      </c>
      <c r="BC238" s="193">
        <f t="shared" si="1332"/>
        <v>5782</v>
      </c>
      <c r="BD238" s="193">
        <f t="shared" si="1332"/>
        <v>6558</v>
      </c>
      <c r="BE238" s="193">
        <f t="shared" si="1332"/>
        <v>9028</v>
      </c>
      <c r="BF238" s="193">
        <f t="shared" si="1332"/>
        <v>14810</v>
      </c>
      <c r="BG238" s="193">
        <f t="shared" si="1332"/>
        <v>21368</v>
      </c>
      <c r="BH238" s="193">
        <f t="shared" si="1332"/>
        <v>4710</v>
      </c>
      <c r="BI238" s="193">
        <f t="shared" si="1332"/>
        <v>245</v>
      </c>
      <c r="BJ238" s="193">
        <f t="shared" si="1332"/>
        <v>246</v>
      </c>
      <c r="BK238" s="193">
        <f t="shared" si="1332"/>
        <v>554</v>
      </c>
      <c r="BL238" s="193">
        <f t="shared" si="1332"/>
        <v>4955</v>
      </c>
      <c r="BM238" s="193">
        <f t="shared" si="1332"/>
        <v>5201</v>
      </c>
      <c r="BN238" s="193">
        <f t="shared" si="1332"/>
        <v>5755</v>
      </c>
      <c r="BO238" s="193">
        <f t="shared" si="1332"/>
        <v>515</v>
      </c>
      <c r="BP238" s="193">
        <f t="shared" si="1332"/>
        <v>-9</v>
      </c>
      <c r="BQ238" s="193">
        <f t="shared" si="1332"/>
        <v>3266</v>
      </c>
      <c r="BR238" s="193">
        <f t="shared" si="1332"/>
        <v>-313</v>
      </c>
      <c r="BS238" s="193">
        <f t="shared" si="1332"/>
        <v>506</v>
      </c>
      <c r="BT238" s="193">
        <f t="shared" si="1332"/>
        <v>3772</v>
      </c>
      <c r="BU238" s="193">
        <f t="shared" si="1332"/>
        <v>3459</v>
      </c>
      <c r="BV238" s="193">
        <f t="shared" si="1332"/>
        <v>262</v>
      </c>
      <c r="BW238" s="193">
        <f t="shared" si="1332"/>
        <v>262</v>
      </c>
      <c r="BX238" s="193">
        <f t="shared" si="1332"/>
        <v>262</v>
      </c>
      <c r="BY238" s="193">
        <f t="shared" si="1332"/>
        <v>399</v>
      </c>
      <c r="BZ238" s="193">
        <f t="shared" si="1332"/>
        <v>524</v>
      </c>
      <c r="CA238" s="193">
        <f t="shared" si="1332"/>
        <v>786</v>
      </c>
      <c r="CB238" s="193">
        <f t="shared" si="1332"/>
        <v>1185</v>
      </c>
      <c r="CC238" s="193">
        <f t="shared" si="1332"/>
        <v>247</v>
      </c>
      <c r="CD238" s="193">
        <f t="shared" si="1332"/>
        <v>315</v>
      </c>
      <c r="CE238" s="193">
        <f t="shared" si="1332"/>
        <v>-561461</v>
      </c>
      <c r="CF238" s="193">
        <f t="shared" si="1332"/>
        <v>-672651</v>
      </c>
      <c r="CG238" s="193">
        <f t="shared" si="1332"/>
        <v>562</v>
      </c>
      <c r="CH238" s="193">
        <f t="shared" si="1332"/>
        <v>-560899</v>
      </c>
      <c r="CI238" s="193">
        <f t="shared" si="1332"/>
        <v>-1233550</v>
      </c>
      <c r="CJ238" s="193">
        <v>-1459986</v>
      </c>
      <c r="CK238" s="193">
        <f t="shared" ref="CK238:CO238" si="1333">-CK170</f>
        <v>1460499</v>
      </c>
      <c r="CL238" s="193">
        <f t="shared" si="1333"/>
        <v>0</v>
      </c>
      <c r="CM238" s="193">
        <f t="shared" si="1333"/>
        <v>0</v>
      </c>
      <c r="CN238" s="193">
        <f t="shared" si="1333"/>
        <v>513</v>
      </c>
      <c r="CO238" s="193">
        <f t="shared" si="1333"/>
        <v>0</v>
      </c>
    </row>
    <row r="240" spans="1:93" hidden="1" x14ac:dyDescent="0.25"/>
    <row r="241" spans="1:93" hidden="1" x14ac:dyDescent="0.25"/>
    <row r="242" spans="1:93" s="210" customFormat="1" hidden="1" x14ac:dyDescent="0.25">
      <c r="A242" s="206" t="str">
        <f>Language!AA237</f>
        <v>ROAE</v>
      </c>
      <c r="B242" s="207" t="s">
        <v>116</v>
      </c>
      <c r="C242" s="207" t="s">
        <v>116</v>
      </c>
      <c r="D242" s="207" t="s">
        <v>116</v>
      </c>
      <c r="E242" s="208" t="s">
        <v>116</v>
      </c>
      <c r="F242" s="207">
        <f t="shared" ref="F242:U242" si="1334">SUM(F$217,E$217,D$217,C$217)/AVERAGE(F$200,B$200)</f>
        <v>0.14581159667686552</v>
      </c>
      <c r="G242" s="207">
        <f t="shared" si="1334"/>
        <v>0.13134536563780838</v>
      </c>
      <c r="H242" s="207">
        <f t="shared" si="1334"/>
        <v>0.15016466822654825</v>
      </c>
      <c r="I242" s="208">
        <f t="shared" si="1334"/>
        <v>8.5621778307201274E-2</v>
      </c>
      <c r="J242" s="207">
        <f t="shared" si="1334"/>
        <v>7.9985230243282607E-2</v>
      </c>
      <c r="K242" s="207">
        <f t="shared" si="1334"/>
        <v>5.7192998679317812E-2</v>
      </c>
      <c r="L242" s="207">
        <f t="shared" si="1334"/>
        <v>5.8914804210190248E-2</v>
      </c>
      <c r="M242" s="208">
        <f t="shared" si="1334"/>
        <v>-3.5014280104143029E-2</v>
      </c>
      <c r="N242" s="207">
        <f t="shared" si="1334"/>
        <v>6.8510190749198882E-2</v>
      </c>
      <c r="O242" s="207">
        <f t="shared" si="1334"/>
        <v>5.7161552287696475E-2</v>
      </c>
      <c r="P242" s="207">
        <f t="shared" si="1334"/>
        <v>5.9599135440402073E-2</v>
      </c>
      <c r="Q242" s="207">
        <f t="shared" si="1334"/>
        <v>0.10984700237312599</v>
      </c>
      <c r="R242" s="209">
        <f t="shared" si="1334"/>
        <v>3.4903273818488359E-2</v>
      </c>
      <c r="S242" s="207">
        <f t="shared" si="1334"/>
        <v>0.64432267333998727</v>
      </c>
      <c r="T242" s="207">
        <f t="shared" si="1334"/>
        <v>0.48763188077899022</v>
      </c>
      <c r="U242" s="207">
        <f t="shared" si="1334"/>
        <v>0.79214650260739405</v>
      </c>
      <c r="V242" s="207">
        <f>SUM(V$217,U$217,T$217)/AVERAGE(V$200,O$200)</f>
        <v>0.22989201786828367</v>
      </c>
      <c r="W242" s="207">
        <f>SUM(W$217,U$217)/AVERAGE(W$200,P$200)</f>
        <v>0.17857128828765131</v>
      </c>
      <c r="X242" s="207">
        <f>X$217/AVERAGE(X$200,Q$200)</f>
        <v>0.21052138039936627</v>
      </c>
      <c r="Y242" s="209">
        <f>SUM(Y$217,U$217,T$217,S$217)/AVERAGE(Y$200,R$200)</f>
        <v>0.6369590446593435</v>
      </c>
      <c r="Z242" s="207">
        <f>SUM(Z$217,Y$217,U$217,T$217)/AVERAGE(Z$200,S$200)</f>
        <v>0.22901086966876566</v>
      </c>
      <c r="AA242" s="207">
        <f>SUM(AA$217,Z$217,Y$217,X$217)/AVERAGE(AA$200,W$200)</f>
        <v>0.11360138906736288</v>
      </c>
      <c r="AB242" s="207">
        <f>SUM(AB$217,AA$217,Z$217,Y$217)/AVERAGE(AB$200,X$200)</f>
        <v>-0.35428684933680127</v>
      </c>
      <c r="AC242" s="207">
        <f>SUM(AC$217,Z$217,Y$217)/AVERAGE(AC$200,V$200)</f>
        <v>-0.22408569985996132</v>
      </c>
      <c r="AD242" s="207">
        <f>SUM(AD$217,AA$217,Z$217)/AVERAGE(AD$200,W$200)</f>
        <v>-0.21194309587761664</v>
      </c>
      <c r="AE242" s="207">
        <f>AE$217/AVERAGE(AE$200,X$200)</f>
        <v>-0.35478859351047437</v>
      </c>
      <c r="AF242" s="209">
        <f>AF$217/AVERAGE(AF$200,Y$200)</f>
        <v>-0.12428010421282494</v>
      </c>
      <c r="AG242" s="207">
        <f>SUM(AG$217,AF$217,AB$217,AA$217)/AVERAGE(AG$200,Z$200)</f>
        <v>-1.0897436894714325</v>
      </c>
      <c r="AH242" s="207">
        <f>SUM(AH$217,AG$217,AC$217,AB$217)/AVERAGE(AH$200,AA$200)</f>
        <v>-1.8986154918965366</v>
      </c>
      <c r="AI242" s="207">
        <f>SUM(AI$217,AH$217,AG$217,AF$217)/AVERAGE(AI$200,AE$200)</f>
        <v>5.4604269188201507E-2</v>
      </c>
      <c r="AJ242" s="207">
        <f>SUM(AJ$217,AE$217,AD$217)/AVERAGE(AJ$200,AA$200)</f>
        <v>-1.3282829352280967</v>
      </c>
      <c r="AK242" s="207">
        <f>SUM(AK$217,AF$217,AE$217)/AVERAGE(AK$200,AB$200)</f>
        <v>-2.9921985739444183</v>
      </c>
      <c r="AL242" s="207">
        <f>SUM(AL$217,AG$217,AF$217)/AVERAGE(AL$200,AC$200)</f>
        <v>-0.26900640747433457</v>
      </c>
      <c r="AM242" s="209"/>
      <c r="AN242" s="207"/>
      <c r="AO242" s="207"/>
      <c r="AP242" s="207"/>
      <c r="AQ242" s="207"/>
      <c r="AR242" s="207"/>
      <c r="AS242" s="207"/>
      <c r="AT242" s="209"/>
      <c r="AU242" s="209"/>
      <c r="AV242" s="209"/>
      <c r="AW242" s="209"/>
      <c r="AX242" s="209"/>
      <c r="AY242" s="209"/>
      <c r="AZ242" s="209"/>
      <c r="BA242" s="209"/>
      <c r="BB242" s="209"/>
      <c r="BC242" s="209"/>
      <c r="BD242" s="209"/>
      <c r="BE242" s="209"/>
      <c r="BF242" s="209"/>
      <c r="BG242" s="209"/>
      <c r="BH242" s="209"/>
      <c r="BI242" s="209"/>
      <c r="BJ242" s="209"/>
      <c r="BK242" s="209"/>
      <c r="BL242" s="209"/>
      <c r="BM242" s="209"/>
      <c r="BN242" s="209"/>
      <c r="BO242" s="209"/>
      <c r="BP242" s="209"/>
      <c r="BQ242" s="209"/>
      <c r="BR242" s="209"/>
      <c r="BS242" s="209"/>
      <c r="BT242" s="209"/>
      <c r="BU242" s="209"/>
      <c r="BV242" s="209"/>
      <c r="BW242" s="209"/>
      <c r="BX242" s="209"/>
      <c r="BY242" s="209"/>
      <c r="BZ242" s="209"/>
      <c r="CA242" s="209"/>
      <c r="CB242" s="209"/>
      <c r="CC242" s="209"/>
      <c r="CD242" s="209"/>
      <c r="CE242" s="209"/>
      <c r="CF242" s="209"/>
      <c r="CG242" s="209"/>
      <c r="CH242" s="209"/>
      <c r="CI242" s="209"/>
      <c r="CJ242" s="209"/>
      <c r="CK242" s="209"/>
      <c r="CL242" s="209"/>
      <c r="CM242" s="209"/>
      <c r="CN242" s="209"/>
      <c r="CO242" s="209"/>
    </row>
    <row r="243" spans="1:93" s="210" customFormat="1" hidden="1" x14ac:dyDescent="0.25">
      <c r="A243" s="211" t="str">
        <f>Language!AA238</f>
        <v>ROIC</v>
      </c>
      <c r="B243" s="212" t="s">
        <v>116</v>
      </c>
      <c r="C243" s="212" t="s">
        <v>116</v>
      </c>
      <c r="D243" s="212" t="s">
        <v>116</v>
      </c>
      <c r="E243" s="213" t="s">
        <v>116</v>
      </c>
      <c r="F243" s="212" t="e">
        <f t="shared" ref="F243:U243" si="1335">SUM(F$232,E$232,D$232,C$232)/AVERAGE((F$200+F$177),(B$200+B$177))</f>
        <v>#REF!</v>
      </c>
      <c r="G243" s="212" t="e">
        <f t="shared" si="1335"/>
        <v>#REF!</v>
      </c>
      <c r="H243" s="212" t="e">
        <f t="shared" si="1335"/>
        <v>#REF!</v>
      </c>
      <c r="I243" s="213" t="e">
        <f t="shared" si="1335"/>
        <v>#REF!</v>
      </c>
      <c r="J243" s="212" t="e">
        <f t="shared" si="1335"/>
        <v>#REF!</v>
      </c>
      <c r="K243" s="212" t="e">
        <f t="shared" si="1335"/>
        <v>#REF!</v>
      </c>
      <c r="L243" s="212" t="e">
        <f t="shared" si="1335"/>
        <v>#REF!</v>
      </c>
      <c r="M243" s="213" t="e">
        <f t="shared" si="1335"/>
        <v>#REF!</v>
      </c>
      <c r="N243" s="212" t="e">
        <f t="shared" si="1335"/>
        <v>#REF!</v>
      </c>
      <c r="O243" s="212" t="e">
        <f t="shared" si="1335"/>
        <v>#REF!</v>
      </c>
      <c r="P243" s="212" t="e">
        <f t="shared" si="1335"/>
        <v>#REF!</v>
      </c>
      <c r="Q243" s="212" t="e">
        <f t="shared" si="1335"/>
        <v>#REF!</v>
      </c>
      <c r="R243" s="214" t="e">
        <f t="shared" si="1335"/>
        <v>#REF!</v>
      </c>
      <c r="S243" s="212" t="e">
        <f t="shared" si="1335"/>
        <v>#REF!</v>
      </c>
      <c r="T243" s="212" t="e">
        <f t="shared" si="1335"/>
        <v>#REF!</v>
      </c>
      <c r="U243" s="212" t="e">
        <f t="shared" si="1335"/>
        <v>#REF!</v>
      </c>
      <c r="V243" s="212" t="e">
        <f>SUM(V$232,U$232,T$232)/AVERAGE((V$200+V$177),(O$200+R$177))</f>
        <v>#REF!</v>
      </c>
      <c r="W243" s="212" t="e">
        <f>SUM(W$232,U$232)/AVERAGE((W$200+W$177),(P$200+Q$177))</f>
        <v>#REF!</v>
      </c>
      <c r="X243" s="212" t="e">
        <f>X$232/AVERAGE((X$200+X$177),(Q$200+Q$177))</f>
        <v>#REF!</v>
      </c>
      <c r="Y243" s="214" t="e">
        <f>SUM(Y$232,U$232,T$232,S$232)/AVERAGE((Y$200+Y$177),(R$200+R$177))</f>
        <v>#REF!</v>
      </c>
      <c r="Z243" s="212" t="e">
        <f>SUM(Z$232,Y$232,U$232,T$232)/AVERAGE((Z$200+Z$177),(S$200+V$177))</f>
        <v>#REF!</v>
      </c>
      <c r="AA243" s="212" t="e">
        <f>SUM(AA$232,Z$232,Y$232,X$232)/AVERAGE((AA$200+AA$177),(W$200+W$177))</f>
        <v>#REF!</v>
      </c>
      <c r="AB243" s="212" t="e">
        <f>SUM(AB$232,AA$232,Z$232,Y$232)/AVERAGE((AB$200+AB$177),(X$200+X$177))</f>
        <v>#REF!</v>
      </c>
      <c r="AC243" s="212" t="e">
        <f>SUM(AC$232,Y$232,Z$232)/AVERAGE((AC$200+AC$177),(V$200+V$177))</f>
        <v>#REF!</v>
      </c>
      <c r="AD243" s="212" t="e">
        <f>SUM(AD$232,Z$232,AA$232)/AVERAGE((AD$200+AD$177),(W$200+W$177))</f>
        <v>#REF!</v>
      </c>
      <c r="AE243" s="212" t="e">
        <f>AE$232/AVERAGE((AE$200+AE$177),(X$200+X$177))</f>
        <v>#REF!</v>
      </c>
      <c r="AF243" s="214" t="e">
        <f>AF$232/AVERAGE((AF$200+AF$177),(Y$200+Y$177))</f>
        <v>#REF!</v>
      </c>
      <c r="AG243" s="212" t="e">
        <f>SUM(AG$232,AF$232,AB$232,AA$232)/AVERAGE((AG$200+AG$177),(Z$200+AC$177))</f>
        <v>#REF!</v>
      </c>
      <c r="AH243" s="212" t="e">
        <f>SUM(AH$232,AG$232,AC$232,AB$232)/AVERAGE((AH$200+AH$177),(AA$200+AD$177))</f>
        <v>#REF!</v>
      </c>
      <c r="AI243" s="212" t="e">
        <f>SUM(AI$232,AH$232,AG$232,AF$232)/AVERAGE((AI$200+AI$177),(AE$200+AE$177))</f>
        <v>#REF!</v>
      </c>
      <c r="AJ243" s="212" t="e">
        <f>SUM(AJ$232,AD$232,AE$232)/AVERAGE((AJ$200+AJ$177),(AA$200+AA$177))</f>
        <v>#REF!</v>
      </c>
      <c r="AK243" s="212" t="e">
        <f>SUM(AK$232,AE$232,AF$232)/AVERAGE((AK$200+AK$177),(AB$200+AB$177))</f>
        <v>#REF!</v>
      </c>
      <c r="AL243" s="212" t="e">
        <f>SUM(AL$232,AF$232,AG$232)/AVERAGE((AL$200+AL$177),(AC$200+AC$177))</f>
        <v>#REF!</v>
      </c>
      <c r="AM243" s="214"/>
      <c r="AN243" s="212"/>
      <c r="AO243" s="212"/>
      <c r="AP243" s="212"/>
      <c r="AQ243" s="212"/>
      <c r="AR243" s="212"/>
      <c r="AS243" s="212"/>
      <c r="AT243" s="214"/>
      <c r="AU243" s="214"/>
      <c r="AV243" s="214"/>
      <c r="AW243" s="214"/>
      <c r="AX243" s="214"/>
      <c r="AY243" s="214"/>
      <c r="AZ243" s="214"/>
      <c r="BA243" s="214"/>
      <c r="BB243" s="214"/>
      <c r="BC243" s="214"/>
      <c r="BD243" s="214"/>
      <c r="BE243" s="214"/>
      <c r="BF243" s="214"/>
      <c r="BG243" s="214"/>
      <c r="BH243" s="214"/>
      <c r="BI243" s="214"/>
      <c r="BJ243" s="214"/>
      <c r="BK243" s="214"/>
      <c r="BL243" s="214"/>
      <c r="BM243" s="214"/>
      <c r="BN243" s="214"/>
      <c r="BO243" s="214"/>
      <c r="BP243" s="214"/>
      <c r="BQ243" s="214"/>
      <c r="BR243" s="214"/>
      <c r="BS243" s="214"/>
      <c r="BT243" s="214"/>
      <c r="BU243" s="214"/>
      <c r="BV243" s="214"/>
      <c r="BW243" s="214"/>
      <c r="BX243" s="214"/>
      <c r="BY243" s="214"/>
      <c r="BZ243" s="214"/>
      <c r="CA243" s="214"/>
      <c r="CB243" s="214"/>
      <c r="CC243" s="214"/>
      <c r="CD243" s="214"/>
      <c r="CE243" s="214"/>
      <c r="CF243" s="214"/>
      <c r="CG243" s="214"/>
      <c r="CH243" s="214"/>
      <c r="CI243" s="214"/>
      <c r="CJ243" s="214"/>
      <c r="CK243" s="214"/>
      <c r="CL243" s="214"/>
      <c r="CM243" s="214"/>
      <c r="CN243" s="214"/>
      <c r="CO243" s="214"/>
    </row>
    <row r="244" spans="1:93" s="210" customFormat="1" hidden="1" x14ac:dyDescent="0.25">
      <c r="A244" s="211" t="str">
        <f>Language!AA239</f>
        <v>ROAA</v>
      </c>
      <c r="B244" s="212" t="s">
        <v>116</v>
      </c>
      <c r="C244" s="212" t="s">
        <v>116</v>
      </c>
      <c r="D244" s="212" t="s">
        <v>116</v>
      </c>
      <c r="E244" s="213" t="s">
        <v>116</v>
      </c>
      <c r="F244" s="212">
        <f t="shared" ref="F244:L244" si="1336">SUM(F$121,E$121,D$121,C$121)/AVERAGE(F$6,B$6)</f>
        <v>8.9563325067251124E-3</v>
      </c>
      <c r="G244" s="212">
        <f t="shared" si="1336"/>
        <v>5.4214440726583673E-3</v>
      </c>
      <c r="H244" s="212">
        <f t="shared" si="1336"/>
        <v>8.3373485055426196E-3</v>
      </c>
      <c r="I244" s="213">
        <f t="shared" si="1336"/>
        <v>2.1799859095604445E-3</v>
      </c>
      <c r="J244" s="212">
        <f t="shared" si="1336"/>
        <v>2.0792616159332707E-3</v>
      </c>
      <c r="K244" s="212">
        <f t="shared" si="1336"/>
        <v>-6.7889319352519291E-4</v>
      </c>
      <c r="L244" s="212">
        <f t="shared" si="1336"/>
        <v>1.076543226570785E-3</v>
      </c>
      <c r="M244" s="213">
        <f t="shared" ref="M244" si="1337">SUM(M$121,L$121,K$121,J$121)/AVERAGE(M$6,I$6)</f>
        <v>-1.7879687821878796E-2</v>
      </c>
      <c r="N244" s="212">
        <f t="shared" ref="N244" si="1338">SUM(N$121,M$121,L$121,K$121)/AVERAGE(N$6,J$6)</f>
        <v>8.335129218818127E-3</v>
      </c>
      <c r="O244" s="212">
        <f t="shared" ref="O244" si="1339">SUM(O$121,N$121,M$121,L$121)/AVERAGE(O$6,K$6)</f>
        <v>5.9806189516287194E-3</v>
      </c>
      <c r="P244" s="212">
        <f t="shared" ref="P244" si="1340">SUM(P$121,O$121,N$121,M$121)/AVERAGE(P$6,L$6)</f>
        <v>4.8633340313294637E-3</v>
      </c>
      <c r="Q244" s="212">
        <f t="shared" ref="Q244" si="1341">SUM(Q$121,P$121,O$121,N$121)/AVERAGE(Q$6,M$6)</f>
        <v>-6.2394264421282812E-2</v>
      </c>
      <c r="R244" s="214">
        <f t="shared" ref="R244:U244" si="1342">SUM(R$121,Q$121,P$121,O$121)/AVERAGE(R$6,N$6)</f>
        <v>-6.7743319000737726E-2</v>
      </c>
      <c r="S244" s="212">
        <f t="shared" si="1342"/>
        <v>-0.15253724085560375</v>
      </c>
      <c r="T244" s="212">
        <f t="shared" si="1342"/>
        <v>-6.9450513899886379E-2</v>
      </c>
      <c r="U244" s="212">
        <f t="shared" si="1342"/>
        <v>9.9873022885317558E-3</v>
      </c>
      <c r="V244" s="212">
        <f>SUM(V$121,U$121,T$121)/AVERAGE(V$6,O$6)</f>
        <v>1.969688746633267E-2</v>
      </c>
      <c r="W244" s="212">
        <f>SUM(W$121,U$121)/AVERAGE(W$6,P$6)</f>
        <v>8.8295031627117007E-3</v>
      </c>
      <c r="X244" s="212">
        <f>X$121/AVERAGE(X$6,Q$6)</f>
        <v>9.9873022885317558E-3</v>
      </c>
      <c r="Y244" s="214">
        <f>SUM(Y$121,U$121,T$121,S$121)/AVERAGE(Y$6,R$6)</f>
        <v>-6.3074545677345734E-3</v>
      </c>
      <c r="Z244" s="212">
        <f>SUM(Z$121,Y$121,U$121,T$121)/AVERAGE(Z$6,S$6)</f>
        <v>-5.7925007611871618E-3</v>
      </c>
      <c r="AA244" s="212">
        <f t="shared" ref="AA244:AB244" si="1343">SUM(AA$121,Z$121,Y$121,X$121)/AVERAGE(AA$6,W$6)</f>
        <v>-7.6985360029975117E-3</v>
      </c>
      <c r="AB244" s="212">
        <f t="shared" si="1343"/>
        <v>-4.8331574796884678E-2</v>
      </c>
      <c r="AC244" s="212">
        <f>SUM(AC$121,Y$121,Z$121)/AVERAGE(AC$6,V$6)</f>
        <v>-4.2177781271056647E-2</v>
      </c>
      <c r="AD244" s="212">
        <f>SUM(AD$121,Z$121,AA$121)/AVERAGE(AD$6,W$6)</f>
        <v>-3.0340587482408931E-2</v>
      </c>
      <c r="AE244" s="212">
        <f>AE$121/AVERAGE(AE$6,X$6)</f>
        <v>-4.8331574796884678E-2</v>
      </c>
      <c r="AF244" s="214">
        <f>AF$121/AVERAGE(AF$6,Y$6)</f>
        <v>-1.5296532812156746E-2</v>
      </c>
      <c r="AG244" s="212">
        <f>SUM(AG$121,AF$121,AB$121,AA$121)/AVERAGE(AG$6,Z$6)</f>
        <v>-0.12670033123497285</v>
      </c>
      <c r="AH244" s="212">
        <f>SUM(AH$121,AG$121,AC$121,AB$121)/AVERAGE(AH$6,AA$6)</f>
        <v>-0.17053446022065055</v>
      </c>
      <c r="AI244" s="212">
        <f t="shared" ref="AI244" si="1344">SUM(AI$121,AH$121,AG$121,AF$121)/AVERAGE(AI$6,AE$6)</f>
        <v>-1.2505357790139706E-3</v>
      </c>
      <c r="AJ244" s="212">
        <f>SUM(AJ$121,AD$121,AE$121)/AVERAGE(AJ$6,AA$6)</f>
        <v>-0.15635791444846023</v>
      </c>
      <c r="AK244" s="212">
        <f>SUM(AK$121,AE$121,AF$121)/AVERAGE(AK$6,AB$6)</f>
        <v>-0.21994336739277517</v>
      </c>
      <c r="AL244" s="212">
        <f>SUM(AL$121,AF$121,AG$121)/AVERAGE(AL$6,AC$6)</f>
        <v>-0.1066305896871164</v>
      </c>
      <c r="AM244" s="214"/>
      <c r="AN244" s="212"/>
      <c r="AO244" s="212"/>
      <c r="AP244" s="212"/>
      <c r="AQ244" s="212"/>
      <c r="AR244" s="212"/>
      <c r="AS244" s="212"/>
      <c r="AT244" s="214"/>
      <c r="AU244" s="214"/>
      <c r="AV244" s="214"/>
      <c r="AW244" s="214"/>
      <c r="AX244" s="214"/>
      <c r="AY244" s="214"/>
      <c r="AZ244" s="214"/>
      <c r="BA244" s="214"/>
      <c r="BB244" s="214"/>
      <c r="BC244" s="214"/>
      <c r="BD244" s="214"/>
      <c r="BE244" s="214"/>
      <c r="BF244" s="214"/>
      <c r="BG244" s="214"/>
      <c r="BH244" s="214"/>
      <c r="BI244" s="214"/>
      <c r="BJ244" s="214"/>
      <c r="BK244" s="214"/>
      <c r="BL244" s="214"/>
      <c r="BM244" s="214"/>
      <c r="BN244" s="214"/>
      <c r="BO244" s="214"/>
      <c r="BP244" s="214"/>
      <c r="BQ244" s="214"/>
      <c r="BR244" s="214"/>
      <c r="BS244" s="214"/>
      <c r="BT244" s="214"/>
      <c r="BU244" s="214"/>
      <c r="BV244" s="214"/>
      <c r="BW244" s="214"/>
      <c r="BX244" s="214"/>
      <c r="BY244" s="214"/>
      <c r="BZ244" s="214"/>
      <c r="CA244" s="214"/>
      <c r="CB244" s="214"/>
      <c r="CC244" s="214"/>
      <c r="CD244" s="214"/>
      <c r="CE244" s="214"/>
      <c r="CF244" s="214"/>
      <c r="CG244" s="214"/>
      <c r="CH244" s="214"/>
      <c r="CI244" s="214"/>
      <c r="CJ244" s="214"/>
      <c r="CK244" s="214"/>
      <c r="CL244" s="214"/>
      <c r="CM244" s="214"/>
      <c r="CN244" s="214"/>
      <c r="CO244" s="214"/>
    </row>
    <row r="245" spans="1:93" s="210" customFormat="1" hidden="1" x14ac:dyDescent="0.25">
      <c r="A245" s="206" t="str">
        <f>Language!AA240</f>
        <v>ROAE Ajustado (base dividendos)</v>
      </c>
      <c r="B245" s="207" t="s">
        <v>116</v>
      </c>
      <c r="C245" s="207" t="s">
        <v>116</v>
      </c>
      <c r="D245" s="207" t="s">
        <v>116</v>
      </c>
      <c r="E245" s="208" t="s">
        <v>116</v>
      </c>
      <c r="F245" s="207">
        <f t="shared" ref="F245:U245" si="1345">SUM(F$217,E$217,D$217,C$217)/AVERAGE(F$200,B$200)</f>
        <v>0.14581159667686552</v>
      </c>
      <c r="G245" s="207">
        <f t="shared" si="1345"/>
        <v>0.13134536563780838</v>
      </c>
      <c r="H245" s="207">
        <f t="shared" si="1345"/>
        <v>0.15016466822654825</v>
      </c>
      <c r="I245" s="208">
        <f t="shared" si="1345"/>
        <v>8.5621778307201274E-2</v>
      </c>
      <c r="J245" s="207">
        <f t="shared" si="1345"/>
        <v>7.9985230243282607E-2</v>
      </c>
      <c r="K245" s="207">
        <f t="shared" si="1345"/>
        <v>5.7192998679317812E-2</v>
      </c>
      <c r="L245" s="207">
        <f t="shared" si="1345"/>
        <v>5.8914804210190248E-2</v>
      </c>
      <c r="M245" s="208">
        <f t="shared" si="1345"/>
        <v>-3.5014280104143029E-2</v>
      </c>
      <c r="N245" s="207">
        <f t="shared" si="1345"/>
        <v>6.8510190749198882E-2</v>
      </c>
      <c r="O245" s="207">
        <f t="shared" si="1345"/>
        <v>5.7161552287696475E-2</v>
      </c>
      <c r="P245" s="207">
        <f t="shared" si="1345"/>
        <v>5.9599135440402073E-2</v>
      </c>
      <c r="Q245" s="207">
        <f t="shared" si="1345"/>
        <v>0.10984700237312599</v>
      </c>
      <c r="R245" s="209">
        <f t="shared" si="1345"/>
        <v>3.4903273818488359E-2</v>
      </c>
      <c r="S245" s="207">
        <f t="shared" si="1345"/>
        <v>0.64432267333998727</v>
      </c>
      <c r="T245" s="207">
        <f t="shared" si="1345"/>
        <v>0.48763188077899022</v>
      </c>
      <c r="U245" s="207">
        <f t="shared" si="1345"/>
        <v>0.79214650260739405</v>
      </c>
      <c r="V245" s="207">
        <f>SUM(V$217,U$217,T$217)/AVERAGE(V$200,O$200)</f>
        <v>0.22989201786828367</v>
      </c>
      <c r="W245" s="207">
        <f>SUM(W$217,U$217)/AVERAGE(W$200,P$200)</f>
        <v>0.17857128828765131</v>
      </c>
      <c r="X245" s="207">
        <f>X$217/AVERAGE(X$200,Q$200)</f>
        <v>0.21052138039936627</v>
      </c>
      <c r="Y245" s="209">
        <f>SUM(Y$217,U$217,T$217,S$217)/AVERAGE(Y$200,R$200)</f>
        <v>0.6369590446593435</v>
      </c>
      <c r="Z245" s="207">
        <f>SUM(Z$217,Y$217,U$217,T$217)/AVERAGE(Z$200,S$200)</f>
        <v>0.22901086966876566</v>
      </c>
      <c r="AA245" s="207">
        <f>SUM(AA$217,Z$217,Y$217,X$217)/AVERAGE(AA$200,W$200)</f>
        <v>0.11360138906736288</v>
      </c>
      <c r="AB245" s="207">
        <f>SUM(AB$217,AA$217,Z$217,Y$217)/AVERAGE(AB$200,X$200)</f>
        <v>-0.35428684933680127</v>
      </c>
      <c r="AC245" s="207">
        <f>SUM(AC$217,Y$217,Z$217)/AVERAGE(AC$200,V$200)</f>
        <v>-0.22408569985996132</v>
      </c>
      <c r="AD245" s="207">
        <f>SUM(AD$217,Z$217,AA$217)/AVERAGE(AD$200,W$200)</f>
        <v>-0.21194309587761664</v>
      </c>
      <c r="AE245" s="207">
        <f>SUM(AE$217,AA$217,AB$217)/AVERAGE(AE$200,X$200)</f>
        <v>-0.64839535377156199</v>
      </c>
      <c r="AF245" s="209">
        <f>SUM(AF$217,AB$217,AC$217)/AVERAGE(AF$200,Y$200)</f>
        <v>-0.44395024024842428</v>
      </c>
      <c r="AG245" s="207">
        <f>SUM(AG$217,AF$217,AB$217,AA$217)/AVERAGE(AG$200,Z$200)</f>
        <v>-1.0897436894714325</v>
      </c>
      <c r="AH245" s="207">
        <f>SUM(AH$217,AG$217,AC$217,AB$217)/AVERAGE(AH$200,AA$200)</f>
        <v>-1.8986154918965366</v>
      </c>
      <c r="AI245" s="207">
        <f>SUM(AI$217,AH$217,AG$217,AF$217)/AVERAGE(AI$200,AE$200)</f>
        <v>5.4604269188201507E-2</v>
      </c>
      <c r="AJ245" s="207">
        <f>SUM(AJ$217,AD$217,AE$217)/AVERAGE(AJ$200,AA$200)</f>
        <v>-1.3282829352280967</v>
      </c>
      <c r="AK245" s="207">
        <f>SUM(AK$217,AE$217,AF$217)/AVERAGE(AK$200,AB$200)</f>
        <v>-2.9921985739444183</v>
      </c>
      <c r="AL245" s="207">
        <f>SUM(AL$217,AF$217,AG$217)/AVERAGE(AL$200,AC$200)</f>
        <v>-0.26900640747433457</v>
      </c>
      <c r="AM245" s="209"/>
      <c r="AN245" s="207"/>
      <c r="AO245" s="207"/>
      <c r="AP245" s="207"/>
      <c r="AQ245" s="207"/>
      <c r="AR245" s="207"/>
      <c r="AS245" s="207"/>
      <c r="AT245" s="209"/>
      <c r="AU245" s="209"/>
      <c r="AV245" s="209"/>
      <c r="AW245" s="209"/>
      <c r="AX245" s="209"/>
      <c r="AY245" s="209"/>
      <c r="AZ245" s="209"/>
      <c r="BA245" s="209"/>
      <c r="BB245" s="209"/>
      <c r="BC245" s="209"/>
      <c r="BD245" s="209"/>
      <c r="BE245" s="209"/>
      <c r="BF245" s="209"/>
      <c r="BG245" s="209"/>
      <c r="BH245" s="209"/>
      <c r="BI245" s="209"/>
      <c r="BJ245" s="209"/>
      <c r="BK245" s="209"/>
      <c r="BL245" s="209"/>
      <c r="BM245" s="209"/>
      <c r="BN245" s="209"/>
      <c r="BO245" s="209"/>
      <c r="BP245" s="209"/>
      <c r="BQ245" s="209"/>
      <c r="BR245" s="209"/>
      <c r="BS245" s="209"/>
      <c r="BT245" s="209"/>
      <c r="BU245" s="209"/>
      <c r="BV245" s="209"/>
      <c r="BW245" s="209"/>
      <c r="BX245" s="209"/>
      <c r="BY245" s="209"/>
      <c r="BZ245" s="209"/>
      <c r="CA245" s="209"/>
      <c r="CB245" s="209"/>
      <c r="CC245" s="209"/>
      <c r="CD245" s="209"/>
      <c r="CE245" s="209"/>
      <c r="CF245" s="209"/>
      <c r="CG245" s="209"/>
      <c r="CH245" s="209"/>
      <c r="CI245" s="209"/>
      <c r="CJ245" s="209"/>
      <c r="CK245" s="209"/>
      <c r="CL245" s="209"/>
      <c r="CM245" s="209"/>
      <c r="CN245" s="209"/>
      <c r="CO245" s="209"/>
    </row>
    <row r="246" spans="1:93" s="210" customFormat="1" hidden="1" x14ac:dyDescent="0.25">
      <c r="A246" s="211" t="str">
        <f>Language!AA241</f>
        <v>ROAA Ajustado (base dividendos)</v>
      </c>
      <c r="B246" s="212" t="s">
        <v>116</v>
      </c>
      <c r="C246" s="212" t="s">
        <v>116</v>
      </c>
      <c r="D246" s="212" t="s">
        <v>116</v>
      </c>
      <c r="E246" s="213" t="s">
        <v>116</v>
      </c>
      <c r="F246" s="212">
        <f t="shared" ref="F246:U246" si="1346">SUM(F$217,E$217,D$217,C$217)/AVERAGE(F$6,B$6)</f>
        <v>2.9661661599311721E-2</v>
      </c>
      <c r="G246" s="212">
        <f t="shared" si="1346"/>
        <v>2.5386564183012297E-2</v>
      </c>
      <c r="H246" s="212">
        <f t="shared" si="1346"/>
        <v>2.7736379591669608E-2</v>
      </c>
      <c r="I246" s="213">
        <f t="shared" si="1346"/>
        <v>1.8716408684817464E-2</v>
      </c>
      <c r="J246" s="212">
        <f t="shared" si="1346"/>
        <v>1.7757853630724869E-2</v>
      </c>
      <c r="K246" s="212">
        <f t="shared" si="1346"/>
        <v>1.3004387877189898E-2</v>
      </c>
      <c r="L246" s="212">
        <f t="shared" si="1346"/>
        <v>1.3400755248516933E-2</v>
      </c>
      <c r="M246" s="213">
        <f t="shared" si="1346"/>
        <v>-8.0394289681988314E-3</v>
      </c>
      <c r="N246" s="212">
        <f t="shared" si="1346"/>
        <v>1.6207769350346891E-2</v>
      </c>
      <c r="O246" s="212">
        <f t="shared" si="1346"/>
        <v>1.368048571272565E-2</v>
      </c>
      <c r="P246" s="212">
        <f t="shared" si="1346"/>
        <v>1.2671979035389948E-2</v>
      </c>
      <c r="Q246" s="212">
        <f t="shared" si="1346"/>
        <v>1.8474619504108888E-2</v>
      </c>
      <c r="R246" s="214">
        <f t="shared" si="1346"/>
        <v>6.0206738806959145E-3</v>
      </c>
      <c r="S246" s="212">
        <f t="shared" si="1346"/>
        <v>0.14831477480447813</v>
      </c>
      <c r="T246" s="212">
        <f t="shared" si="1346"/>
        <v>6.4777475283365665E-2</v>
      </c>
      <c r="U246" s="212">
        <f t="shared" si="1346"/>
        <v>0.10096359037659401</v>
      </c>
      <c r="V246" s="212">
        <f>SUM(V$217,U$217,T$217)/AVERAGE(V$6,O$6)</f>
        <v>5.2918179462373274E-2</v>
      </c>
      <c r="W246" s="212">
        <f>SUM(W$217,U$217)/AVERAGE(W$6,P$6)</f>
        <v>2.3721577011932077E-2</v>
      </c>
      <c r="X246" s="212">
        <f>SUM(X$217,U$217,T$217,S$217)/AVERAGE(X$6,R$6)</f>
        <v>0.10697237426553488</v>
      </c>
      <c r="Y246" s="214">
        <f>SUM(Y$217,U$217,T$217,S$217)/AVERAGE(Y$6,R$6)</f>
        <v>7.9854155716706302E-2</v>
      </c>
      <c r="Z246" s="212">
        <f>SUM(Z$217,Y$217,U$217,T$217)/AVERAGE(Z$6,V$6)</f>
        <v>2.9351071728631245E-2</v>
      </c>
      <c r="AA246" s="212">
        <f>SUM(AA$217,Z$217,Y$217,X$217)/AVERAGE(AA$6,W$6)</f>
        <v>1.2279362093813161E-2</v>
      </c>
      <c r="AB246" s="212">
        <f>SUM(AB$217,AA$217,Z$217,Y$217)/AVERAGE(AB$6,X$6)</f>
        <v>-4.1667415665908869E-2</v>
      </c>
      <c r="AC246" s="212">
        <f>SUM(AC$217,Y$217,Z$217)/AVERAGE(AC$6,V$6)</f>
        <v>-2.8719839627975974E-2</v>
      </c>
      <c r="AD246" s="212">
        <f>SUM(AD$217,Z$217,AA$217)/AVERAGE(AD$6,W$6)</f>
        <v>-2.2909279885845228E-2</v>
      </c>
      <c r="AE246" s="212">
        <f>SUM(AE$217,AA$217,AB$217)/AVERAGE(AE$6,X$6)</f>
        <v>-7.6257300467170733E-2</v>
      </c>
      <c r="AF246" s="214">
        <f>SUM(AF$217,AB$217,AC$217)/AVERAGE(AF$6,Y$6)</f>
        <v>-4.8496541902446046E-2</v>
      </c>
      <c r="AG246" s="212">
        <f>SUM(AG$217,AF$217,AB$217,AA$217)/AVERAGE(AG$6,AC$6)</f>
        <v>-0.11979841061942059</v>
      </c>
      <c r="AH246" s="212">
        <f>SUM(AH$217,AG$217,AC$217,AB$217)/AVERAGE(AH$6,AD$6)</f>
        <v>-0.15854320951598541</v>
      </c>
      <c r="AI246" s="212">
        <f>SUM(AI$217,AH$217,AG$217,AF$217)/AVERAGE(AI$6,AE$6)</f>
        <v>9.2695305054126282E-3</v>
      </c>
      <c r="AJ246" s="212">
        <f>SUM(AJ$217,AD$217,AE$217)/AVERAGE(AJ$6,AA$6)</f>
        <v>-0.14102064189779503</v>
      </c>
      <c r="AK246" s="212">
        <f>SUM(AK$217,AE$217,AF$217)/AVERAGE(AK$6,AB$6)</f>
        <v>-0.20373006043912709</v>
      </c>
      <c r="AL246" s="212">
        <f>SUM(AL$217,AF$217,AG$217)/AVERAGE(AL$6,AC$6)</f>
        <v>-5.0838901621879574E-2</v>
      </c>
      <c r="AM246" s="214"/>
      <c r="AN246" s="212"/>
      <c r="AO246" s="212"/>
      <c r="AP246" s="212"/>
      <c r="AQ246" s="212"/>
      <c r="AR246" s="212"/>
      <c r="AS246" s="212"/>
      <c r="AT246" s="214"/>
      <c r="AU246" s="214"/>
      <c r="AV246" s="214"/>
      <c r="AW246" s="214"/>
      <c r="AX246" s="214"/>
      <c r="AY246" s="214"/>
      <c r="AZ246" s="214"/>
      <c r="BA246" s="214"/>
      <c r="BB246" s="214"/>
      <c r="BC246" s="214"/>
      <c r="BD246" s="214"/>
      <c r="BE246" s="214"/>
      <c r="BF246" s="214"/>
      <c r="BG246" s="214"/>
      <c r="BH246" s="214"/>
      <c r="BI246" s="214"/>
      <c r="BJ246" s="214"/>
      <c r="BK246" s="214"/>
      <c r="BL246" s="214"/>
      <c r="BM246" s="214"/>
      <c r="BN246" s="214"/>
      <c r="BO246" s="214"/>
      <c r="BP246" s="214"/>
      <c r="BQ246" s="214"/>
      <c r="BR246" s="214"/>
      <c r="BS246" s="214"/>
      <c r="BT246" s="214"/>
      <c r="BU246" s="214"/>
      <c r="BV246" s="214"/>
      <c r="BW246" s="214"/>
      <c r="BX246" s="214"/>
      <c r="BY246" s="214"/>
      <c r="BZ246" s="214"/>
      <c r="CA246" s="214"/>
      <c r="CB246" s="214"/>
      <c r="CC246" s="214"/>
      <c r="CD246" s="214"/>
      <c r="CE246" s="214"/>
      <c r="CF246" s="214"/>
      <c r="CG246" s="214"/>
      <c r="CH246" s="214"/>
      <c r="CI246" s="214"/>
      <c r="CJ246" s="214"/>
      <c r="CK246" s="214"/>
      <c r="CL246" s="214"/>
      <c r="CM246" s="214"/>
      <c r="CN246" s="214"/>
      <c r="CO246" s="214"/>
    </row>
    <row r="247" spans="1:93" s="219" customFormat="1" ht="13" x14ac:dyDescent="0.3">
      <c r="A247" s="215" t="str">
        <f>Language!AA242</f>
        <v>Margem Bruta</v>
      </c>
      <c r="B247" s="216">
        <f t="shared" ref="B247:AN247" si="1347">SUM(B96,B97)/B$196</f>
        <v>0.46206729515221523</v>
      </c>
      <c r="C247" s="216">
        <f t="shared" si="1347"/>
        <v>0.38814651884249607</v>
      </c>
      <c r="D247" s="216">
        <f t="shared" si="1347"/>
        <v>0.44013059463471776</v>
      </c>
      <c r="E247" s="217">
        <f t="shared" si="1347"/>
        <v>0.46440437229028747</v>
      </c>
      <c r="F247" s="216">
        <f t="shared" si="1347"/>
        <v>0.39588265007973217</v>
      </c>
      <c r="G247" s="216">
        <f t="shared" si="1347"/>
        <v>0.34089152145752372</v>
      </c>
      <c r="H247" s="216">
        <f t="shared" si="1347"/>
        <v>0.40870319230152968</v>
      </c>
      <c r="I247" s="217">
        <f t="shared" si="1347"/>
        <v>0.41060979969828298</v>
      </c>
      <c r="J247" s="216">
        <f t="shared" si="1347"/>
        <v>0.41795713220771435</v>
      </c>
      <c r="K247" s="216">
        <f t="shared" si="1347"/>
        <v>0.46257856529906999</v>
      </c>
      <c r="L247" s="216">
        <f t="shared" si="1347"/>
        <v>0.47016966287765866</v>
      </c>
      <c r="M247" s="217">
        <f t="shared" si="1347"/>
        <v>0.5234943600343015</v>
      </c>
      <c r="N247" s="216">
        <f t="shared" si="1347"/>
        <v>0.72742588338256209</v>
      </c>
      <c r="O247" s="216">
        <f t="shared" si="1347"/>
        <v>0.51835263854853197</v>
      </c>
      <c r="P247" s="216">
        <f t="shared" si="1347"/>
        <v>0.52699477266002559</v>
      </c>
      <c r="Q247" s="216">
        <f t="shared" si="1347"/>
        <v>0.46973766385344395</v>
      </c>
      <c r="R247" s="218">
        <f t="shared" si="1347"/>
        <v>0.64993453492478837</v>
      </c>
      <c r="S247" s="216">
        <f t="shared" si="1347"/>
        <v>0.45155324643194011</v>
      </c>
      <c r="T247" s="216">
        <f t="shared" si="1347"/>
        <v>0.46065671554223525</v>
      </c>
      <c r="U247" s="216">
        <f t="shared" si="1347"/>
        <v>0.45595974248745264</v>
      </c>
      <c r="V247" s="216">
        <f t="shared" si="1347"/>
        <v>0.57318847341961754</v>
      </c>
      <c r="W247" s="216">
        <f t="shared" si="1347"/>
        <v>0.53621151121207355</v>
      </c>
      <c r="X247" s="216">
        <f t="shared" si="1347"/>
        <v>0.5175284529998595</v>
      </c>
      <c r="Y247" s="218">
        <f t="shared" si="1347"/>
        <v>0.44281813303444684</v>
      </c>
      <c r="Z247" s="216">
        <f t="shared" si="1347"/>
        <v>0.41611176431503621</v>
      </c>
      <c r="AA247" s="216">
        <f t="shared" si="1347"/>
        <v>0.43571637000291802</v>
      </c>
      <c r="AB247" s="216">
        <f t="shared" si="1347"/>
        <v>0.48216978824872114</v>
      </c>
      <c r="AC247" s="216">
        <f t="shared" si="1347"/>
        <v>0.43005728483677275</v>
      </c>
      <c r="AD247" s="216">
        <f t="shared" si="1347"/>
        <v>0.43193533065568557</v>
      </c>
      <c r="AE247" s="216">
        <f t="shared" si="1347"/>
        <v>0.44528754669658677</v>
      </c>
      <c r="AF247" s="218">
        <f t="shared" si="1347"/>
        <v>0.3844176662428832</v>
      </c>
      <c r="AG247" s="216">
        <f t="shared" si="1347"/>
        <v>0.26268480848387377</v>
      </c>
      <c r="AH247" s="216">
        <f t="shared" si="1347"/>
        <v>0.60512247131958374</v>
      </c>
      <c r="AI247" s="216">
        <f t="shared" si="1347"/>
        <v>0.44623898096185488</v>
      </c>
      <c r="AJ247" s="216">
        <f t="shared" si="1347"/>
        <v>0.32521608495491161</v>
      </c>
      <c r="AK247" s="216">
        <f t="shared" si="1347"/>
        <v>0.40310320865477944</v>
      </c>
      <c r="AL247" s="216">
        <f t="shared" si="1347"/>
        <v>0.41300078667363382</v>
      </c>
      <c r="AM247" s="218">
        <f t="shared" si="1347"/>
        <v>0.42282542524619515</v>
      </c>
      <c r="AN247" s="218">
        <f t="shared" si="1347"/>
        <v>0.37404994147483417</v>
      </c>
      <c r="AO247" s="218"/>
      <c r="AP247" s="218">
        <f>SUM(AP96,AP97)/AP196</f>
        <v>0.24854181134937306</v>
      </c>
      <c r="AQ247" s="216">
        <f>SUM(AQ96,AQ97)/AQ$196</f>
        <v>0.39948277471758004</v>
      </c>
      <c r="AR247" s="216">
        <f>SUM(AR96,AR97)/AR$196</f>
        <v>0.3997456113515222</v>
      </c>
      <c r="AS247" s="216">
        <f t="shared" ref="AS247:CI247" si="1348">SUM(AS96,AS97)/AS196</f>
        <v>0.36503696893826776</v>
      </c>
      <c r="AT247" s="218">
        <f t="shared" si="1348"/>
        <v>0.14869336765814789</v>
      </c>
      <c r="AU247" s="218">
        <f t="shared" si="1348"/>
        <v>0.17547561069271325</v>
      </c>
      <c r="AV247" s="218">
        <f t="shared" si="1348"/>
        <v>0.23921464872826639</v>
      </c>
      <c r="AW247" s="218">
        <f t="shared" si="1348"/>
        <v>0.19131137287605546</v>
      </c>
      <c r="AX247" s="218">
        <f t="shared" si="1348"/>
        <v>0.16249412181006345</v>
      </c>
      <c r="AY247" s="218">
        <f t="shared" si="1348"/>
        <v>0.19094862117397562</v>
      </c>
      <c r="AZ247" s="218">
        <f t="shared" si="1348"/>
        <v>0.19105103558458894</v>
      </c>
      <c r="BA247" s="218">
        <f t="shared" si="1348"/>
        <v>0.24938363170313257</v>
      </c>
      <c r="BB247" s="218">
        <f t="shared" si="1348"/>
        <v>0.17033823821269597</v>
      </c>
      <c r="BC247" s="218">
        <f t="shared" si="1348"/>
        <v>0.11661084659956779</v>
      </c>
      <c r="BD247" s="218">
        <f t="shared" si="1348"/>
        <v>0.1408896447375397</v>
      </c>
      <c r="BE247" s="218">
        <f t="shared" si="1348"/>
        <v>0.21278076211940528</v>
      </c>
      <c r="BF247" s="218">
        <f t="shared" si="1348"/>
        <v>0.18037193769412557</v>
      </c>
      <c r="BG247" s="218">
        <f t="shared" si="1348"/>
        <v>0.17001245575211768</v>
      </c>
      <c r="BH247" s="218">
        <f t="shared" si="1348"/>
        <v>0.10967643600574838</v>
      </c>
      <c r="BI247" s="218">
        <f t="shared" si="1348"/>
        <v>6.7875919209396729E-2</v>
      </c>
      <c r="BJ247" s="218">
        <f t="shared" si="1348"/>
        <v>0.42081932950030243</v>
      </c>
      <c r="BK247" s="218">
        <f t="shared" si="1348"/>
        <v>0.17037194113405996</v>
      </c>
      <c r="BL247" s="218">
        <f t="shared" si="1348"/>
        <v>8.8296238304535229E-2</v>
      </c>
      <c r="BM247" s="218">
        <f t="shared" si="1348"/>
        <v>0.20708280686784486</v>
      </c>
      <c r="BN247" s="218">
        <f t="shared" si="1348"/>
        <v>0.19813211289218494</v>
      </c>
      <c r="BO247" s="218">
        <f t="shared" si="1348"/>
        <v>0.22068408860976432</v>
      </c>
      <c r="BP247" s="218">
        <f t="shared" si="1348"/>
        <v>0.65844807278339634</v>
      </c>
      <c r="BQ247" s="218">
        <f t="shared" si="1348"/>
        <v>-3.9951487479489192E-2</v>
      </c>
      <c r="BR247" s="218">
        <f t="shared" si="1348"/>
        <v>0.13566986755535704</v>
      </c>
      <c r="BS247" s="218">
        <f t="shared" si="1348"/>
        <v>0.54084268152674209</v>
      </c>
      <c r="BT247" s="218">
        <f t="shared" si="1348"/>
        <v>0.41713733337697129</v>
      </c>
      <c r="BU247" s="218">
        <f t="shared" si="1348"/>
        <v>0.35691893242776396</v>
      </c>
      <c r="BV247" s="218">
        <f t="shared" si="1348"/>
        <v>0.1087701406329675</v>
      </c>
      <c r="BW247" s="218">
        <f t="shared" si="1348"/>
        <v>0.13123877085596322</v>
      </c>
      <c r="BX247" s="218">
        <f t="shared" si="1348"/>
        <v>0.51164084797788512</v>
      </c>
      <c r="BY247" s="218">
        <f t="shared" si="1348"/>
        <v>0.37595139862690585</v>
      </c>
      <c r="BZ247" s="218">
        <f t="shared" si="1348"/>
        <v>0.11957108140346362</v>
      </c>
      <c r="CA247" s="218">
        <f t="shared" si="1348"/>
        <v>0.25893013803950093</v>
      </c>
      <c r="CB247" s="218">
        <f t="shared" si="1348"/>
        <v>0.29197952530950111</v>
      </c>
      <c r="CC247" s="218">
        <f t="shared" si="1348"/>
        <v>0.27525564713064715</v>
      </c>
      <c r="CD247" s="218">
        <f t="shared" si="1348"/>
        <v>0.33856778971140461</v>
      </c>
      <c r="CE247" s="218">
        <f t="shared" si="1348"/>
        <v>0.48485694312426764</v>
      </c>
      <c r="CF247" s="218">
        <f t="shared" si="1348"/>
        <v>0.45541868400280927</v>
      </c>
      <c r="CG247" s="218">
        <f t="shared" si="1348"/>
        <v>0.30711127417420936</v>
      </c>
      <c r="CH247" s="218">
        <f t="shared" si="1348"/>
        <v>0.38403322186580002</v>
      </c>
      <c r="CI247" s="218">
        <f t="shared" si="1348"/>
        <v>0.4024585975919347</v>
      </c>
      <c r="CJ247" s="218">
        <v>0.38311704512647604</v>
      </c>
      <c r="CK247" s="218">
        <f t="shared" ref="CK247:CO247" si="1349">SUM(CK96,CK97)/CK196</f>
        <v>0.25869676141309239</v>
      </c>
      <c r="CL247" s="218" t="e">
        <f t="shared" si="1349"/>
        <v>#DIV/0!</v>
      </c>
      <c r="CM247" s="218" t="e">
        <f t="shared" si="1349"/>
        <v>#DIV/0!</v>
      </c>
      <c r="CN247" s="218">
        <f t="shared" si="1349"/>
        <v>0.32250234416554102</v>
      </c>
      <c r="CO247" s="218" t="e">
        <f t="shared" si="1349"/>
        <v>#DIV/0!</v>
      </c>
    </row>
    <row r="248" spans="1:93" s="219" customFormat="1" ht="13" x14ac:dyDescent="0.3">
      <c r="A248" s="220" t="str">
        <f>Language!AA243</f>
        <v>Margem EBITDA</v>
      </c>
      <c r="B248" s="221">
        <f t="shared" ref="B248:AN248" si="1350">B122/B$196</f>
        <v>0.55886152202804584</v>
      </c>
      <c r="C248" s="221">
        <f t="shared" si="1350"/>
        <v>0.45511239383613894</v>
      </c>
      <c r="D248" s="221">
        <f t="shared" si="1350"/>
        <v>0.42553438257501075</v>
      </c>
      <c r="E248" s="222">
        <f t="shared" si="1350"/>
        <v>0.5810020907930612</v>
      </c>
      <c r="F248" s="221">
        <f t="shared" si="1350"/>
        <v>0.54440240484137759</v>
      </c>
      <c r="G248" s="221">
        <f t="shared" si="1350"/>
        <v>0.46341565333667628</v>
      </c>
      <c r="H248" s="221">
        <f t="shared" si="1350"/>
        <v>0.47649365215506273</v>
      </c>
      <c r="I248" s="222">
        <f t="shared" si="1350"/>
        <v>0.538944164915371</v>
      </c>
      <c r="J248" s="221">
        <f t="shared" si="1350"/>
        <v>0.54440866578031222</v>
      </c>
      <c r="K248" s="221">
        <f t="shared" si="1350"/>
        <v>0.47557208700571468</v>
      </c>
      <c r="L248" s="221">
        <f t="shared" si="1350"/>
        <v>0.51447414963341254</v>
      </c>
      <c r="M248" s="222">
        <f t="shared" si="1350"/>
        <v>0.56024273840673711</v>
      </c>
      <c r="N248" s="221">
        <f t="shared" si="1350"/>
        <v>0.77481019582102617</v>
      </c>
      <c r="O248" s="221" t="e">
        <f t="shared" si="1350"/>
        <v>#REF!</v>
      </c>
      <c r="P248" s="221" t="e">
        <f t="shared" si="1350"/>
        <v>#REF!</v>
      </c>
      <c r="Q248" s="221" t="e">
        <f t="shared" si="1350"/>
        <v>#REF!</v>
      </c>
      <c r="R248" s="223" t="e">
        <f t="shared" si="1350"/>
        <v>#REF!</v>
      </c>
      <c r="S248" s="221" t="e">
        <f t="shared" si="1350"/>
        <v>#REF!</v>
      </c>
      <c r="T248" s="221" t="e">
        <f t="shared" si="1350"/>
        <v>#REF!</v>
      </c>
      <c r="U248" s="221" t="e">
        <f t="shared" si="1350"/>
        <v>#REF!</v>
      </c>
      <c r="V248" s="221" t="e">
        <f t="shared" si="1350"/>
        <v>#REF!</v>
      </c>
      <c r="W248" s="221" t="e">
        <f t="shared" si="1350"/>
        <v>#REF!</v>
      </c>
      <c r="X248" s="221" t="e">
        <f t="shared" si="1350"/>
        <v>#REF!</v>
      </c>
      <c r="Y248" s="223" t="e">
        <f t="shared" si="1350"/>
        <v>#REF!</v>
      </c>
      <c r="Z248" s="221" t="e">
        <f t="shared" si="1350"/>
        <v>#REF!</v>
      </c>
      <c r="AA248" s="221" t="e">
        <f t="shared" si="1350"/>
        <v>#REF!</v>
      </c>
      <c r="AB248" s="221" t="e">
        <f t="shared" si="1350"/>
        <v>#REF!</v>
      </c>
      <c r="AC248" s="221" t="e">
        <f t="shared" si="1350"/>
        <v>#REF!</v>
      </c>
      <c r="AD248" s="221" t="e">
        <f t="shared" si="1350"/>
        <v>#REF!</v>
      </c>
      <c r="AE248" s="221" t="e">
        <f t="shared" si="1350"/>
        <v>#REF!</v>
      </c>
      <c r="AF248" s="223">
        <f t="shared" si="1350"/>
        <v>0.56304490932206375</v>
      </c>
      <c r="AG248" s="221">
        <f t="shared" si="1350"/>
        <v>0.49467767489630027</v>
      </c>
      <c r="AH248" s="221">
        <f t="shared" si="1350"/>
        <v>0.66677155759683715</v>
      </c>
      <c r="AI248" s="221">
        <f t="shared" si="1350"/>
        <v>2.8760800065066285</v>
      </c>
      <c r="AJ248" s="221">
        <f t="shared" si="1350"/>
        <v>0.52979629871026612</v>
      </c>
      <c r="AK248" s="221">
        <f t="shared" si="1350"/>
        <v>0.55891103588707947</v>
      </c>
      <c r="AL248" s="221">
        <f t="shared" si="1350"/>
        <v>1.1185666461863555</v>
      </c>
      <c r="AM248" s="223">
        <f t="shared" si="1350"/>
        <v>0.50953625783348255</v>
      </c>
      <c r="AN248" s="223">
        <f t="shared" si="1350"/>
        <v>0.34189621537261022</v>
      </c>
      <c r="AO248" s="223"/>
      <c r="AP248" s="223">
        <f>AP122/AP196</f>
        <v>0.5563612814165626</v>
      </c>
      <c r="AQ248" s="221">
        <f>AQ122/AQ$196</f>
        <v>0.42930818784427227</v>
      </c>
      <c r="AR248" s="221">
        <f>AR122/AR$196</f>
        <v>0.43355619843837867</v>
      </c>
      <c r="AS248" s="221">
        <f t="shared" ref="AS248:CI248" si="1351">AS122/AS196</f>
        <v>0.46174595102104687</v>
      </c>
      <c r="AT248" s="223">
        <f t="shared" si="1351"/>
        <v>0.43411124505900378</v>
      </c>
      <c r="AU248" s="223">
        <f t="shared" si="1351"/>
        <v>0.38876966934270624</v>
      </c>
      <c r="AV248" s="223">
        <f t="shared" si="1351"/>
        <v>0.48184507003320998</v>
      </c>
      <c r="AW248" s="223">
        <f t="shared" si="1351"/>
        <v>0.45977349555479441</v>
      </c>
      <c r="AX248" s="223">
        <f t="shared" si="1351"/>
        <v>0.4107469608012031</v>
      </c>
      <c r="AY248" s="223">
        <f t="shared" si="1351"/>
        <v>0.43711618928779084</v>
      </c>
      <c r="AZ248" s="223">
        <f t="shared" si="1351"/>
        <v>0.44351294677815206</v>
      </c>
      <c r="BA248" s="223">
        <f t="shared" si="1351"/>
        <v>0.47775165145951937</v>
      </c>
      <c r="BB248" s="223">
        <f t="shared" si="1351"/>
        <v>0.42307183427367145</v>
      </c>
      <c r="BC248" s="223">
        <f t="shared" si="1351"/>
        <v>0.43079459650270779</v>
      </c>
      <c r="BD248" s="223">
        <f t="shared" si="1351"/>
        <v>0.47387632086590892</v>
      </c>
      <c r="BE248" s="223">
        <f t="shared" si="1351"/>
        <v>0.45243153944618886</v>
      </c>
      <c r="BF248" s="223">
        <f t="shared" si="1351"/>
        <v>0.44513998801698512</v>
      </c>
      <c r="BG248" s="223">
        <f t="shared" si="1351"/>
        <v>0.45267991285253845</v>
      </c>
      <c r="BH248" s="223">
        <f t="shared" si="1351"/>
        <v>0.40027435439620257</v>
      </c>
      <c r="BI248" s="223">
        <f t="shared" si="1351"/>
        <v>0.39416613981965193</v>
      </c>
      <c r="BJ248" s="223">
        <f t="shared" si="1351"/>
        <v>0.60520291841156337</v>
      </c>
      <c r="BK248" s="223">
        <f t="shared" si="1351"/>
        <v>0.39319309555112603</v>
      </c>
      <c r="BL248" s="223">
        <f t="shared" si="1351"/>
        <v>0.39715011466767647</v>
      </c>
      <c r="BM248" s="223">
        <f t="shared" si="1351"/>
        <v>0.47147240773863247</v>
      </c>
      <c r="BN248" s="223">
        <f t="shared" si="1351"/>
        <v>0.45238666421254869</v>
      </c>
      <c r="BO248" s="223">
        <f t="shared" si="1351"/>
        <v>0.31392668188829242</v>
      </c>
      <c r="BP248" s="223">
        <f t="shared" si="1351"/>
        <v>0.2279923642419073</v>
      </c>
      <c r="BQ248" s="223">
        <f t="shared" si="1351"/>
        <v>-1.7703777281432985E-2</v>
      </c>
      <c r="BR248" s="223">
        <f t="shared" si="1351"/>
        <v>0.33500249085255873</v>
      </c>
      <c r="BS248" s="223">
        <f t="shared" si="1351"/>
        <v>0.25107863770100536</v>
      </c>
      <c r="BT248" s="223">
        <f t="shared" si="1351"/>
        <v>0.32134691721097247</v>
      </c>
      <c r="BU248" s="223">
        <f t="shared" si="1351"/>
        <v>0.32426845134402082</v>
      </c>
      <c r="BV248" s="223">
        <f t="shared" si="1351"/>
        <v>0.40710170275022994</v>
      </c>
      <c r="BW248" s="223">
        <f t="shared" si="1351"/>
        <v>0.59857193602026271</v>
      </c>
      <c r="BX248" s="223">
        <f t="shared" si="1351"/>
        <v>0.90524421547685296</v>
      </c>
      <c r="BY248" s="223">
        <f t="shared" si="1351"/>
        <v>0.62965769913512903</v>
      </c>
      <c r="BZ248" s="223">
        <f t="shared" si="1351"/>
        <v>0.499143746628193</v>
      </c>
      <c r="CA248" s="223">
        <f t="shared" si="1351"/>
        <v>0.64348993973731983</v>
      </c>
      <c r="CB248" s="223">
        <f t="shared" si="1351"/>
        <v>0.63958340964031934</v>
      </c>
      <c r="CC248" s="223">
        <f t="shared" si="1351"/>
        <v>0.28771749084249082</v>
      </c>
      <c r="CD248" s="223">
        <f t="shared" si="1351"/>
        <v>0.36230291071287896</v>
      </c>
      <c r="CE248" s="223">
        <f t="shared" si="1351"/>
        <v>0.5198026524238446</v>
      </c>
      <c r="CF248" s="223">
        <f t="shared" si="1351"/>
        <v>0.42318999111232652</v>
      </c>
      <c r="CG248" s="223">
        <f t="shared" si="1351"/>
        <v>0.3252554059829868</v>
      </c>
      <c r="CH248" s="223">
        <f t="shared" si="1351"/>
        <v>0.40943073714528511</v>
      </c>
      <c r="CI248" s="223">
        <f t="shared" si="1351"/>
        <v>0.41627316966745725</v>
      </c>
      <c r="CJ248" s="223">
        <v>0.28404267073461953</v>
      </c>
      <c r="CK248" s="223">
        <f t="shared" ref="CK248:CO248" si="1352">CK122/CK196</f>
        <v>0.36148212624185849</v>
      </c>
      <c r="CL248" s="223" t="e">
        <f t="shared" si="1352"/>
        <v>#DIV/0!</v>
      </c>
      <c r="CM248" s="223" t="e">
        <f t="shared" si="1352"/>
        <v>#DIV/0!</v>
      </c>
      <c r="CN248" s="223">
        <f t="shared" si="1352"/>
        <v>0.32176939260066201</v>
      </c>
      <c r="CO248" s="223" t="e">
        <f t="shared" si="1352"/>
        <v>#DIV/0!</v>
      </c>
    </row>
    <row r="249" spans="1:93" s="219" customFormat="1" ht="13" x14ac:dyDescent="0.3">
      <c r="A249" s="224" t="str">
        <f>Language!AA244</f>
        <v>Margem Líquida</v>
      </c>
      <c r="B249" s="225">
        <f>B119/B$196</f>
        <v>5.3315695991852048E-2</v>
      </c>
      <c r="C249" s="225">
        <f t="shared" ref="C249:I249" si="1353">C121/C$196</f>
        <v>-2.1169201037481563E-3</v>
      </c>
      <c r="D249" s="225">
        <f t="shared" si="1353"/>
        <v>-8.6005729462659913E-2</v>
      </c>
      <c r="E249" s="226">
        <f t="shared" si="1353"/>
        <v>0.14372836575469683</v>
      </c>
      <c r="F249" s="225">
        <f t="shared" si="1353"/>
        <v>7.4190545051157353E-2</v>
      </c>
      <c r="G249" s="225">
        <f t="shared" si="1353"/>
        <v>-5.4275834691404456E-2</v>
      </c>
      <c r="H249" s="225">
        <f t="shared" si="1353"/>
        <v>-1.7921940828848529E-2</v>
      </c>
      <c r="I249" s="226">
        <f t="shared" si="1353"/>
        <v>3.699521264072133E-2</v>
      </c>
      <c r="J249" s="225">
        <f>J119/J$196</f>
        <v>0.1177039044783509</v>
      </c>
      <c r="K249" s="225">
        <f t="shared" ref="K249:AN249" si="1354">K121/K$196</f>
        <v>-0.1046130296634737</v>
      </c>
      <c r="L249" s="225">
        <f t="shared" si="1354"/>
        <v>1.965716390375833E-2</v>
      </c>
      <c r="M249" s="226">
        <f t="shared" si="1354"/>
        <v>-0.36272722025550258</v>
      </c>
      <c r="N249" s="225">
        <f t="shared" si="1354"/>
        <v>0.36545235751011923</v>
      </c>
      <c r="O249" s="225">
        <f t="shared" si="1354"/>
        <v>-0.13413826694470235</v>
      </c>
      <c r="P249" s="225">
        <f t="shared" si="1354"/>
        <v>-4.3725548213170264E-3</v>
      </c>
      <c r="Q249" s="225">
        <f t="shared" si="1354"/>
        <v>-1.8443012616843162</v>
      </c>
      <c r="R249" s="227">
        <f t="shared" si="1354"/>
        <v>0.17183850517183852</v>
      </c>
      <c r="S249" s="225">
        <f t="shared" si="1354"/>
        <v>-0.2180018864715251</v>
      </c>
      <c r="T249" s="225">
        <f t="shared" si="1354"/>
        <v>-2.335564432145424E-2</v>
      </c>
      <c r="U249" s="225">
        <f t="shared" si="1354"/>
        <v>0.15794614684144767</v>
      </c>
      <c r="V249" s="225">
        <f t="shared" si="1354"/>
        <v>2.1024308421926631E-2</v>
      </c>
      <c r="W249" s="225">
        <f t="shared" si="1354"/>
        <v>6.4414398493703954E-3</v>
      </c>
      <c r="X249" s="225">
        <f t="shared" si="1354"/>
        <v>4.1712578481471349E-2</v>
      </c>
      <c r="Y249" s="227">
        <f t="shared" si="1354"/>
        <v>-6.6342755483183663E-2</v>
      </c>
      <c r="Z249" s="225">
        <f t="shared" si="1354"/>
        <v>-0.12708973096022902</v>
      </c>
      <c r="AA249" s="225">
        <f t="shared" si="1354"/>
        <v>-0.15397890699904124</v>
      </c>
      <c r="AB249" s="225">
        <f t="shared" si="1354"/>
        <v>-0.49450496260215626</v>
      </c>
      <c r="AC249" s="225">
        <f t="shared" si="1354"/>
        <v>-9.536890054524122E-2</v>
      </c>
      <c r="AD249" s="225">
        <f t="shared" si="1354"/>
        <v>-0.11481944322756471</v>
      </c>
      <c r="AE249" s="225">
        <f t="shared" si="1354"/>
        <v>-0.21573907738310871</v>
      </c>
      <c r="AF249" s="227">
        <f t="shared" si="1354"/>
        <v>-0.25367711720041608</v>
      </c>
      <c r="AG249" s="225">
        <f t="shared" si="1354"/>
        <v>-1.2324944467886914</v>
      </c>
      <c r="AH249" s="225">
        <f t="shared" si="1354"/>
        <v>-0.73088446487213909</v>
      </c>
      <c r="AI249" s="225">
        <f t="shared" si="1354"/>
        <v>2.4308357889600032</v>
      </c>
      <c r="AJ249" s="225">
        <f t="shared" si="1354"/>
        <v>-0.72969924278307874</v>
      </c>
      <c r="AK249" s="225">
        <f t="shared" si="1354"/>
        <v>-0.73002904425942727</v>
      </c>
      <c r="AL249" s="225">
        <f t="shared" si="1354"/>
        <v>-4.7631078776464103E-3</v>
      </c>
      <c r="AM249" s="227">
        <f t="shared" si="1354"/>
        <v>9.2372426141450317E-2</v>
      </c>
      <c r="AN249" s="227">
        <f t="shared" si="1354"/>
        <v>-0.15840031213421771</v>
      </c>
      <c r="AO249" s="227"/>
      <c r="AP249" s="227">
        <f>AP121/AP196</f>
        <v>-1.2491553370343702</v>
      </c>
      <c r="AQ249" s="225">
        <f>AQ121/AQ$196</f>
        <v>-2.7640743161236114E-2</v>
      </c>
      <c r="AR249" s="225">
        <f>AR121/AR$196</f>
        <v>-9.0546618243118882E-2</v>
      </c>
      <c r="AS249" s="225">
        <f t="shared" ref="AS249:CI249" si="1355">AS121/AS196</f>
        <v>-0.35650379469525079</v>
      </c>
      <c r="AT249" s="227">
        <f t="shared" si="1355"/>
        <v>-0.32287579188019616</v>
      </c>
      <c r="AU249" s="227">
        <f t="shared" si="1355"/>
        <v>-0.38672762675798633</v>
      </c>
      <c r="AV249" s="227">
        <f t="shared" si="1355"/>
        <v>-0.27803599000146106</v>
      </c>
      <c r="AW249" s="227">
        <f t="shared" si="1355"/>
        <v>0.11395958362496464</v>
      </c>
      <c r="AX249" s="227">
        <f t="shared" si="1355"/>
        <v>-0.35577831890751804</v>
      </c>
      <c r="AY249" s="227">
        <f t="shared" si="1355"/>
        <v>-0.32694484842360255</v>
      </c>
      <c r="AZ249" s="227">
        <f t="shared" si="1355"/>
        <v>-0.20246585277408438</v>
      </c>
      <c r="BA249" s="227">
        <f t="shared" si="1355"/>
        <v>-6.0895150149354697E-2</v>
      </c>
      <c r="BB249" s="227">
        <f t="shared" si="1355"/>
        <v>5.2214756220880232E-3</v>
      </c>
      <c r="BC249" s="227">
        <f t="shared" si="1355"/>
        <v>-0.22776739821088793</v>
      </c>
      <c r="BD249" s="227">
        <f t="shared" si="1355"/>
        <v>1.0444536886365767</v>
      </c>
      <c r="BE249" s="227">
        <f t="shared" si="1355"/>
        <v>-3.0279093684014748E-2</v>
      </c>
      <c r="BF249" s="227">
        <f t="shared" si="1355"/>
        <v>-9.68317546992713E-2</v>
      </c>
      <c r="BG249" s="227">
        <f t="shared" si="1355"/>
        <v>0.20262212843549762</v>
      </c>
      <c r="BH249" s="227">
        <f t="shared" si="1355"/>
        <v>-0.21348691373078429</v>
      </c>
      <c r="BI249" s="227">
        <f t="shared" si="1355"/>
        <v>-2.0680131767211261E-2</v>
      </c>
      <c r="BJ249" s="227">
        <f t="shared" si="1355"/>
        <v>0.33977828646674679</v>
      </c>
      <c r="BK249" s="227">
        <f t="shared" si="1355"/>
        <v>-0.10271003859366386</v>
      </c>
      <c r="BL249" s="227">
        <f t="shared" si="1355"/>
        <v>-0.11486978091878805</v>
      </c>
      <c r="BM249" s="227">
        <f t="shared" si="1355"/>
        <v>4.7543252216624823E-2</v>
      </c>
      <c r="BN249" s="227">
        <f t="shared" si="1355"/>
        <v>1.0911174026607878E-2</v>
      </c>
      <c r="BO249" s="227">
        <f t="shared" si="1355"/>
        <v>-0.18099545009757689</v>
      </c>
      <c r="BP249" s="227">
        <f t="shared" si="1355"/>
        <v>0.22528735632183908</v>
      </c>
      <c r="BQ249" s="227">
        <f t="shared" si="1355"/>
        <v>-0.31122647773857021</v>
      </c>
      <c r="BR249" s="227">
        <f t="shared" si="1355"/>
        <v>-5.6271794959888682E-2</v>
      </c>
      <c r="BS249" s="227">
        <f t="shared" si="1355"/>
        <v>0.11613939043788607</v>
      </c>
      <c r="BT249" s="227">
        <f t="shared" si="1355"/>
        <v>2.5113263917786059E-2</v>
      </c>
      <c r="BU249" s="227">
        <f t="shared" si="1355"/>
        <v>7.7013826104213989E-3</v>
      </c>
      <c r="BV249" s="227">
        <f t="shared" si="1355"/>
        <v>-0.32808799210816014</v>
      </c>
      <c r="BW249" s="227">
        <f t="shared" si="1355"/>
        <v>-0.28328588564162493</v>
      </c>
      <c r="BX249" s="227">
        <f t="shared" si="1355"/>
        <v>0.4856621012762749</v>
      </c>
      <c r="BY249" s="227">
        <f t="shared" si="1355"/>
        <v>3.0918935568326429E-2</v>
      </c>
      <c r="BZ249" s="227">
        <f t="shared" si="1355"/>
        <v>-0.30655108071054182</v>
      </c>
      <c r="CA249" s="227">
        <f t="shared" si="1355"/>
        <v>-2.4963233065676431E-2</v>
      </c>
      <c r="CB249" s="227">
        <f t="shared" si="1355"/>
        <v>-9.1808750274705152E-3</v>
      </c>
      <c r="CC249" s="227">
        <f t="shared" si="1355"/>
        <v>1.9436813186813187E-2</v>
      </c>
      <c r="CD249" s="227">
        <f t="shared" si="1355"/>
        <v>3.4216538431238674E-2</v>
      </c>
      <c r="CE249" s="227">
        <f t="shared" si="1355"/>
        <v>0.11685702359218858</v>
      </c>
      <c r="CF249" s="227">
        <f t="shared" si="1355"/>
        <v>-3.1958333592298181E-2</v>
      </c>
      <c r="CG249" s="227">
        <f t="shared" si="1355"/>
        <v>5.8791601578013712E-2</v>
      </c>
      <c r="CH249" s="227">
        <f t="shared" si="1355"/>
        <v>4.9594943633755093E-2</v>
      </c>
      <c r="CI249" s="227">
        <f t="shared" si="1355"/>
        <v>2.8545142601387474E-2</v>
      </c>
      <c r="CJ249" s="227">
        <v>-3.6739887442215229E-2</v>
      </c>
      <c r="CK249" s="227">
        <f t="shared" ref="CK249:CO249" si="1356">CK121/CK196</f>
        <v>-0.13814644175646065</v>
      </c>
      <c r="CL249" s="227" t="e">
        <f t="shared" si="1356"/>
        <v>#DIV/0!</v>
      </c>
      <c r="CM249" s="227" t="e">
        <f t="shared" si="1356"/>
        <v>#DIV/0!</v>
      </c>
      <c r="CN249" s="227">
        <f t="shared" si="1356"/>
        <v>-8.6142828681253808E-2</v>
      </c>
      <c r="CO249" s="227" t="e">
        <f t="shared" si="1356"/>
        <v>#DIV/0!</v>
      </c>
    </row>
    <row r="251" spans="1:93" hidden="1" x14ac:dyDescent="0.25"/>
    <row r="252" spans="1:93" ht="14" hidden="1" x14ac:dyDescent="0.3">
      <c r="J252" s="156"/>
      <c r="T252" s="199"/>
      <c r="U252" s="199"/>
      <c r="V252" s="199"/>
      <c r="AA252" s="199"/>
      <c r="AB252" s="199"/>
      <c r="AC252" s="199"/>
      <c r="AD252" s="199"/>
      <c r="AI252" s="199"/>
      <c r="AJ252" s="199"/>
      <c r="AK252" s="199"/>
      <c r="AQ252" s="199"/>
      <c r="AR252" s="199"/>
    </row>
    <row r="253" spans="1:93" s="100" customFormat="1" ht="13" x14ac:dyDescent="0.3">
      <c r="A253" s="142" t="str">
        <f>Language!AA248</f>
        <v>Receita Líquida</v>
      </c>
      <c r="B253" s="228">
        <f t="shared" ref="B253:AM253" si="1357">B196</f>
        <v>161022</v>
      </c>
      <c r="C253" s="228">
        <f t="shared" si="1357"/>
        <v>157304</v>
      </c>
      <c r="D253" s="228">
        <f t="shared" si="1357"/>
        <v>172442</v>
      </c>
      <c r="E253" s="229">
        <f t="shared" si="1357"/>
        <v>201359</v>
      </c>
      <c r="F253" s="228">
        <f t="shared" si="1357"/>
        <v>201926</v>
      </c>
      <c r="G253" s="228">
        <f t="shared" si="1357"/>
        <v>191448</v>
      </c>
      <c r="H253" s="228">
        <f t="shared" si="1357"/>
        <v>212198</v>
      </c>
      <c r="I253" s="229">
        <f t="shared" si="1357"/>
        <v>229354</v>
      </c>
      <c r="J253" s="228">
        <f t="shared" si="1357"/>
        <v>260242</v>
      </c>
      <c r="K253" s="228">
        <f t="shared" si="1357"/>
        <v>215585</v>
      </c>
      <c r="L253" s="228">
        <f t="shared" si="1357"/>
        <v>231459</v>
      </c>
      <c r="M253" s="229">
        <f t="shared" si="1357"/>
        <v>272874</v>
      </c>
      <c r="N253" s="228">
        <f t="shared" si="1357"/>
        <v>457050</v>
      </c>
      <c r="O253" s="228">
        <f t="shared" si="1357"/>
        <v>262796</v>
      </c>
      <c r="P253" s="228">
        <f t="shared" si="1357"/>
        <v>304170</v>
      </c>
      <c r="Q253" s="228">
        <f t="shared" si="1357"/>
        <v>293021</v>
      </c>
      <c r="R253" s="230">
        <f t="shared" si="1357"/>
        <v>512487</v>
      </c>
      <c r="S253" s="228">
        <f t="shared" si="1357"/>
        <v>323355</v>
      </c>
      <c r="T253" s="228">
        <f t="shared" si="1357"/>
        <v>409066</v>
      </c>
      <c r="U253" s="228">
        <f t="shared" si="1357"/>
        <v>377768</v>
      </c>
      <c r="V253" s="228">
        <f t="shared" si="1357"/>
        <v>835842</v>
      </c>
      <c r="W253" s="228">
        <f t="shared" si="1357"/>
        <v>1244908</v>
      </c>
      <c r="X253" s="228">
        <f t="shared" si="1357"/>
        <v>1622676</v>
      </c>
      <c r="Y253" s="230">
        <f t="shared" si="1357"/>
        <v>378293</v>
      </c>
      <c r="Z253" s="228">
        <f t="shared" si="1357"/>
        <v>346157</v>
      </c>
      <c r="AA253" s="228">
        <f t="shared" si="1357"/>
        <v>359835</v>
      </c>
      <c r="AB253" s="228">
        <f t="shared" si="1357"/>
        <v>392536</v>
      </c>
      <c r="AC253" s="228">
        <f t="shared" si="1357"/>
        <v>724450</v>
      </c>
      <c r="AD253" s="228">
        <f t="shared" si="1357"/>
        <v>1084285</v>
      </c>
      <c r="AE253" s="228">
        <f t="shared" si="1357"/>
        <v>1476821</v>
      </c>
      <c r="AF253" s="230">
        <f t="shared" si="1357"/>
        <v>398002</v>
      </c>
      <c r="AG253" s="228">
        <f t="shared" si="1357"/>
        <v>376809</v>
      </c>
      <c r="AH253" s="228">
        <f t="shared" si="1357"/>
        <v>298723</v>
      </c>
      <c r="AI253" s="228">
        <f t="shared" si="1357"/>
        <v>319674</v>
      </c>
      <c r="AJ253" s="228">
        <f t="shared" si="1357"/>
        <v>774811</v>
      </c>
      <c r="AK253" s="228">
        <f t="shared" si="1357"/>
        <v>1073534</v>
      </c>
      <c r="AL253" s="228">
        <f t="shared" si="1357"/>
        <v>1393208</v>
      </c>
      <c r="AM253" s="230">
        <f t="shared" si="1357"/>
        <v>279250</v>
      </c>
      <c r="AN253" s="228">
        <f t="shared" ref="AN253:AN315" si="1358">AQ253-AM253</f>
        <v>256300</v>
      </c>
      <c r="AO253" s="228"/>
      <c r="AP253" s="228">
        <f t="shared" ref="AP253:AP315" si="1359">AS253-AR253</f>
        <v>283807.723</v>
      </c>
      <c r="AQ253" s="228">
        <f>AQ196</f>
        <v>535550</v>
      </c>
      <c r="AR253" s="228">
        <f t="shared" ref="AR253:BG253" si="1360">AR254+AR260</f>
        <v>914127</v>
      </c>
      <c r="AS253" s="228">
        <f t="shared" si="1360"/>
        <v>1197934.723</v>
      </c>
      <c r="AT253" s="230">
        <f t="shared" si="1360"/>
        <v>231078.16140000001</v>
      </c>
      <c r="AU253" s="230">
        <f t="shared" si="1360"/>
        <v>235969.7426</v>
      </c>
      <c r="AV253" s="230">
        <f t="shared" si="1360"/>
        <v>280905.20019999996</v>
      </c>
      <c r="AW253" s="230">
        <f t="shared" si="1360"/>
        <v>298912.0552</v>
      </c>
      <c r="AX253" s="230">
        <f t="shared" si="1360"/>
        <v>467620.90400000004</v>
      </c>
      <c r="AY253" s="230">
        <f t="shared" si="1360"/>
        <v>748526.10419999994</v>
      </c>
      <c r="AZ253" s="230">
        <f t="shared" si="1360"/>
        <v>1047438.1594</v>
      </c>
      <c r="BA253" s="230">
        <f t="shared" si="1360"/>
        <v>271303</v>
      </c>
      <c r="BB253" s="230">
        <f t="shared" si="1360"/>
        <v>235132</v>
      </c>
      <c r="BC253" s="230">
        <f t="shared" si="1360"/>
        <v>260125</v>
      </c>
      <c r="BD253" s="230">
        <f t="shared" si="1360"/>
        <v>280197</v>
      </c>
      <c r="BE253" s="230">
        <f t="shared" si="1360"/>
        <v>506435</v>
      </c>
      <c r="BF253" s="230">
        <f t="shared" si="1360"/>
        <v>766560</v>
      </c>
      <c r="BG253" s="230">
        <f t="shared" si="1360"/>
        <v>1046757</v>
      </c>
      <c r="BH253" s="230">
        <f t="shared" ref="BH253:BL253" si="1361">BH254+BH260</f>
        <v>263118</v>
      </c>
      <c r="BI253" s="230">
        <f t="shared" si="1361"/>
        <v>277811</v>
      </c>
      <c r="BJ253" s="230">
        <f t="shared" si="1361"/>
        <v>307882</v>
      </c>
      <c r="BK253" s="230">
        <f t="shared" si="1361"/>
        <v>277546</v>
      </c>
      <c r="BL253" s="230">
        <f t="shared" si="1361"/>
        <v>540929</v>
      </c>
      <c r="BM253" s="230">
        <f t="shared" ref="BM253:BN253" si="1362">BM254+BM260</f>
        <v>848811</v>
      </c>
      <c r="BN253" s="230">
        <f t="shared" si="1362"/>
        <v>1126357</v>
      </c>
      <c r="BO253" s="230">
        <f t="shared" ref="BO253:BP253" si="1363">BO254+BO260</f>
        <v>203121</v>
      </c>
      <c r="BP253" s="230">
        <f t="shared" si="1363"/>
        <v>215917</v>
      </c>
      <c r="BQ253" s="230">
        <f t="shared" ref="BQ253:BS253" si="1364">BQ254+BQ260</f>
        <v>220359</v>
      </c>
      <c r="BR253" s="230">
        <f t="shared" si="1364"/>
        <v>261201</v>
      </c>
      <c r="BS253" s="230">
        <f t="shared" si="1364"/>
        <v>723005</v>
      </c>
      <c r="BT253" s="230">
        <f t="shared" ref="BT253:BU253" si="1365">BT254+BT260</f>
        <v>943364</v>
      </c>
      <c r="BU253" s="230">
        <f t="shared" si="1365"/>
        <v>1204565</v>
      </c>
      <c r="BV253" s="230">
        <f t="shared" ref="BV253" si="1366">BV254+BV260</f>
        <v>245293</v>
      </c>
      <c r="BW253" s="230">
        <f>BW254+BW260</f>
        <v>237573</v>
      </c>
      <c r="BX253" s="230">
        <f t="shared" ref="BX253:BZ253" si="1367">BX254+BX260</f>
        <v>345992</v>
      </c>
      <c r="BY253" s="230">
        <f t="shared" si="1367"/>
        <v>289233</v>
      </c>
      <c r="BZ253" s="230">
        <f t="shared" si="1367"/>
        <v>484346</v>
      </c>
      <c r="CA253" s="230">
        <f t="shared" ref="CA253:CB253" si="1368">CA254+CA260</f>
        <v>830338</v>
      </c>
      <c r="CB253" s="230">
        <f t="shared" si="1368"/>
        <v>1119571</v>
      </c>
      <c r="CC253" s="230">
        <f t="shared" ref="CC253:CD253" si="1369">CC254+CC260</f>
        <v>279019</v>
      </c>
      <c r="CD253" s="230">
        <f t="shared" si="1369"/>
        <v>338018</v>
      </c>
      <c r="CE253" s="230">
        <f t="shared" ref="CE253:CG253" si="1370">CE254+CE260</f>
        <v>439299</v>
      </c>
      <c r="CF253" s="230">
        <f t="shared" si="1370"/>
        <v>343952</v>
      </c>
      <c r="CG253" s="230">
        <f t="shared" si="1370"/>
        <v>617037</v>
      </c>
      <c r="CH253" s="230">
        <f t="shared" ref="CH253:CI253" si="1371">CH254+CH260</f>
        <v>1056336</v>
      </c>
      <c r="CI253" s="230">
        <f t="shared" si="1371"/>
        <v>1400288</v>
      </c>
      <c r="CJ253" s="230">
        <v>296891</v>
      </c>
      <c r="CK253" s="230">
        <f t="shared" ref="CK253:CO253" si="1372">CK254+CK260</f>
        <v>276501</v>
      </c>
      <c r="CL253" s="230">
        <f t="shared" si="1372"/>
        <v>0</v>
      </c>
      <c r="CM253" s="230">
        <f t="shared" si="1372"/>
        <v>0</v>
      </c>
      <c r="CN253" s="230">
        <f t="shared" si="1372"/>
        <v>573392</v>
      </c>
      <c r="CO253" s="230">
        <f t="shared" si="1372"/>
        <v>0</v>
      </c>
    </row>
    <row r="254" spans="1:93" s="100" customFormat="1" ht="13" x14ac:dyDescent="0.3">
      <c r="A254" s="160" t="str">
        <f>Language!AA249</f>
        <v>Concessões Rodoviárias</v>
      </c>
      <c r="B254" s="231">
        <f>SUM(B255:B257)</f>
        <v>103684</v>
      </c>
      <c r="C254" s="231">
        <f t="shared" ref="C254:L254" si="1373">SUM(C255:C257)</f>
        <v>95027</v>
      </c>
      <c r="D254" s="231">
        <f t="shared" si="1373"/>
        <v>99888</v>
      </c>
      <c r="E254" s="232">
        <f t="shared" si="1373"/>
        <v>111535</v>
      </c>
      <c r="F254" s="231">
        <f t="shared" si="1373"/>
        <v>117524</v>
      </c>
      <c r="G254" s="231">
        <f t="shared" si="1373"/>
        <v>104708</v>
      </c>
      <c r="H254" s="231">
        <f t="shared" si="1373"/>
        <v>111663</v>
      </c>
      <c r="I254" s="232">
        <f t="shared" si="1373"/>
        <v>128058</v>
      </c>
      <c r="J254" s="231">
        <f t="shared" si="1373"/>
        <v>129782</v>
      </c>
      <c r="K254" s="231">
        <f t="shared" si="1373"/>
        <v>112636</v>
      </c>
      <c r="L254" s="231">
        <f t="shared" si="1373"/>
        <v>122988</v>
      </c>
      <c r="M254" s="232">
        <f t="shared" ref="M254:N254" si="1374">SUM(M255:M257)</f>
        <v>136975</v>
      </c>
      <c r="N254" s="231">
        <f t="shared" si="1374"/>
        <v>141129</v>
      </c>
      <c r="O254" s="231">
        <f>SUM(O255:O257)</f>
        <v>150897</v>
      </c>
      <c r="P254" s="231">
        <f t="shared" ref="P254" si="1375">SUM(P255:P257)</f>
        <v>185375</v>
      </c>
      <c r="Q254" s="231">
        <f t="shared" ref="Q254" si="1376">SUM(Q255:Q257)</f>
        <v>145238</v>
      </c>
      <c r="R254" s="233">
        <f t="shared" ref="R254:W254" si="1377">SUM(R255:R259)</f>
        <v>317206</v>
      </c>
      <c r="S254" s="231">
        <f t="shared" si="1377"/>
        <v>197358</v>
      </c>
      <c r="T254" s="234">
        <f t="shared" si="1377"/>
        <v>275827</v>
      </c>
      <c r="U254" s="234">
        <f t="shared" si="1377"/>
        <v>248161</v>
      </c>
      <c r="V254" s="234">
        <f t="shared" ref="V254" si="1378">SUM(V255:V259)</f>
        <v>514564</v>
      </c>
      <c r="W254" s="234">
        <f t="shared" si="1377"/>
        <v>790391</v>
      </c>
      <c r="X254" s="234">
        <f>SUM(X255:X259)</f>
        <v>1038552</v>
      </c>
      <c r="Y254" s="233">
        <f>SUM(Y255:Y259)</f>
        <v>284461</v>
      </c>
      <c r="Z254" s="231">
        <f>SUM(Z255:Z259)</f>
        <v>258349</v>
      </c>
      <c r="AA254" s="234">
        <f t="shared" ref="AA254:AB254" si="1379">SUM(AA255:AA259)</f>
        <v>270212</v>
      </c>
      <c r="AB254" s="234">
        <f t="shared" si="1379"/>
        <v>286585</v>
      </c>
      <c r="AC254" s="234">
        <f>SUM(AC255:AC259)</f>
        <v>542810</v>
      </c>
      <c r="AD254" s="234">
        <f>SUM(AD255:AD259)</f>
        <v>813022</v>
      </c>
      <c r="AE254" s="234">
        <f t="shared" ref="AE254" si="1380">SUM(AE255:AE259)</f>
        <v>1099607</v>
      </c>
      <c r="AF254" s="233">
        <f t="shared" ref="AF254:AL254" si="1381">SUM(AF255:AF259)</f>
        <v>291607</v>
      </c>
      <c r="AG254" s="231">
        <f t="shared" si="1381"/>
        <v>269296</v>
      </c>
      <c r="AH254" s="231">
        <f t="shared" si="1381"/>
        <v>561853</v>
      </c>
      <c r="AI254" s="234">
        <f t="shared" si="1381"/>
        <v>839677</v>
      </c>
      <c r="AJ254" s="234">
        <f t="shared" si="1381"/>
        <v>561853</v>
      </c>
      <c r="AK254" s="234">
        <f t="shared" si="1381"/>
        <v>839677</v>
      </c>
      <c r="AL254" s="234">
        <f t="shared" si="1381"/>
        <v>1120016</v>
      </c>
      <c r="AM254" s="233">
        <f t="shared" ref="AM254:AQ254" si="1382">SUM(AM255:AM259)</f>
        <v>262573</v>
      </c>
      <c r="AN254" s="231">
        <f t="shared" si="1358"/>
        <v>239468</v>
      </c>
      <c r="AO254" s="231"/>
      <c r="AP254" s="231">
        <f t="shared" si="1359"/>
        <v>258039</v>
      </c>
      <c r="AQ254" s="234">
        <f t="shared" si="1382"/>
        <v>502041</v>
      </c>
      <c r="AR254" s="234">
        <f t="shared" ref="AR254:AS254" si="1383">SUM(AR255:AR259)</f>
        <v>855526</v>
      </c>
      <c r="AS254" s="234">
        <f t="shared" si="1383"/>
        <v>1113565</v>
      </c>
      <c r="AT254" s="233">
        <f t="shared" ref="AT254" si="1384">SUM(AT255:AT259)</f>
        <v>205713.7114</v>
      </c>
      <c r="AU254" s="233">
        <f t="shared" ref="AU254:AX254" si="1385">SUM(AU255:AU259)</f>
        <v>211350.29259999999</v>
      </c>
      <c r="AV254" s="233">
        <f t="shared" ref="AV254:AY254" si="1386">SUM(AV255:AV259)</f>
        <v>252657.10019999999</v>
      </c>
      <c r="AW254" s="233">
        <f t="shared" si="1385"/>
        <v>270244.0552</v>
      </c>
      <c r="AX254" s="233">
        <f t="shared" si="1385"/>
        <v>417637.00400000002</v>
      </c>
      <c r="AY254" s="233">
        <f t="shared" si="1386"/>
        <v>670294.10419999994</v>
      </c>
      <c r="AZ254" s="233">
        <f t="shared" ref="AZ254:BA254" si="1387">SUM(AZ255:AZ259)</f>
        <v>940538.1594</v>
      </c>
      <c r="BA254" s="233">
        <f t="shared" si="1387"/>
        <v>242710</v>
      </c>
      <c r="BB254" s="233">
        <f t="shared" ref="BB254:BC254" si="1388">SUM(BB255:BB259)</f>
        <v>207740</v>
      </c>
      <c r="BC254" s="233">
        <f t="shared" si="1388"/>
        <v>228193</v>
      </c>
      <c r="BD254" s="233">
        <f t="shared" ref="BD254:BE254" si="1389">SUM(BD255:BD259)</f>
        <v>249358</v>
      </c>
      <c r="BE254" s="233">
        <f t="shared" si="1389"/>
        <v>450450</v>
      </c>
      <c r="BF254" s="233">
        <f t="shared" ref="BF254:BG254" si="1390">SUM(BF255:BF259)</f>
        <v>678643</v>
      </c>
      <c r="BG254" s="233">
        <f t="shared" si="1390"/>
        <v>928001</v>
      </c>
      <c r="BH254" s="233">
        <f t="shared" ref="BH254:BL254" si="1391">SUM(BH255:BH259)</f>
        <v>233032</v>
      </c>
      <c r="BI254" s="233">
        <f t="shared" si="1391"/>
        <v>247736</v>
      </c>
      <c r="BJ254" s="233">
        <f t="shared" si="1391"/>
        <v>276453</v>
      </c>
      <c r="BK254" s="233">
        <f t="shared" si="1391"/>
        <v>246411</v>
      </c>
      <c r="BL254" s="233">
        <f t="shared" si="1391"/>
        <v>480768</v>
      </c>
      <c r="BM254" s="233">
        <f t="shared" ref="BM254:BN254" si="1392">SUM(BM255:BM259)</f>
        <v>757221</v>
      </c>
      <c r="BN254" s="233">
        <f t="shared" si="1392"/>
        <v>1003632</v>
      </c>
      <c r="BO254" s="233">
        <f t="shared" ref="BO254:BP254" si="1393">SUM(BO255:BO259)</f>
        <v>172554</v>
      </c>
      <c r="BP254" s="233">
        <f t="shared" si="1393"/>
        <v>185159</v>
      </c>
      <c r="BQ254" s="233">
        <f t="shared" ref="BQ254:BS254" si="1394">SUM(BQ255:BQ259)</f>
        <v>185129</v>
      </c>
      <c r="BR254" s="233">
        <f t="shared" si="1394"/>
        <v>225957</v>
      </c>
      <c r="BS254" s="233">
        <f t="shared" si="1394"/>
        <v>661680</v>
      </c>
      <c r="BT254" s="233">
        <f t="shared" ref="BT254:BU254" si="1395">SUM(BT255:BT259)</f>
        <v>846809</v>
      </c>
      <c r="BU254" s="233">
        <f t="shared" si="1395"/>
        <v>1072766</v>
      </c>
      <c r="BV254" s="233">
        <f t="shared" ref="BV254" si="1396">SUM(BV255:BV259)</f>
        <v>208301</v>
      </c>
      <c r="BW254" s="233">
        <f>SUM(BW255:BW259)</f>
        <v>201839</v>
      </c>
      <c r="BX254" s="233">
        <f t="shared" ref="BX254:BZ254" si="1397">SUM(BX255:BX259)</f>
        <v>309511</v>
      </c>
      <c r="BY254" s="233">
        <f t="shared" si="1397"/>
        <v>251825</v>
      </c>
      <c r="BZ254" s="233">
        <f t="shared" si="1397"/>
        <v>411620</v>
      </c>
      <c r="CA254" s="233">
        <f t="shared" ref="CA254:CB254" si="1398">SUM(CA255:CA259)</f>
        <v>721131</v>
      </c>
      <c r="CB254" s="233">
        <f t="shared" si="1398"/>
        <v>972956</v>
      </c>
      <c r="CC254" s="233">
        <f t="shared" ref="CC254:CD254" si="1399">SUM(CC255:CC259)</f>
        <v>242115</v>
      </c>
      <c r="CD254" s="233">
        <f t="shared" si="1399"/>
        <v>302029</v>
      </c>
      <c r="CE254" s="233">
        <f t="shared" ref="CE254:CG254" si="1400">SUM(CE255:CE259)</f>
        <v>403178</v>
      </c>
      <c r="CF254" s="233">
        <f t="shared" si="1400"/>
        <v>307500</v>
      </c>
      <c r="CG254" s="233">
        <f t="shared" si="1400"/>
        <v>544144</v>
      </c>
      <c r="CH254" s="233">
        <f t="shared" ref="CH254:CI254" si="1401">SUM(CH255:CH259)</f>
        <v>947322</v>
      </c>
      <c r="CI254" s="233">
        <f t="shared" si="1401"/>
        <v>1254822</v>
      </c>
      <c r="CJ254" s="233">
        <v>259500</v>
      </c>
      <c r="CK254" s="233">
        <f t="shared" ref="CK254:CO254" si="1402">SUM(CK255:CK259)</f>
        <v>239878</v>
      </c>
      <c r="CL254" s="233">
        <f t="shared" si="1402"/>
        <v>0</v>
      </c>
      <c r="CM254" s="233">
        <f t="shared" si="1402"/>
        <v>0</v>
      </c>
      <c r="CN254" s="233">
        <f t="shared" si="1402"/>
        <v>499378</v>
      </c>
      <c r="CO254" s="233">
        <f t="shared" si="1402"/>
        <v>0</v>
      </c>
    </row>
    <row r="255" spans="1:93" s="92" customFormat="1" x14ac:dyDescent="0.25">
      <c r="A255" s="164" t="str">
        <f>Language!AA250</f>
        <v>Concepa</v>
      </c>
      <c r="B255" s="235">
        <f>'Toll Roads'!B140-'Toll Roads'!B110</f>
        <v>43393</v>
      </c>
      <c r="C255" s="235">
        <f>'Toll Roads'!C140-'Toll Roads'!C110</f>
        <v>33919</v>
      </c>
      <c r="D255" s="235">
        <f>'Toll Roads'!D140-'Toll Roads'!D110</f>
        <v>35037</v>
      </c>
      <c r="E255" s="236">
        <f>'Toll Roads'!E140-'Toll Roads'!E110</f>
        <v>43838</v>
      </c>
      <c r="F255" s="235">
        <f>'Toll Roads'!F140-'Toll Roads'!F110</f>
        <v>50112</v>
      </c>
      <c r="G255" s="235">
        <f>'Toll Roads'!G140-'Toll Roads'!G110</f>
        <v>39070</v>
      </c>
      <c r="H255" s="235">
        <f>'Toll Roads'!H140-'Toll Roads'!H110</f>
        <v>40891</v>
      </c>
      <c r="I255" s="236">
        <f>'Toll Roads'!I140-'Toll Roads'!I110</f>
        <v>50414</v>
      </c>
      <c r="J255" s="235">
        <f>'Toll Roads'!J140-'Toll Roads'!J110</f>
        <v>55891</v>
      </c>
      <c r="K255" s="235">
        <f>'Toll Roads'!K140-'Toll Roads'!K110</f>
        <v>44992</v>
      </c>
      <c r="L255" s="235">
        <f>'Toll Roads'!L140-'Toll Roads'!L110</f>
        <v>47559</v>
      </c>
      <c r="M255" s="236">
        <f>'Toll Roads'!M140-'Toll Roads'!M110</f>
        <v>59515</v>
      </c>
      <c r="N255" s="235">
        <f>'Toll Roads'!N140-'Toll Roads'!N110</f>
        <v>66136</v>
      </c>
      <c r="O255" s="235">
        <f>'Toll Roads'!O140+'Toll Roads'!O171</f>
        <v>53073</v>
      </c>
      <c r="P255" s="235">
        <f>'Toll Roads'!P140+'Toll Roads'!P171</f>
        <v>66757</v>
      </c>
      <c r="Q255" s="235">
        <f>'Toll Roads'!Q140+'Toll Roads'!Q171</f>
        <v>92547</v>
      </c>
      <c r="R255" s="237">
        <v>98589</v>
      </c>
      <c r="S255" s="235">
        <f>'Toll Roads'!S366</f>
        <v>76963</v>
      </c>
      <c r="T255" s="238">
        <f>'Toll Roads'!T366</f>
        <v>77140</v>
      </c>
      <c r="U255" s="238">
        <f>'Toll Roads'!U366</f>
        <v>37401</v>
      </c>
      <c r="V255" s="238">
        <f>'Toll Roads'!V366</f>
        <v>173355</v>
      </c>
      <c r="W255" s="238">
        <f>'Toll Roads'!W366</f>
        <v>250495</v>
      </c>
      <c r="X255" s="238">
        <f>'Toll Roads'!X366</f>
        <v>287896</v>
      </c>
      <c r="Y255" s="237">
        <f>'Toll Roads'!Y366</f>
        <v>88058</v>
      </c>
      <c r="Z255" s="235">
        <f>'Toll Roads'!Z366</f>
        <v>62346</v>
      </c>
      <c r="AA255" s="238">
        <f>'Toll Roads'!AA366</f>
        <v>70786</v>
      </c>
      <c r="AB255" s="238">
        <f>'Toll Roads'!AB366</f>
        <v>85682</v>
      </c>
      <c r="AC255" s="238">
        <f>'Toll Roads'!AC366</f>
        <v>150404</v>
      </c>
      <c r="AD255" s="238">
        <f>'Toll Roads'!AD366</f>
        <v>221190</v>
      </c>
      <c r="AE255" s="238">
        <f>'Toll Roads'!AE366</f>
        <v>306872</v>
      </c>
      <c r="AF255" s="237">
        <f>'Toll Roads'!AF366</f>
        <v>96890</v>
      </c>
      <c r="AG255" s="235">
        <f>'Toll Roads'!AG366</f>
        <v>71796.761777777778</v>
      </c>
      <c r="AH255" s="235">
        <f>'Toll Roads'!AJ366</f>
        <v>168686.76177777778</v>
      </c>
      <c r="AI255" s="238">
        <f>'Toll Roads'!AK366</f>
        <v>219453</v>
      </c>
      <c r="AJ255" s="238">
        <f>'Toll Roads'!AJ366</f>
        <v>168686.76177777778</v>
      </c>
      <c r="AK255" s="238">
        <f>'Toll Roads'!AK366</f>
        <v>219453</v>
      </c>
      <c r="AL255" s="238">
        <f>'Toll Roads'!AL366</f>
        <v>270249</v>
      </c>
      <c r="AM255" s="237">
        <f>'Toll Roads'!AM366</f>
        <v>54061</v>
      </c>
      <c r="AN255" s="235">
        <f t="shared" si="1358"/>
        <v>39757</v>
      </c>
      <c r="AO255" s="235"/>
      <c r="AP255" s="235">
        <f t="shared" si="1359"/>
        <v>-111.14542855983018</v>
      </c>
      <c r="AQ255" s="238">
        <f>'Toll Roads'!AQ366</f>
        <v>93818</v>
      </c>
      <c r="AR255" s="238">
        <f>'Toll Roads'!AR140</f>
        <v>91670.407716457368</v>
      </c>
      <c r="AS255" s="238">
        <f>'Toll Roads'!AS140</f>
        <v>91559.262287897538</v>
      </c>
      <c r="AT255" s="237">
        <f>'Toll Roads'!AT140</f>
        <v>0</v>
      </c>
      <c r="AU255" s="237"/>
      <c r="AV255" s="237">
        <f>'Toll Roads'!AV140</f>
        <v>65</v>
      </c>
      <c r="AW255" s="237">
        <f>'Toll Roads'!AW140</f>
        <v>-638</v>
      </c>
      <c r="AX255" s="237">
        <f>'Toll Roads'!AX140</f>
        <v>573</v>
      </c>
      <c r="AY255" s="237">
        <f>'Toll Roads'!AY140</f>
        <v>638</v>
      </c>
      <c r="AZ255" s="237">
        <f>'Toll Roads'!AZ140</f>
        <v>0</v>
      </c>
      <c r="BA255" s="237">
        <f>'Toll Roads'!BA140</f>
        <v>0</v>
      </c>
      <c r="BB255" s="237">
        <f>'Toll Roads'!BB140</f>
        <v>0</v>
      </c>
      <c r="BC255" s="237">
        <f>'Toll Roads'!BC140</f>
        <v>0</v>
      </c>
      <c r="BD255" s="237">
        <f>'Toll Roads'!BD140</f>
        <v>0</v>
      </c>
      <c r="BE255" s="237">
        <f>'Toll Roads'!BE140</f>
        <v>0</v>
      </c>
      <c r="BF255" s="237">
        <f>'Toll Roads'!BF140</f>
        <v>0</v>
      </c>
      <c r="BG255" s="237">
        <f>'Toll Roads'!BG140</f>
        <v>0</v>
      </c>
      <c r="BH255" s="237">
        <f>'Toll Roads'!BH140</f>
        <v>0</v>
      </c>
      <c r="BI255" s="237">
        <f>'Toll Roads'!BI140</f>
        <v>0</v>
      </c>
      <c r="BJ255" s="237">
        <f>'Toll Roads'!BJ140</f>
        <v>0</v>
      </c>
      <c r="BK255" s="237">
        <f>'Toll Roads'!BK140</f>
        <v>0</v>
      </c>
      <c r="BL255" s="237">
        <f>'Toll Roads'!BL140</f>
        <v>0</v>
      </c>
      <c r="BM255" s="237">
        <f>'Toll Roads'!BM140</f>
        <v>0</v>
      </c>
      <c r="BN255" s="237">
        <f>'Toll Roads'!BN140</f>
        <v>0</v>
      </c>
      <c r="BO255" s="237">
        <f>'Toll Roads'!BO140</f>
        <v>0</v>
      </c>
      <c r="BP255" s="237">
        <f>'Toll Roads'!BP140</f>
        <v>0</v>
      </c>
      <c r="BQ255" s="237">
        <f>'Toll Roads'!BQ140</f>
        <v>0</v>
      </c>
      <c r="BR255" s="237">
        <f>'Toll Roads'!BR140</f>
        <v>0</v>
      </c>
      <c r="BS255" s="237">
        <f>'Toll Roads'!BS140</f>
        <v>0</v>
      </c>
      <c r="BT255" s="237">
        <f>'Toll Roads'!BT140</f>
        <v>0</v>
      </c>
      <c r="BU255" s="237">
        <f>'Toll Roads'!BU140</f>
        <v>0</v>
      </c>
      <c r="BV255" s="237">
        <f>'Toll Roads'!BV140</f>
        <v>0</v>
      </c>
      <c r="BW255" s="237">
        <f>'Toll Roads'!BW140</f>
        <v>0</v>
      </c>
      <c r="BX255" s="237">
        <f>'Toll Roads'!BX140</f>
        <v>0</v>
      </c>
      <c r="BY255" s="237">
        <f>'Toll Roads'!BY140</f>
        <v>0</v>
      </c>
      <c r="BZ255" s="237">
        <f>'Toll Roads'!BZ140</f>
        <v>0</v>
      </c>
      <c r="CA255" s="237">
        <f>'Toll Roads'!CA140</f>
        <v>0</v>
      </c>
      <c r="CB255" s="237">
        <f>'Toll Roads'!CB140</f>
        <v>0</v>
      </c>
      <c r="CC255" s="237">
        <f>'Toll Roads'!CC140</f>
        <v>0</v>
      </c>
      <c r="CD255" s="237">
        <f>'Toll Roads'!CD140</f>
        <v>0</v>
      </c>
      <c r="CE255" s="237">
        <f>'Toll Roads'!CE140</f>
        <v>0</v>
      </c>
      <c r="CF255" s="237">
        <f>'Toll Roads'!CF140</f>
        <v>0</v>
      </c>
      <c r="CG255" s="237">
        <f>'Toll Roads'!CG140</f>
        <v>0</v>
      </c>
      <c r="CH255" s="237">
        <f>'Toll Roads'!CH140</f>
        <v>0</v>
      </c>
      <c r="CI255" s="237">
        <f>'Toll Roads'!CI140</f>
        <v>0</v>
      </c>
      <c r="CJ255" s="237">
        <v>0</v>
      </c>
      <c r="CK255" s="237">
        <f>'Toll Roads'!CK140</f>
        <v>0</v>
      </c>
      <c r="CL255" s="237">
        <f>'Toll Roads'!CL140</f>
        <v>0</v>
      </c>
      <c r="CM255" s="237">
        <f>'Toll Roads'!CM140</f>
        <v>0</v>
      </c>
      <c r="CN255" s="237">
        <f>'Toll Roads'!CN140</f>
        <v>0</v>
      </c>
      <c r="CO255" s="237">
        <f>'Toll Roads'!CO140</f>
        <v>0</v>
      </c>
    </row>
    <row r="256" spans="1:93" s="92" customFormat="1" x14ac:dyDescent="0.25">
      <c r="A256" s="164" t="str">
        <f>Language!AA251</f>
        <v>Concer</v>
      </c>
      <c r="B256" s="235">
        <f>'Toll Roads'!B141-'Toll Roads'!B111</f>
        <v>29473</v>
      </c>
      <c r="C256" s="235">
        <f>'Toll Roads'!C141-'Toll Roads'!C111</f>
        <v>29564</v>
      </c>
      <c r="D256" s="235">
        <f>'Toll Roads'!D141-'Toll Roads'!D111</f>
        <v>31882</v>
      </c>
      <c r="E256" s="236">
        <f>'Toll Roads'!E141-'Toll Roads'!E111</f>
        <v>33216</v>
      </c>
      <c r="F256" s="235">
        <f>'Toll Roads'!F141-'Toll Roads'!F111</f>
        <v>33446</v>
      </c>
      <c r="G256" s="235">
        <f>'Toll Roads'!G141-'Toll Roads'!G111</f>
        <v>32583</v>
      </c>
      <c r="H256" s="235">
        <f>'Toll Roads'!H141-'Toll Roads'!H111</f>
        <v>34571</v>
      </c>
      <c r="I256" s="236">
        <f>'Toll Roads'!I141-'Toll Roads'!I111</f>
        <v>39793</v>
      </c>
      <c r="J256" s="235">
        <f>'Toll Roads'!J141-'Toll Roads'!J111</f>
        <v>33851</v>
      </c>
      <c r="K256" s="235">
        <f>'Toll Roads'!K141-'Toll Roads'!K111</f>
        <v>33596</v>
      </c>
      <c r="L256" s="235">
        <f>'Toll Roads'!L141-'Toll Roads'!L111</f>
        <v>36547</v>
      </c>
      <c r="M256" s="236">
        <f>'Toll Roads'!M141-'Toll Roads'!M111</f>
        <v>36378</v>
      </c>
      <c r="N256" s="235">
        <f>'Toll Roads'!N141-'Toll Roads'!N111</f>
        <v>35552</v>
      </c>
      <c r="O256" s="235">
        <f>'Toll Roads'!O141+'Toll Roads'!O172</f>
        <v>59172</v>
      </c>
      <c r="P256" s="235">
        <f>'Toll Roads'!P141+'Toll Roads'!P172</f>
        <v>79001</v>
      </c>
      <c r="Q256" s="235">
        <f>'Toll Roads'!Q141+'Toll Roads'!Q172</f>
        <v>10238</v>
      </c>
      <c r="R256" s="237">
        <v>155903</v>
      </c>
      <c r="S256" s="235">
        <f>'Toll Roads'!S367</f>
        <v>54345</v>
      </c>
      <c r="T256" s="238">
        <f>'Toll Roads'!T367</f>
        <v>48920</v>
      </c>
      <c r="U256" s="238">
        <f>'Toll Roads'!U367</f>
        <v>52827</v>
      </c>
      <c r="V256" s="238">
        <f>'Toll Roads'!V367</f>
        <v>209804</v>
      </c>
      <c r="W256" s="238">
        <f>'Toll Roads'!W367</f>
        <v>258724</v>
      </c>
      <c r="X256" s="238">
        <f>'Toll Roads'!X367</f>
        <v>311551</v>
      </c>
      <c r="Y256" s="237">
        <f>'Toll Roads'!Y367</f>
        <v>46413</v>
      </c>
      <c r="Z256" s="235">
        <f>'Toll Roads'!Z367</f>
        <v>44969</v>
      </c>
      <c r="AA256" s="238">
        <f>'Toll Roads'!AA367</f>
        <v>43190</v>
      </c>
      <c r="AB256" s="238">
        <f>'Toll Roads'!AB367</f>
        <v>45390</v>
      </c>
      <c r="AC256" s="238">
        <f>'Toll Roads'!AC367</f>
        <v>91382</v>
      </c>
      <c r="AD256" s="238">
        <f>'Toll Roads'!AD367</f>
        <v>134572</v>
      </c>
      <c r="AE256" s="238">
        <f>'Toll Roads'!AE367</f>
        <v>179962</v>
      </c>
      <c r="AF256" s="237">
        <f>'Toll Roads'!AF367</f>
        <v>43135</v>
      </c>
      <c r="AG256" s="235">
        <f>'Toll Roads'!AG367</f>
        <v>41886.239111111121</v>
      </c>
      <c r="AH256" s="235">
        <f>'Toll Roads'!AJ367</f>
        <v>85971.239111111121</v>
      </c>
      <c r="AI256" s="238">
        <f>'Toll Roads'!AK367</f>
        <v>129089</v>
      </c>
      <c r="AJ256" s="238">
        <f>'Toll Roads'!AJ367</f>
        <v>85971.239111111121</v>
      </c>
      <c r="AK256" s="238">
        <f>'Toll Roads'!AK367</f>
        <v>129089</v>
      </c>
      <c r="AL256" s="238">
        <f>'Toll Roads'!AL367</f>
        <v>172936</v>
      </c>
      <c r="AM256" s="237">
        <f>'Toll Roads'!AM367</f>
        <v>41814</v>
      </c>
      <c r="AN256" s="235">
        <f t="shared" si="1358"/>
        <v>39498</v>
      </c>
      <c r="AO256" s="235"/>
      <c r="AP256" s="235">
        <f t="shared" si="1359"/>
        <v>50598.55777875433</v>
      </c>
      <c r="AQ256" s="238">
        <f>'Toll Roads'!AQ367</f>
        <v>81312</v>
      </c>
      <c r="AR256" s="238">
        <f>'Toll Roads'!AR141</f>
        <v>134498.12457314387</v>
      </c>
      <c r="AS256" s="238">
        <f>'Toll Roads'!AS141</f>
        <v>185096.6823518982</v>
      </c>
      <c r="AT256" s="237">
        <f>'Toll Roads'!AT141</f>
        <v>50563.711399999993</v>
      </c>
      <c r="AU256" s="237">
        <f>'Toll Roads'!AU141</f>
        <v>52371.292600000001</v>
      </c>
      <c r="AV256" s="237">
        <f>'Toll Roads'!AV141</f>
        <v>53789.100199999993</v>
      </c>
      <c r="AW256" s="237">
        <f>'Toll Roads'!AW141</f>
        <v>56472.055200000003</v>
      </c>
      <c r="AX256" s="237">
        <f>'Toll Roads'!AX141</f>
        <v>102935.004</v>
      </c>
      <c r="AY256" s="237">
        <f>'Toll Roads'!AY141</f>
        <v>156724.1042</v>
      </c>
      <c r="AZ256" s="237">
        <f>'Toll Roads'!AZ141</f>
        <v>213196.1594</v>
      </c>
      <c r="BA256" s="237">
        <f>'Toll Roads'!BA141</f>
        <v>50473</v>
      </c>
      <c r="BB256" s="237">
        <f>'Toll Roads'!BB141</f>
        <v>34997</v>
      </c>
      <c r="BC256" s="237">
        <f>'Toll Roads'!BC141</f>
        <v>49378</v>
      </c>
      <c r="BD256" s="237">
        <f>'Toll Roads'!BD141</f>
        <v>53919</v>
      </c>
      <c r="BE256" s="237">
        <f>'Toll Roads'!BE141</f>
        <v>85470</v>
      </c>
      <c r="BF256" s="237">
        <f>'Toll Roads'!BF141</f>
        <v>134848</v>
      </c>
      <c r="BG256" s="237">
        <f>'Toll Roads'!BG141</f>
        <v>188767</v>
      </c>
      <c r="BH256" s="237">
        <f>'Toll Roads'!BH141</f>
        <v>49623</v>
      </c>
      <c r="BI256" s="237">
        <f>'Toll Roads'!BI141</f>
        <v>47598</v>
      </c>
      <c r="BJ256" s="237">
        <f>'Toll Roads'!BJ141</f>
        <v>52874</v>
      </c>
      <c r="BK256" s="237">
        <f>'Toll Roads'!BK141</f>
        <v>54677</v>
      </c>
      <c r="BL256" s="237">
        <f>'Toll Roads'!BL141</f>
        <v>97221</v>
      </c>
      <c r="BM256" s="237">
        <f>'Toll Roads'!BM141</f>
        <v>150095</v>
      </c>
      <c r="BN256" s="237">
        <f>'Toll Roads'!BN141</f>
        <v>204772</v>
      </c>
      <c r="BO256" s="237">
        <f>'Toll Roads'!BO141</f>
        <v>50007</v>
      </c>
      <c r="BP256" s="237">
        <f>'Toll Roads'!BP141</f>
        <v>52445</v>
      </c>
      <c r="BQ256" s="237">
        <f>'Toll Roads'!BQ141</f>
        <v>60057</v>
      </c>
      <c r="BR256" s="237">
        <f>'Toll Roads'!BR141</f>
        <v>58550</v>
      </c>
      <c r="BS256" s="237">
        <f>'Toll Roads'!BS141</f>
        <v>102452</v>
      </c>
      <c r="BT256" s="237">
        <f>'Toll Roads'!BT141</f>
        <v>162509</v>
      </c>
      <c r="BU256" s="237">
        <f>'Toll Roads'!BU141</f>
        <v>221059</v>
      </c>
      <c r="BV256" s="237">
        <f>'Toll Roads'!BV141</f>
        <v>63735</v>
      </c>
      <c r="BW256" s="237">
        <f>'Toll Roads'!BW141</f>
        <v>64021</v>
      </c>
      <c r="BX256" s="237">
        <f>'Toll Roads'!BX141</f>
        <v>64862</v>
      </c>
      <c r="BY256" s="237">
        <f>'Toll Roads'!BY141</f>
        <v>67534</v>
      </c>
      <c r="BZ256" s="237">
        <f>'Toll Roads'!BZ141</f>
        <v>129236</v>
      </c>
      <c r="CA256" s="237">
        <f>'Toll Roads'!CA141</f>
        <v>194098</v>
      </c>
      <c r="CB256" s="237">
        <f>'Toll Roads'!CB141</f>
        <v>261632</v>
      </c>
      <c r="CC256" s="237">
        <f>'Toll Roads'!CC141</f>
        <v>72327</v>
      </c>
      <c r="CD256" s="237">
        <f>'Toll Roads'!CD141</f>
        <v>77064</v>
      </c>
      <c r="CE256" s="237">
        <f>'Toll Roads'!CE141</f>
        <v>78379</v>
      </c>
      <c r="CF256" s="237">
        <f>'Toll Roads'!CF141</f>
        <v>78816</v>
      </c>
      <c r="CG256" s="237">
        <f>'Toll Roads'!CG141</f>
        <v>149391</v>
      </c>
      <c r="CH256" s="237">
        <f>'Toll Roads'!CH141</f>
        <v>227770</v>
      </c>
      <c r="CI256" s="237">
        <f>'Toll Roads'!CI141</f>
        <v>306586</v>
      </c>
      <c r="CJ256" s="237">
        <v>72451</v>
      </c>
      <c r="CK256" s="237">
        <f>'Toll Roads'!CK141</f>
        <v>70639</v>
      </c>
      <c r="CL256" s="237">
        <f>'Toll Roads'!CL141</f>
        <v>0</v>
      </c>
      <c r="CM256" s="237">
        <f>'Toll Roads'!CM141</f>
        <v>0</v>
      </c>
      <c r="CN256" s="237">
        <f>'Toll Roads'!CN141</f>
        <v>143090</v>
      </c>
      <c r="CO256" s="237">
        <f>'Toll Roads'!CO141</f>
        <v>0</v>
      </c>
    </row>
    <row r="257" spans="1:93" s="92" customFormat="1" x14ac:dyDescent="0.25">
      <c r="A257" s="164" t="str">
        <f>Language!AA252</f>
        <v>Econorte</v>
      </c>
      <c r="B257" s="235">
        <f>'Toll Roads'!B142-'Toll Roads'!B112</f>
        <v>30818</v>
      </c>
      <c r="C257" s="235">
        <f>'Toll Roads'!C142-'Toll Roads'!C112</f>
        <v>31544</v>
      </c>
      <c r="D257" s="235">
        <f>'Toll Roads'!D142-'Toll Roads'!D112</f>
        <v>32969</v>
      </c>
      <c r="E257" s="236">
        <f>'Toll Roads'!E142-'Toll Roads'!E112</f>
        <v>34481</v>
      </c>
      <c r="F257" s="235">
        <f>'Toll Roads'!F142-'Toll Roads'!F112</f>
        <v>33966</v>
      </c>
      <c r="G257" s="235">
        <f>'Toll Roads'!G142-'Toll Roads'!G112</f>
        <v>33055</v>
      </c>
      <c r="H257" s="235">
        <f>'Toll Roads'!H142-'Toll Roads'!H112</f>
        <v>36201</v>
      </c>
      <c r="I257" s="236">
        <f>'Toll Roads'!I142-'Toll Roads'!I112</f>
        <v>37851</v>
      </c>
      <c r="J257" s="235">
        <f>'Toll Roads'!J142-'Toll Roads'!J112</f>
        <v>40040</v>
      </c>
      <c r="K257" s="235">
        <f>'Toll Roads'!K142-'Toll Roads'!K112</f>
        <v>34048</v>
      </c>
      <c r="L257" s="235">
        <f>'Toll Roads'!L142-'Toll Roads'!L112</f>
        <v>38882</v>
      </c>
      <c r="M257" s="236">
        <f>'Toll Roads'!M142-'Toll Roads'!M112</f>
        <v>41082</v>
      </c>
      <c r="N257" s="235">
        <f>'Toll Roads'!N142-'Toll Roads'!N112</f>
        <v>39441</v>
      </c>
      <c r="O257" s="235">
        <f>'Toll Roads'!O142+'Toll Roads'!O173</f>
        <v>38652</v>
      </c>
      <c r="P257" s="235">
        <f>'Toll Roads'!P142+'Toll Roads'!P173</f>
        <v>39617</v>
      </c>
      <c r="Q257" s="235">
        <f>'Toll Roads'!Q142+'Toll Roads'!Q173</f>
        <v>42453</v>
      </c>
      <c r="R257" s="237">
        <v>44767</v>
      </c>
      <c r="S257" s="235">
        <f>'Toll Roads'!S368</f>
        <v>41299</v>
      </c>
      <c r="T257" s="238">
        <f>'Toll Roads'!T368</f>
        <v>43753</v>
      </c>
      <c r="U257" s="238">
        <f>'Toll Roads'!U368</f>
        <v>52364</v>
      </c>
      <c r="V257" s="238">
        <f>'Toll Roads'!V368</f>
        <v>84909</v>
      </c>
      <c r="W257" s="238">
        <f>'Toll Roads'!W368</f>
        <v>128662</v>
      </c>
      <c r="X257" s="238">
        <f>'Toll Roads'!X368</f>
        <v>181026</v>
      </c>
      <c r="Y257" s="237">
        <f>'Toll Roads'!Y368</f>
        <v>49063</v>
      </c>
      <c r="Z257" s="235">
        <f>'Toll Roads'!Z368</f>
        <v>47600</v>
      </c>
      <c r="AA257" s="238">
        <f>'Toll Roads'!AA368</f>
        <v>48639</v>
      </c>
      <c r="AB257" s="238">
        <f>'Toll Roads'!AB368</f>
        <v>50235</v>
      </c>
      <c r="AC257" s="238">
        <f>'Toll Roads'!AC368</f>
        <v>96663</v>
      </c>
      <c r="AD257" s="238">
        <f>'Toll Roads'!AD368</f>
        <v>145302</v>
      </c>
      <c r="AE257" s="238">
        <f>'Toll Roads'!AE368</f>
        <v>195537</v>
      </c>
      <c r="AF257" s="237">
        <f>'Toll Roads'!AF368</f>
        <v>50432</v>
      </c>
      <c r="AG257" s="235">
        <f>'Toll Roads'!AG368</f>
        <v>50134.57644444445</v>
      </c>
      <c r="AH257" s="235">
        <f>'Toll Roads'!AJ368</f>
        <v>100566.57644444445</v>
      </c>
      <c r="AI257" s="238">
        <f>'Toll Roads'!AK368</f>
        <v>154765</v>
      </c>
      <c r="AJ257" s="238">
        <f>'Toll Roads'!AJ368</f>
        <v>100566.57644444445</v>
      </c>
      <c r="AK257" s="238">
        <f>'Toll Roads'!AK368</f>
        <v>154765</v>
      </c>
      <c r="AL257" s="238">
        <f>'Toll Roads'!AL368</f>
        <v>209302</v>
      </c>
      <c r="AM257" s="237">
        <f>'Toll Roads'!AM368</f>
        <v>52499</v>
      </c>
      <c r="AN257" s="235">
        <f t="shared" si="1358"/>
        <v>48455</v>
      </c>
      <c r="AO257" s="235"/>
      <c r="AP257" s="235">
        <f t="shared" si="1359"/>
        <v>58977.489099626691</v>
      </c>
      <c r="AQ257" s="238">
        <f>'Toll Roads'!AQ368</f>
        <v>100954</v>
      </c>
      <c r="AR257" s="238">
        <f>'Toll Roads'!AR142</f>
        <v>165046.2866407799</v>
      </c>
      <c r="AS257" s="238">
        <f>'Toll Roads'!AS142</f>
        <v>224023.77574040659</v>
      </c>
      <c r="AT257" s="237">
        <f>'Toll Roads'!AT142</f>
        <v>39157</v>
      </c>
      <c r="AU257" s="237">
        <f>'Toll Roads'!AU142</f>
        <v>38615</v>
      </c>
      <c r="AV257" s="237">
        <f>'Toll Roads'!AV142</f>
        <v>59198</v>
      </c>
      <c r="AW257" s="237">
        <f>'Toll Roads'!AW142</f>
        <v>78900</v>
      </c>
      <c r="AX257" s="237">
        <f>'Toll Roads'!AX142</f>
        <v>77772</v>
      </c>
      <c r="AY257" s="237">
        <f>'Toll Roads'!AY142</f>
        <v>136970</v>
      </c>
      <c r="AZ257" s="237">
        <f>'Toll Roads'!AZ142</f>
        <v>215870</v>
      </c>
      <c r="BA257" s="237">
        <f>'Toll Roads'!BA142</f>
        <v>74116</v>
      </c>
      <c r="BB257" s="237">
        <f>'Toll Roads'!BB142</f>
        <v>65333</v>
      </c>
      <c r="BC257" s="237">
        <f>'Toll Roads'!BC142</f>
        <v>75977</v>
      </c>
      <c r="BD257" s="237">
        <f>'Toll Roads'!BD142</f>
        <v>89652</v>
      </c>
      <c r="BE257" s="237">
        <f>'Toll Roads'!BE142</f>
        <v>139449</v>
      </c>
      <c r="BF257" s="237">
        <f>'Toll Roads'!BF142</f>
        <v>215426</v>
      </c>
      <c r="BG257" s="237">
        <f>'Toll Roads'!BG142</f>
        <v>305078</v>
      </c>
      <c r="BH257" s="237">
        <f>'Toll Roads'!BH142</f>
        <v>88215</v>
      </c>
      <c r="BI257" s="237">
        <f>'Toll Roads'!BI142</f>
        <v>94724</v>
      </c>
      <c r="BJ257" s="237">
        <f>'Toll Roads'!BJ142</f>
        <v>98959</v>
      </c>
      <c r="BK257" s="237">
        <f>'Toll Roads'!BK142</f>
        <v>66714</v>
      </c>
      <c r="BL257" s="237">
        <f>'Toll Roads'!BL142</f>
        <v>182939</v>
      </c>
      <c r="BM257" s="237">
        <f>'Toll Roads'!BM142</f>
        <v>281898</v>
      </c>
      <c r="BN257" s="237">
        <f>'Toll Roads'!BN142</f>
        <v>348612</v>
      </c>
      <c r="BO257" s="237">
        <f>'Toll Roads'!BO142</f>
        <v>0</v>
      </c>
      <c r="BP257" s="237">
        <f>'Toll Roads'!BP142</f>
        <v>95</v>
      </c>
      <c r="BQ257" s="237">
        <f>'Toll Roads'!BQ142</f>
        <v>-95</v>
      </c>
      <c r="BR257" s="237">
        <f>'Toll Roads'!BR142</f>
        <v>0</v>
      </c>
      <c r="BS257" s="237">
        <f>'Toll Roads'!BS142</f>
        <v>95</v>
      </c>
      <c r="BT257" s="237">
        <f>'Toll Roads'!BT142</f>
        <v>0</v>
      </c>
      <c r="BU257" s="237">
        <f>'Toll Roads'!BU142</f>
        <v>0</v>
      </c>
      <c r="BV257" s="237">
        <f>'Toll Roads'!BV142</f>
        <v>0</v>
      </c>
      <c r="BW257" s="237">
        <f>'Toll Roads'!BW142</f>
        <v>0</v>
      </c>
      <c r="BX257" s="237">
        <f>'Toll Roads'!BX142</f>
        <v>0</v>
      </c>
      <c r="BY257" s="237">
        <f>'Toll Roads'!BY142</f>
        <v>0</v>
      </c>
      <c r="BZ257" s="237">
        <f>'Toll Roads'!BZ142</f>
        <v>0</v>
      </c>
      <c r="CA257" s="237">
        <f>'Toll Roads'!CA142</f>
        <v>0</v>
      </c>
      <c r="CB257" s="237">
        <f>'Toll Roads'!CB142</f>
        <v>0</v>
      </c>
      <c r="CC257" s="237">
        <f>'Toll Roads'!CC142</f>
        <v>0</v>
      </c>
      <c r="CD257" s="237">
        <f>'Toll Roads'!CD142</f>
        <v>0</v>
      </c>
      <c r="CE257" s="237">
        <f>'Toll Roads'!CE142</f>
        <v>0</v>
      </c>
      <c r="CF257" s="237">
        <f>'Toll Roads'!CF142</f>
        <v>0</v>
      </c>
      <c r="CG257" s="237">
        <f>'Toll Roads'!CG142</f>
        <v>0</v>
      </c>
      <c r="CH257" s="237">
        <f>'Toll Roads'!CH142</f>
        <v>0</v>
      </c>
      <c r="CI257" s="237">
        <f>'Toll Roads'!CI142</f>
        <v>0</v>
      </c>
      <c r="CJ257" s="237">
        <v>0</v>
      </c>
      <c r="CK257" s="237">
        <f>'Toll Roads'!CK142</f>
        <v>0</v>
      </c>
      <c r="CL257" s="237">
        <f>'Toll Roads'!CL142</f>
        <v>0</v>
      </c>
      <c r="CM257" s="237">
        <f>'Toll Roads'!CM142</f>
        <v>0</v>
      </c>
      <c r="CN257" s="237">
        <f>'Toll Roads'!CN142</f>
        <v>0</v>
      </c>
      <c r="CO257" s="237">
        <f>'Toll Roads'!CO142</f>
        <v>0</v>
      </c>
    </row>
    <row r="258" spans="1:93" s="92" customFormat="1" x14ac:dyDescent="0.25">
      <c r="A258" s="164" t="str">
        <f>Language!AA253</f>
        <v>Concebra</v>
      </c>
      <c r="B258" s="235"/>
      <c r="C258" s="235"/>
      <c r="D258" s="235"/>
      <c r="E258" s="236"/>
      <c r="F258" s="235"/>
      <c r="G258" s="235"/>
      <c r="H258" s="235"/>
      <c r="I258" s="236"/>
      <c r="J258" s="235"/>
      <c r="K258" s="235"/>
      <c r="L258" s="235"/>
      <c r="M258" s="236"/>
      <c r="N258" s="235"/>
      <c r="O258" s="235"/>
      <c r="P258" s="235"/>
      <c r="Q258" s="235"/>
      <c r="R258" s="239"/>
      <c r="S258" s="235">
        <f>'Toll Roads'!S369</f>
        <v>3381</v>
      </c>
      <c r="T258" s="238">
        <f>'Toll Roads'!T369</f>
        <v>84050</v>
      </c>
      <c r="U258" s="238">
        <f>'Toll Roads'!U369</f>
        <v>81564</v>
      </c>
      <c r="V258" s="238">
        <f>'Toll Roads'!V369</f>
        <v>3381</v>
      </c>
      <c r="W258" s="238">
        <f>'Toll Roads'!W369</f>
        <v>87431</v>
      </c>
      <c r="X258" s="238">
        <f>'Toll Roads'!X369</f>
        <v>168995</v>
      </c>
      <c r="Y258" s="240">
        <f>'Toll Roads'!Y369</f>
        <v>77234</v>
      </c>
      <c r="Z258" s="235">
        <f>'Toll Roads'!Z369</f>
        <v>79039</v>
      </c>
      <c r="AA258" s="238">
        <f>'Toll Roads'!AA369</f>
        <v>83047</v>
      </c>
      <c r="AB258" s="238">
        <f>'Toll Roads'!AB369</f>
        <v>81036</v>
      </c>
      <c r="AC258" s="238">
        <f>'Toll Roads'!AC369</f>
        <v>156273</v>
      </c>
      <c r="AD258" s="238">
        <f>'Toll Roads'!AD369</f>
        <v>239320</v>
      </c>
      <c r="AE258" s="238">
        <f>'Toll Roads'!AE369</f>
        <v>320356</v>
      </c>
      <c r="AF258" s="240">
        <f>'Toll Roads'!AF369</f>
        <v>76187</v>
      </c>
      <c r="AG258" s="235">
        <f>'Toll Roads'!AG369</f>
        <v>79903</v>
      </c>
      <c r="AH258" s="235">
        <f>'Toll Roads'!AJ369</f>
        <v>156090</v>
      </c>
      <c r="AI258" s="238">
        <f>'Toll Roads'!AK369</f>
        <v>258473</v>
      </c>
      <c r="AJ258" s="238">
        <f>'Toll Roads'!AJ369</f>
        <v>156090</v>
      </c>
      <c r="AK258" s="238">
        <f>'Toll Roads'!AK369</f>
        <v>258473</v>
      </c>
      <c r="AL258" s="238">
        <f>'Toll Roads'!AL369</f>
        <v>353133</v>
      </c>
      <c r="AM258" s="240">
        <f>'Toll Roads'!AM369</f>
        <v>87131</v>
      </c>
      <c r="AN258" s="238">
        <f t="shared" si="1358"/>
        <v>85169</v>
      </c>
      <c r="AO258" s="238"/>
      <c r="AP258" s="238">
        <f t="shared" si="1359"/>
        <v>103522.19784045935</v>
      </c>
      <c r="AQ258" s="238">
        <f>'Toll Roads'!AQ369</f>
        <v>172300</v>
      </c>
      <c r="AR258" s="238">
        <f>'Toll Roads'!AR143</f>
        <v>348728.42284919583</v>
      </c>
      <c r="AS258" s="238">
        <f>'Toll Roads'!AS143</f>
        <v>452250.62068965519</v>
      </c>
      <c r="AT258" s="240">
        <f>'Toll Roads'!AT143</f>
        <v>84132</v>
      </c>
      <c r="AU258" s="240">
        <f>'Toll Roads'!AU143</f>
        <v>86077</v>
      </c>
      <c r="AV258" s="237">
        <f>'Toll Roads'!AV143</f>
        <v>102112</v>
      </c>
      <c r="AW258" s="237">
        <f>'Toll Roads'!AW143</f>
        <v>99075</v>
      </c>
      <c r="AX258" s="240">
        <f>'Toll Roads'!AX143</f>
        <v>170209</v>
      </c>
      <c r="AY258" s="240">
        <f>'Toll Roads'!AY143</f>
        <v>272321</v>
      </c>
      <c r="AZ258" s="240">
        <f>'Toll Roads'!AZ143</f>
        <v>371396</v>
      </c>
      <c r="BA258" s="240">
        <f>'Toll Roads'!BA143</f>
        <v>85159</v>
      </c>
      <c r="BB258" s="240">
        <f>'Toll Roads'!BB143</f>
        <v>79076</v>
      </c>
      <c r="BC258" s="240">
        <f>'Toll Roads'!BC143</f>
        <v>68394</v>
      </c>
      <c r="BD258" s="240">
        <f>'Toll Roads'!BD143</f>
        <v>68965</v>
      </c>
      <c r="BE258" s="240">
        <f>'Toll Roads'!BE143</f>
        <v>164235</v>
      </c>
      <c r="BF258" s="240">
        <f>'Toll Roads'!BF143</f>
        <v>232629</v>
      </c>
      <c r="BG258" s="240">
        <f>'Toll Roads'!BG143</f>
        <v>301594</v>
      </c>
      <c r="BH258" s="240">
        <f>'Toll Roads'!BH143</f>
        <v>59015</v>
      </c>
      <c r="BI258" s="240">
        <f>'Toll Roads'!BI143</f>
        <v>60184</v>
      </c>
      <c r="BJ258" s="240">
        <f>'Toll Roads'!BJ143</f>
        <v>64043</v>
      </c>
      <c r="BK258" s="240">
        <f>'Toll Roads'!BK143</f>
        <v>61744</v>
      </c>
      <c r="BL258" s="240">
        <f>'Toll Roads'!BL143</f>
        <v>119199</v>
      </c>
      <c r="BM258" s="240">
        <f>'Toll Roads'!BM143</f>
        <v>183242</v>
      </c>
      <c r="BN258" s="240">
        <f>'Toll Roads'!BN143</f>
        <v>244986</v>
      </c>
      <c r="BO258" s="240">
        <f>'Toll Roads'!BO143</f>
        <v>63867</v>
      </c>
      <c r="BP258" s="240">
        <f>'Toll Roads'!BP143</f>
        <v>67981</v>
      </c>
      <c r="BQ258" s="240">
        <f>'Toll Roads'!BQ143</f>
        <v>51071</v>
      </c>
      <c r="BR258" s="240">
        <f>'Toll Roads'!BR143</f>
        <v>105052</v>
      </c>
      <c r="BS258" s="240">
        <f>'Toll Roads'!BS143</f>
        <v>435815</v>
      </c>
      <c r="BT258" s="240">
        <f>'Toll Roads'!BT143</f>
        <v>486886</v>
      </c>
      <c r="BU258" s="240">
        <f>'Toll Roads'!BU143</f>
        <v>591938</v>
      </c>
      <c r="BV258" s="240">
        <f>'Toll Roads'!BV143</f>
        <v>84803</v>
      </c>
      <c r="BW258" s="240">
        <f>'Toll Roads'!BW143</f>
        <v>77311</v>
      </c>
      <c r="BX258" s="240">
        <f>'Toll Roads'!BX143</f>
        <v>171053</v>
      </c>
      <c r="BY258" s="240">
        <f>'Toll Roads'!BY143</f>
        <v>116080</v>
      </c>
      <c r="BZ258" s="240">
        <f>'Toll Roads'!BZ143</f>
        <v>162114</v>
      </c>
      <c r="CA258" s="240">
        <f>'Toll Roads'!CA143</f>
        <v>333167</v>
      </c>
      <c r="CB258" s="240">
        <f>'Toll Roads'!CB143</f>
        <v>449247</v>
      </c>
      <c r="CC258" s="240">
        <f>'Toll Roads'!CC143</f>
        <v>109419</v>
      </c>
      <c r="CD258" s="240">
        <f>'Toll Roads'!CD143</f>
        <v>160074</v>
      </c>
      <c r="CE258" s="240">
        <f>'Toll Roads'!CE143</f>
        <v>252617</v>
      </c>
      <c r="CF258" s="240">
        <f>'Toll Roads'!CF143</f>
        <v>170796</v>
      </c>
      <c r="CG258" s="240">
        <f>'Toll Roads'!CG143</f>
        <v>269493</v>
      </c>
      <c r="CH258" s="240">
        <f>'Toll Roads'!CH143</f>
        <v>522110</v>
      </c>
      <c r="CI258" s="240">
        <f>'Toll Roads'!CI143</f>
        <v>692906</v>
      </c>
      <c r="CJ258" s="240">
        <v>122528</v>
      </c>
      <c r="CK258" s="240">
        <f>'Toll Roads'!CK143</f>
        <v>107726</v>
      </c>
      <c r="CL258" s="240">
        <f>'Toll Roads'!CL143</f>
        <v>0</v>
      </c>
      <c r="CM258" s="240">
        <f>'Toll Roads'!CM143</f>
        <v>0</v>
      </c>
      <c r="CN258" s="240">
        <f>'Toll Roads'!CN143</f>
        <v>230254</v>
      </c>
      <c r="CO258" s="240">
        <f>'Toll Roads'!CO143</f>
        <v>0</v>
      </c>
    </row>
    <row r="259" spans="1:93" s="92" customFormat="1" x14ac:dyDescent="0.25">
      <c r="A259" s="164" t="str">
        <f>Language!AA254</f>
        <v>Transbrasiliana</v>
      </c>
      <c r="B259" s="235"/>
      <c r="C259" s="235"/>
      <c r="D259" s="235"/>
      <c r="E259" s="236"/>
      <c r="F259" s="235"/>
      <c r="G259" s="235"/>
      <c r="H259" s="235"/>
      <c r="I259" s="236"/>
      <c r="J259" s="235"/>
      <c r="K259" s="235"/>
      <c r="L259" s="235"/>
      <c r="M259" s="236"/>
      <c r="N259" s="235"/>
      <c r="O259" s="235"/>
      <c r="P259" s="235"/>
      <c r="Q259" s="235"/>
      <c r="R259" s="240">
        <v>17947</v>
      </c>
      <c r="S259" s="238">
        <f>'Toll Roads'!S370</f>
        <v>21370</v>
      </c>
      <c r="T259" s="238">
        <f>'Toll Roads'!T370</f>
        <v>21964</v>
      </c>
      <c r="U259" s="238">
        <f>'Toll Roads'!U370</f>
        <v>24005</v>
      </c>
      <c r="V259" s="238">
        <f>'Toll Roads'!V370</f>
        <v>43115</v>
      </c>
      <c r="W259" s="238">
        <f>'Toll Roads'!W370</f>
        <v>65079</v>
      </c>
      <c r="X259" s="238">
        <f>'Toll Roads'!X370</f>
        <v>89084</v>
      </c>
      <c r="Y259" s="240">
        <f>'Toll Roads'!Y370</f>
        <v>23693</v>
      </c>
      <c r="Z259" s="238">
        <f>'Toll Roads'!Z370</f>
        <v>24395</v>
      </c>
      <c r="AA259" s="238">
        <f>'Toll Roads'!AA370</f>
        <v>24550</v>
      </c>
      <c r="AB259" s="238">
        <f>'Toll Roads'!AB370</f>
        <v>24242</v>
      </c>
      <c r="AC259" s="238">
        <f>'Toll Roads'!AC370</f>
        <v>48088</v>
      </c>
      <c r="AD259" s="238">
        <f>'Toll Roads'!AD370</f>
        <v>72638</v>
      </c>
      <c r="AE259" s="238">
        <f>'Toll Roads'!AE370</f>
        <v>96880</v>
      </c>
      <c r="AF259" s="240">
        <f>'Toll Roads'!AF370</f>
        <v>24963</v>
      </c>
      <c r="AG259" s="238">
        <f>'Toll Roads'!AG370</f>
        <v>25575.422666666665</v>
      </c>
      <c r="AH259" s="238">
        <f>'Toll Roads'!AJ370</f>
        <v>50538.422666666665</v>
      </c>
      <c r="AI259" s="238">
        <f>'Toll Roads'!AK370</f>
        <v>77897</v>
      </c>
      <c r="AJ259" s="238">
        <f>'Toll Roads'!AJ370</f>
        <v>50538.422666666665</v>
      </c>
      <c r="AK259" s="238">
        <f>'Toll Roads'!AK370</f>
        <v>77897</v>
      </c>
      <c r="AL259" s="238">
        <f>'Toll Roads'!AL370</f>
        <v>114396</v>
      </c>
      <c r="AM259" s="240">
        <f>'Toll Roads'!AM370</f>
        <v>27068</v>
      </c>
      <c r="AN259" s="238">
        <f t="shared" si="1358"/>
        <v>26589</v>
      </c>
      <c r="AO259" s="238"/>
      <c r="AP259" s="238">
        <f t="shared" si="1359"/>
        <v>45051.900709719499</v>
      </c>
      <c r="AQ259" s="238">
        <f>'Toll Roads'!AQ370</f>
        <v>53657</v>
      </c>
      <c r="AR259" s="238">
        <f>'Toll Roads'!AR144</f>
        <v>115582.758220423</v>
      </c>
      <c r="AS259" s="238">
        <f>'Toll Roads'!AS144</f>
        <v>160634.6589301425</v>
      </c>
      <c r="AT259" s="240">
        <f>'Toll Roads'!AT144</f>
        <v>31861</v>
      </c>
      <c r="AU259" s="240">
        <f>'Toll Roads'!AU144</f>
        <v>34287</v>
      </c>
      <c r="AV259" s="237">
        <f>'Toll Roads'!AV144</f>
        <v>37493</v>
      </c>
      <c r="AW259" s="237">
        <f>'Toll Roads'!AW144</f>
        <v>36435</v>
      </c>
      <c r="AX259" s="240">
        <f>'Toll Roads'!AX144</f>
        <v>66148</v>
      </c>
      <c r="AY259" s="240">
        <f>'Toll Roads'!AY144</f>
        <v>103641</v>
      </c>
      <c r="AZ259" s="240">
        <f>'Toll Roads'!AZ144</f>
        <v>140076</v>
      </c>
      <c r="BA259" s="240">
        <f>'Toll Roads'!BA144</f>
        <v>32962</v>
      </c>
      <c r="BB259" s="240">
        <f>'Toll Roads'!BB144</f>
        <v>28334</v>
      </c>
      <c r="BC259" s="240">
        <f>'Toll Roads'!BC144</f>
        <v>34444</v>
      </c>
      <c r="BD259" s="240">
        <f>'Toll Roads'!BD144</f>
        <v>36822</v>
      </c>
      <c r="BE259" s="240">
        <f>'Toll Roads'!BE144</f>
        <v>61296</v>
      </c>
      <c r="BF259" s="240">
        <f>'Toll Roads'!BF144</f>
        <v>95740</v>
      </c>
      <c r="BG259" s="240">
        <f>'Toll Roads'!BG144</f>
        <v>132562</v>
      </c>
      <c r="BH259" s="240">
        <f>'Toll Roads'!BH144</f>
        <v>36179</v>
      </c>
      <c r="BI259" s="240">
        <f>'Toll Roads'!BI144</f>
        <v>45230</v>
      </c>
      <c r="BJ259" s="240">
        <f>'Toll Roads'!BJ144</f>
        <v>60577</v>
      </c>
      <c r="BK259" s="240">
        <f>'Toll Roads'!BK144</f>
        <v>63276</v>
      </c>
      <c r="BL259" s="240">
        <f>'Toll Roads'!BL144</f>
        <v>81409</v>
      </c>
      <c r="BM259" s="240">
        <f>'Toll Roads'!BM144</f>
        <v>141986</v>
      </c>
      <c r="BN259" s="240">
        <f>'Toll Roads'!BN144</f>
        <v>205262</v>
      </c>
      <c r="BO259" s="240">
        <f>'Toll Roads'!BO144</f>
        <v>58680</v>
      </c>
      <c r="BP259" s="240">
        <f>'Toll Roads'!BP144</f>
        <v>64638</v>
      </c>
      <c r="BQ259" s="240">
        <f>'Toll Roads'!BQ144</f>
        <v>74096</v>
      </c>
      <c r="BR259" s="240">
        <f>'Toll Roads'!BR144</f>
        <v>62355</v>
      </c>
      <c r="BS259" s="240">
        <f>'Toll Roads'!BS144</f>
        <v>123318</v>
      </c>
      <c r="BT259" s="240">
        <f>'Toll Roads'!BT144</f>
        <v>197414</v>
      </c>
      <c r="BU259" s="240">
        <f>'Toll Roads'!BU144</f>
        <v>259769</v>
      </c>
      <c r="BV259" s="240">
        <f>'Toll Roads'!BV144</f>
        <v>59763</v>
      </c>
      <c r="BW259" s="240">
        <f>'Toll Roads'!BW144</f>
        <v>60507</v>
      </c>
      <c r="BX259" s="240">
        <f>'Toll Roads'!BX144</f>
        <v>73596</v>
      </c>
      <c r="BY259" s="240">
        <f>'Toll Roads'!BY144</f>
        <v>68211</v>
      </c>
      <c r="BZ259" s="240">
        <f>'Toll Roads'!BZ144</f>
        <v>120270</v>
      </c>
      <c r="CA259" s="240">
        <f>'Toll Roads'!CA144</f>
        <v>193866</v>
      </c>
      <c r="CB259" s="240">
        <f>'Toll Roads'!CB144</f>
        <v>262077</v>
      </c>
      <c r="CC259" s="240">
        <f>'Toll Roads'!CC144</f>
        <v>60369</v>
      </c>
      <c r="CD259" s="240">
        <f>'Toll Roads'!CD144</f>
        <v>64891</v>
      </c>
      <c r="CE259" s="240">
        <f>'Toll Roads'!CE144</f>
        <v>72182</v>
      </c>
      <c r="CF259" s="240">
        <f>'Toll Roads'!CF144</f>
        <v>57888</v>
      </c>
      <c r="CG259" s="240">
        <f>'Toll Roads'!CG144</f>
        <v>125260</v>
      </c>
      <c r="CH259" s="240">
        <f>'Toll Roads'!CH144</f>
        <v>197442</v>
      </c>
      <c r="CI259" s="240">
        <f>'Toll Roads'!CI144</f>
        <v>255330</v>
      </c>
      <c r="CJ259" s="240">
        <v>64521</v>
      </c>
      <c r="CK259" s="240">
        <f>'Toll Roads'!CK144</f>
        <v>61513</v>
      </c>
      <c r="CL259" s="240">
        <f>'Toll Roads'!CL144</f>
        <v>0</v>
      </c>
      <c r="CM259" s="240">
        <f>'Toll Roads'!CM144</f>
        <v>0</v>
      </c>
      <c r="CN259" s="240">
        <f>'Toll Roads'!CN144</f>
        <v>126034</v>
      </c>
      <c r="CO259" s="240">
        <f>'Toll Roads'!CO144</f>
        <v>0</v>
      </c>
    </row>
    <row r="260" spans="1:93" s="100" customFormat="1" ht="13" x14ac:dyDescent="0.3">
      <c r="A260" s="160" t="str">
        <f>Language!AA255</f>
        <v>Energia</v>
      </c>
      <c r="B260" s="231">
        <f>SUM(B261,B262,B264)</f>
        <v>22192</v>
      </c>
      <c r="C260" s="231">
        <f t="shared" ref="C260:L260" si="1403">SUM(C261,C262,C264)</f>
        <v>21290</v>
      </c>
      <c r="D260" s="231">
        <f t="shared" si="1403"/>
        <v>23441</v>
      </c>
      <c r="E260" s="232">
        <f t="shared" si="1403"/>
        <v>24442</v>
      </c>
      <c r="F260" s="231">
        <f t="shared" si="1403"/>
        <v>25282</v>
      </c>
      <c r="G260" s="231">
        <f t="shared" si="1403"/>
        <v>27380</v>
      </c>
      <c r="H260" s="231">
        <f t="shared" si="1403"/>
        <v>25951</v>
      </c>
      <c r="I260" s="232">
        <f t="shared" si="1403"/>
        <v>25092</v>
      </c>
      <c r="J260" s="231">
        <f t="shared" si="1403"/>
        <v>37344</v>
      </c>
      <c r="K260" s="231">
        <f t="shared" si="1403"/>
        <v>25263</v>
      </c>
      <c r="L260" s="231">
        <f t="shared" si="1403"/>
        <v>29828</v>
      </c>
      <c r="M260" s="232">
        <f t="shared" ref="M260:N260" si="1404">SUM(M261,M262,M264)</f>
        <v>61357.997943999988</v>
      </c>
      <c r="N260" s="231">
        <f t="shared" si="1404"/>
        <v>238919</v>
      </c>
      <c r="O260" s="231">
        <f>SUM(O261,O262,O264)</f>
        <v>39471</v>
      </c>
      <c r="P260" s="231">
        <f t="shared" ref="P260" si="1405">SUM(P261,P262,P264)</f>
        <v>44613.902534548019</v>
      </c>
      <c r="Q260" s="231">
        <f>SUM(Q261,Q262,Q263)</f>
        <v>51600</v>
      </c>
      <c r="R260" s="233">
        <f t="shared" ref="R260:W260" si="1406">SUM(R261,R262,R263,R264)</f>
        <v>121027</v>
      </c>
      <c r="S260" s="231">
        <f t="shared" si="1406"/>
        <v>56744</v>
      </c>
      <c r="T260" s="234">
        <f t="shared" si="1406"/>
        <v>61027</v>
      </c>
      <c r="U260" s="234">
        <f t="shared" si="1406"/>
        <v>44847</v>
      </c>
      <c r="V260" s="234">
        <f t="shared" ref="V260" si="1407">SUM(V261,V262,V263,V264)</f>
        <v>177349</v>
      </c>
      <c r="W260" s="234">
        <f t="shared" si="1406"/>
        <v>238376</v>
      </c>
      <c r="X260" s="234">
        <f>SUM(X261,X262,X263,X264)</f>
        <v>283223</v>
      </c>
      <c r="Y260" s="233">
        <f>SUM(Y261,Y262,Y263,Y264)</f>
        <v>14249</v>
      </c>
      <c r="Z260" s="231">
        <f>SUM(Z261,Z262,Z263,Z264)</f>
        <v>12934</v>
      </c>
      <c r="AA260" s="234">
        <f t="shared" ref="AA260:AB260" si="1408">SUM(AA261,AA262,AA263,AA264)</f>
        <v>7999</v>
      </c>
      <c r="AB260" s="234">
        <f t="shared" si="1408"/>
        <v>12822</v>
      </c>
      <c r="AC260" s="234">
        <f>SUM(AC261,AC262,AC263,AC264)</f>
        <v>27183</v>
      </c>
      <c r="AD260" s="234">
        <f>SUM(AD261,AD262,AD263,AD264)</f>
        <v>35182</v>
      </c>
      <c r="AE260" s="234">
        <f t="shared" ref="AE260:AF260" si="1409">SUM(AE261,AE262,AE263,AE264)</f>
        <v>48004</v>
      </c>
      <c r="AF260" s="233">
        <f t="shared" si="1409"/>
        <v>14733</v>
      </c>
      <c r="AG260" s="231">
        <f>SUM(AG261,AG262,AG263,AG264)</f>
        <v>15155</v>
      </c>
      <c r="AH260" s="231">
        <f>SUM(AH261,AH262,AH263,AH264)</f>
        <v>29888</v>
      </c>
      <c r="AI260" s="234">
        <f t="shared" ref="AI260" si="1410">SUM(AI261,AI262,AI263,AI264)</f>
        <v>27314</v>
      </c>
      <c r="AJ260" s="234">
        <f>SUM(AJ261,AJ262,AJ263,AJ264)</f>
        <v>29888</v>
      </c>
      <c r="AK260" s="234">
        <f>SUM(AK261,AK262,AK263,AK264)</f>
        <v>44534</v>
      </c>
      <c r="AL260" s="234">
        <f>SUM(AL261,AL262,AL263,AL264)</f>
        <v>64100</v>
      </c>
      <c r="AM260" s="233">
        <f>SUM(AM261,AM262,AM263,AM264)</f>
        <v>16902</v>
      </c>
      <c r="AN260" s="231">
        <f t="shared" si="1358"/>
        <v>16629</v>
      </c>
      <c r="AO260" s="231"/>
      <c r="AP260" s="231">
        <f t="shared" si="1359"/>
        <v>25768.722999999998</v>
      </c>
      <c r="AQ260" s="234">
        <f>SUM(AQ261,AQ262,AQ263,AQ264)</f>
        <v>33531</v>
      </c>
      <c r="AR260" s="234">
        <f>SUM(AR261,AR262,AR263,AR264)</f>
        <v>58601</v>
      </c>
      <c r="AS260" s="234">
        <f>SUM(AS261,AS262,AS263,AS264)</f>
        <v>84369.722999999998</v>
      </c>
      <c r="AT260" s="233">
        <f>SUM(AT261,AT262,AT263,AT264)</f>
        <v>25364.45</v>
      </c>
      <c r="AU260" s="233">
        <f t="shared" ref="AU260" si="1411">SUM(AU261,AU262,AU263,AU264)</f>
        <v>24619.45</v>
      </c>
      <c r="AV260" s="233">
        <f>SUM(AV261,AV262,AV263,AV264)</f>
        <v>28248.1</v>
      </c>
      <c r="AW260" s="233">
        <f>SUM(AW261,AW262,AW263,AW264)</f>
        <v>28668</v>
      </c>
      <c r="AX260" s="233">
        <f t="shared" ref="AX260:BE260" si="1412">SUM(AX261,AX262,AX263,AX264)</f>
        <v>49983.9</v>
      </c>
      <c r="AY260" s="233">
        <f t="shared" si="1412"/>
        <v>78232</v>
      </c>
      <c r="AZ260" s="233">
        <f t="shared" si="1412"/>
        <v>106900</v>
      </c>
      <c r="BA260" s="233">
        <f t="shared" si="1412"/>
        <v>28593</v>
      </c>
      <c r="BB260" s="233">
        <f t="shared" si="1412"/>
        <v>27392</v>
      </c>
      <c r="BC260" s="233">
        <f t="shared" si="1412"/>
        <v>31932</v>
      </c>
      <c r="BD260" s="233">
        <f t="shared" si="1412"/>
        <v>30839</v>
      </c>
      <c r="BE260" s="233">
        <f t="shared" si="1412"/>
        <v>55985</v>
      </c>
      <c r="BF260" s="233">
        <f t="shared" ref="BF260:BG260" si="1413">SUM(BF261,BF262,BF263,BF264)</f>
        <v>87917</v>
      </c>
      <c r="BG260" s="233">
        <f t="shared" si="1413"/>
        <v>118756</v>
      </c>
      <c r="BH260" s="233">
        <f t="shared" ref="BH260:BL260" si="1414">SUM(BH261,BH262,BH263,BH264)</f>
        <v>30086</v>
      </c>
      <c r="BI260" s="233">
        <f t="shared" si="1414"/>
        <v>30075</v>
      </c>
      <c r="BJ260" s="233">
        <f t="shared" si="1414"/>
        <v>31429</v>
      </c>
      <c r="BK260" s="233">
        <f t="shared" si="1414"/>
        <v>31135</v>
      </c>
      <c r="BL260" s="233">
        <f t="shared" si="1414"/>
        <v>60161</v>
      </c>
      <c r="BM260" s="233">
        <f t="shared" ref="BM260:BN260" si="1415">SUM(BM261,BM262,BM263,BM264)</f>
        <v>91590</v>
      </c>
      <c r="BN260" s="233">
        <f t="shared" si="1415"/>
        <v>122725</v>
      </c>
      <c r="BO260" s="233">
        <f t="shared" ref="BO260:BP260" si="1416">SUM(BO261,BO262,BO263,BO264)</f>
        <v>30567</v>
      </c>
      <c r="BP260" s="233">
        <f t="shared" si="1416"/>
        <v>30758</v>
      </c>
      <c r="BQ260" s="233">
        <f t="shared" ref="BQ260:BS260" si="1417">SUM(BQ261,BQ262,BQ263,BQ264)</f>
        <v>35230</v>
      </c>
      <c r="BR260" s="233">
        <f t="shared" si="1417"/>
        <v>35244</v>
      </c>
      <c r="BS260" s="233">
        <f t="shared" si="1417"/>
        <v>61325</v>
      </c>
      <c r="BT260" s="233">
        <f t="shared" ref="BT260:BU260" si="1418">SUM(BT261,BT262,BT263,BT264)</f>
        <v>96555</v>
      </c>
      <c r="BU260" s="233">
        <f t="shared" si="1418"/>
        <v>131799</v>
      </c>
      <c r="BV260" s="233">
        <f t="shared" ref="BV260" si="1419">SUM(BV261,BV262,BV263,BV264)</f>
        <v>36992</v>
      </c>
      <c r="BW260" s="233">
        <f>SUM(BW261,BW262,BW263,BW264)</f>
        <v>35734</v>
      </c>
      <c r="BX260" s="233">
        <f t="shared" ref="BX260:BZ260" si="1420">SUM(BX261,BX262,BX263,BX264)</f>
        <v>36481</v>
      </c>
      <c r="BY260" s="233">
        <f t="shared" si="1420"/>
        <v>37408</v>
      </c>
      <c r="BZ260" s="233">
        <f t="shared" si="1420"/>
        <v>72726</v>
      </c>
      <c r="CA260" s="233">
        <f t="shared" ref="CA260:CB260" si="1421">SUM(CA261,CA262,CA263,CA264)</f>
        <v>109207</v>
      </c>
      <c r="CB260" s="233">
        <f t="shared" si="1421"/>
        <v>146615</v>
      </c>
      <c r="CC260" s="233">
        <f t="shared" ref="CC260:CD260" si="1422">SUM(CC261,CC262,CC263,CC264)</f>
        <v>36904</v>
      </c>
      <c r="CD260" s="233">
        <f t="shared" si="1422"/>
        <v>35989</v>
      </c>
      <c r="CE260" s="233">
        <f t="shared" ref="CE260:CG260" si="1423">SUM(CE261,CE262,CE263,CE264)</f>
        <v>36121</v>
      </c>
      <c r="CF260" s="233">
        <f t="shared" si="1423"/>
        <v>36452</v>
      </c>
      <c r="CG260" s="233">
        <f t="shared" si="1423"/>
        <v>72893</v>
      </c>
      <c r="CH260" s="233">
        <f t="shared" ref="CH260:CI260" si="1424">SUM(CH261,CH262,CH263,CH264)</f>
        <v>109014</v>
      </c>
      <c r="CI260" s="233">
        <f t="shared" si="1424"/>
        <v>145466</v>
      </c>
      <c r="CJ260" s="233">
        <v>37391</v>
      </c>
      <c r="CK260" s="233">
        <f t="shared" ref="CK260:CO260" si="1425">SUM(CK261,CK262,CK263,CK264)</f>
        <v>36623</v>
      </c>
      <c r="CL260" s="233">
        <f t="shared" si="1425"/>
        <v>0</v>
      </c>
      <c r="CM260" s="233">
        <f t="shared" si="1425"/>
        <v>0</v>
      </c>
      <c r="CN260" s="233">
        <f t="shared" si="1425"/>
        <v>74014</v>
      </c>
      <c r="CO260" s="233">
        <f t="shared" si="1425"/>
        <v>0</v>
      </c>
    </row>
    <row r="261" spans="1:93" s="92" customFormat="1" x14ac:dyDescent="0.25">
      <c r="A261" s="164" t="str">
        <f>Language!AA256</f>
        <v>Rio Verde</v>
      </c>
      <c r="B261" s="235">
        <f>Energy!B84</f>
        <v>22192</v>
      </c>
      <c r="C261" s="235">
        <f>Energy!C84</f>
        <v>21290</v>
      </c>
      <c r="D261" s="235">
        <f>Energy!D84</f>
        <v>23441</v>
      </c>
      <c r="E261" s="236">
        <f>Energy!E84</f>
        <v>24442</v>
      </c>
      <c r="F261" s="235">
        <f>Energy!F84</f>
        <v>25282</v>
      </c>
      <c r="G261" s="235">
        <f>Energy!G84</f>
        <v>27380</v>
      </c>
      <c r="H261" s="235">
        <f>Energy!H84</f>
        <v>25951</v>
      </c>
      <c r="I261" s="236">
        <f>Energy!I84</f>
        <v>25092</v>
      </c>
      <c r="J261" s="235">
        <f>Energy!J84</f>
        <v>24963</v>
      </c>
      <c r="K261" s="235">
        <f>Energy!K84</f>
        <v>25263</v>
      </c>
      <c r="L261" s="235">
        <f>Energy!L84</f>
        <v>29027.245620000002</v>
      </c>
      <c r="M261" s="236">
        <f>Energy!M84</f>
        <v>29626.972323999988</v>
      </c>
      <c r="N261" s="235">
        <f>Energy!N84</f>
        <v>28031</v>
      </c>
      <c r="O261" s="235">
        <f>Energy!O84</f>
        <v>23975</v>
      </c>
      <c r="P261" s="235">
        <f>Energy!P84</f>
        <v>28738.792870000005</v>
      </c>
      <c r="Q261" s="238">
        <v>28972</v>
      </c>
      <c r="R261" s="240">
        <f>Energy!R84</f>
        <v>28434</v>
      </c>
      <c r="S261" s="238">
        <f>Energy!S84</f>
        <v>29137</v>
      </c>
      <c r="T261" s="238">
        <f>Energy!T84</f>
        <v>32203</v>
      </c>
      <c r="U261" s="238">
        <f>Energy!U84</f>
        <v>20009</v>
      </c>
      <c r="V261" s="238">
        <f>Energy!V84</f>
        <v>57571</v>
      </c>
      <c r="W261" s="238">
        <f>Energy!W84</f>
        <v>89774</v>
      </c>
      <c r="X261" s="238">
        <f>Energy!X84</f>
        <v>109783</v>
      </c>
      <c r="Y261" s="240">
        <f>Energy!Y84</f>
        <v>0</v>
      </c>
      <c r="Z261" s="238">
        <f>Energy!Z84</f>
        <v>0</v>
      </c>
      <c r="AA261" s="238">
        <f>Energy!AA84</f>
        <v>0</v>
      </c>
      <c r="AB261" s="238">
        <f>Energy!AB84</f>
        <v>0</v>
      </c>
      <c r="AC261" s="238">
        <f>Energy!AC84</f>
        <v>0</v>
      </c>
      <c r="AD261" s="238">
        <f>Energy!AD84</f>
        <v>0</v>
      </c>
      <c r="AE261" s="238">
        <f>Energy!AE84</f>
        <v>0</v>
      </c>
      <c r="AF261" s="240">
        <f>Energy!AF84</f>
        <v>0</v>
      </c>
      <c r="AG261" s="238">
        <f>Energy!AG84</f>
        <v>0</v>
      </c>
      <c r="AH261" s="238">
        <f>Energy!AJ84</f>
        <v>0</v>
      </c>
      <c r="AI261" s="238">
        <f>Energy!AI84</f>
        <v>0</v>
      </c>
      <c r="AJ261" s="238">
        <f>Energy!AJ84</f>
        <v>0</v>
      </c>
      <c r="AK261" s="238">
        <f>Energy!AK84</f>
        <v>0</v>
      </c>
      <c r="AL261" s="238">
        <f>Energy!AL84</f>
        <v>0</v>
      </c>
      <c r="AM261" s="240">
        <f>Energy!AM84</f>
        <v>0</v>
      </c>
      <c r="AN261" s="238">
        <f t="shared" si="1358"/>
        <v>0</v>
      </c>
      <c r="AO261" s="238"/>
      <c r="AP261" s="238">
        <f t="shared" si="1359"/>
        <v>0</v>
      </c>
      <c r="AQ261" s="238">
        <f>Energy!AQ84</f>
        <v>0</v>
      </c>
      <c r="AR261" s="238">
        <f>Energy!AR84</f>
        <v>0</v>
      </c>
      <c r="AS261" s="238">
        <f>Energy!AS84</f>
        <v>0</v>
      </c>
      <c r="AT261" s="240">
        <f>Energy!AT84</f>
        <v>0</v>
      </c>
      <c r="AU261" s="240">
        <f>Energy!AU84</f>
        <v>0</v>
      </c>
      <c r="AV261" s="240"/>
      <c r="AW261" s="240"/>
      <c r="AX261" s="240">
        <f>Energy!AX84</f>
        <v>0</v>
      </c>
      <c r="AY261" s="240">
        <f>Energy!AY84</f>
        <v>0</v>
      </c>
      <c r="AZ261" s="240">
        <f>Energy!AZ84</f>
        <v>0</v>
      </c>
      <c r="BA261" s="240">
        <f>Energy!BA84</f>
        <v>0</v>
      </c>
      <c r="BB261" s="240">
        <f>Energy!BB84</f>
        <v>0</v>
      </c>
      <c r="BC261" s="240">
        <f>Energy!BC84</f>
        <v>0</v>
      </c>
      <c r="BD261" s="240">
        <f>Energy!BD84</f>
        <v>0</v>
      </c>
      <c r="BE261" s="240">
        <f>Energy!BE84</f>
        <v>0</v>
      </c>
      <c r="BF261" s="240">
        <f>Energy!BF84</f>
        <v>0</v>
      </c>
      <c r="BG261" s="240">
        <f>Energy!BG84</f>
        <v>0</v>
      </c>
      <c r="BH261" s="240">
        <f>Energy!BH84</f>
        <v>0</v>
      </c>
      <c r="BI261" s="240">
        <f>Energy!BI84</f>
        <v>0</v>
      </c>
      <c r="BJ261" s="240">
        <f>Energy!BJ84</f>
        <v>0</v>
      </c>
      <c r="BK261" s="240">
        <f>Energy!BK84</f>
        <v>0</v>
      </c>
      <c r="BL261" s="240">
        <f>Energy!BL84</f>
        <v>0</v>
      </c>
      <c r="BM261" s="240">
        <f>Energy!BM84</f>
        <v>0</v>
      </c>
      <c r="BN261" s="240">
        <f>Energy!BN84</f>
        <v>0</v>
      </c>
      <c r="BO261" s="240">
        <f>Energy!BO84</f>
        <v>0</v>
      </c>
      <c r="BP261" s="240">
        <f>Energy!BP84</f>
        <v>0</v>
      </c>
      <c r="BQ261" s="240">
        <f>Energy!BQ84</f>
        <v>0</v>
      </c>
      <c r="BR261" s="240">
        <f>Energy!BR84</f>
        <v>0</v>
      </c>
      <c r="BS261" s="240">
        <f>Energy!BS84</f>
        <v>0</v>
      </c>
      <c r="BT261" s="240">
        <f>Energy!BT84</f>
        <v>0</v>
      </c>
      <c r="BU261" s="240">
        <f>Energy!BU84</f>
        <v>0</v>
      </c>
      <c r="BV261" s="240">
        <f>Energy!BV84</f>
        <v>0</v>
      </c>
      <c r="BW261" s="240">
        <f>Energy!BW84</f>
        <v>0</v>
      </c>
      <c r="BX261" s="240">
        <f>Energy!BX84</f>
        <v>0</v>
      </c>
      <c r="BY261" s="240">
        <f>Energy!BY84</f>
        <v>0</v>
      </c>
      <c r="BZ261" s="240">
        <f>Energy!BZ84</f>
        <v>0</v>
      </c>
      <c r="CA261" s="240">
        <f>Energy!CA84</f>
        <v>0</v>
      </c>
      <c r="CB261" s="240">
        <f>Energy!CB84</f>
        <v>0</v>
      </c>
      <c r="CC261" s="240">
        <f>Energy!CC84</f>
        <v>0</v>
      </c>
      <c r="CD261" s="240">
        <f>Energy!CD84</f>
        <v>0</v>
      </c>
      <c r="CE261" s="240">
        <f>Energy!CE84</f>
        <v>0</v>
      </c>
      <c r="CF261" s="240">
        <f>Energy!CF84</f>
        <v>0</v>
      </c>
      <c r="CG261" s="240">
        <f>Energy!CG84</f>
        <v>0</v>
      </c>
      <c r="CH261" s="240">
        <f>Energy!CH84</f>
        <v>0</v>
      </c>
      <c r="CI261" s="240">
        <f>Energy!CI84</f>
        <v>0</v>
      </c>
      <c r="CJ261" s="240">
        <v>0</v>
      </c>
      <c r="CK261" s="240">
        <f>Energy!CK84</f>
        <v>0</v>
      </c>
      <c r="CL261" s="240">
        <f>Energy!CL84</f>
        <v>0</v>
      </c>
      <c r="CM261" s="240">
        <f>Energy!CM84</f>
        <v>0</v>
      </c>
      <c r="CN261" s="240">
        <f>Energy!CN84</f>
        <v>0</v>
      </c>
      <c r="CO261" s="240">
        <f>Energy!CO84</f>
        <v>0</v>
      </c>
    </row>
    <row r="262" spans="1:93" s="92" customFormat="1" x14ac:dyDescent="0.25">
      <c r="A262" s="164" t="str">
        <f>Language!AA257</f>
        <v>Rio Canoas</v>
      </c>
      <c r="B262" s="235">
        <f>Energy!B85</f>
        <v>0</v>
      </c>
      <c r="C262" s="235">
        <f>Energy!C85</f>
        <v>0</v>
      </c>
      <c r="D262" s="235">
        <f>Energy!D85</f>
        <v>0</v>
      </c>
      <c r="E262" s="236">
        <f>Energy!E85</f>
        <v>0</v>
      </c>
      <c r="F262" s="235">
        <f>Energy!F85</f>
        <v>0</v>
      </c>
      <c r="G262" s="235">
        <f>Energy!G85</f>
        <v>0</v>
      </c>
      <c r="H262" s="235">
        <f>Energy!H85</f>
        <v>0</v>
      </c>
      <c r="I262" s="236">
        <f>Energy!I85</f>
        <v>0</v>
      </c>
      <c r="J262" s="235">
        <f>Energy!J85</f>
        <v>0</v>
      </c>
      <c r="K262" s="235">
        <f>Energy!K85</f>
        <v>0</v>
      </c>
      <c r="L262" s="235">
        <f>Energy!L85</f>
        <v>1258.7543799999985</v>
      </c>
      <c r="M262" s="236">
        <f>Energy!M85</f>
        <v>30304.02562</v>
      </c>
      <c r="N262" s="235">
        <f>Energy!N85</f>
        <v>210888</v>
      </c>
      <c r="O262" s="235">
        <f>Energy!O85</f>
        <v>15496</v>
      </c>
      <c r="P262" s="235">
        <f>Energy!P85</f>
        <v>15874.97086567001</v>
      </c>
      <c r="Q262" s="238">
        <v>18241</v>
      </c>
      <c r="R262" s="240">
        <v>81444</v>
      </c>
      <c r="S262" s="238">
        <f>Energy!S85</f>
        <v>17035</v>
      </c>
      <c r="T262" s="238">
        <f>Energy!T85</f>
        <v>15662</v>
      </c>
      <c r="U262" s="238">
        <f>Energy!U85</f>
        <v>12300</v>
      </c>
      <c r="V262" s="238">
        <f>Energy!V85</f>
        <v>98152</v>
      </c>
      <c r="W262" s="238">
        <f>Energy!W85</f>
        <v>113814</v>
      </c>
      <c r="X262" s="238">
        <f>Energy!X85</f>
        <v>126114</v>
      </c>
      <c r="Y262" s="240">
        <f>Energy!Y85</f>
        <v>0</v>
      </c>
      <c r="Z262" s="238">
        <f>Energy!Z85</f>
        <v>0</v>
      </c>
      <c r="AA262" s="238">
        <f>Energy!AA85</f>
        <v>0</v>
      </c>
      <c r="AB262" s="238">
        <f>Energy!AB85</f>
        <v>0</v>
      </c>
      <c r="AC262" s="238">
        <f>Energy!AC85</f>
        <v>0</v>
      </c>
      <c r="AD262" s="238">
        <f>Energy!AD85</f>
        <v>0</v>
      </c>
      <c r="AE262" s="238">
        <f>Energy!AE85</f>
        <v>0</v>
      </c>
      <c r="AF262" s="240">
        <f>Energy!AF85</f>
        <v>0</v>
      </c>
      <c r="AG262" s="238">
        <f>Energy!AG85</f>
        <v>0</v>
      </c>
      <c r="AH262" s="238">
        <f>Energy!AJ85</f>
        <v>0</v>
      </c>
      <c r="AI262" s="238">
        <f>Energy!AI85</f>
        <v>0</v>
      </c>
      <c r="AJ262" s="238">
        <f>Energy!AJ85</f>
        <v>0</v>
      </c>
      <c r="AK262" s="238">
        <f>Energy!AK85</f>
        <v>0</v>
      </c>
      <c r="AL262" s="238">
        <f>Energy!AL85</f>
        <v>0</v>
      </c>
      <c r="AM262" s="240">
        <f>Energy!AM85</f>
        <v>0</v>
      </c>
      <c r="AN262" s="238">
        <f t="shared" si="1358"/>
        <v>0</v>
      </c>
      <c r="AO262" s="238"/>
      <c r="AP262" s="238">
        <f t="shared" si="1359"/>
        <v>0</v>
      </c>
      <c r="AQ262" s="238">
        <f>Energy!AQ85</f>
        <v>0</v>
      </c>
      <c r="AR262" s="238">
        <f>Energy!AR85</f>
        <v>0</v>
      </c>
      <c r="AS262" s="238">
        <f>Energy!AS85</f>
        <v>0</v>
      </c>
      <c r="AT262" s="240">
        <f>Energy!AT85</f>
        <v>0</v>
      </c>
      <c r="AU262" s="240">
        <f>Energy!AU85</f>
        <v>0</v>
      </c>
      <c r="AV262" s="240"/>
      <c r="AW262" s="240"/>
      <c r="AX262" s="240">
        <f>Energy!AX85</f>
        <v>0</v>
      </c>
      <c r="AY262" s="240">
        <f>Energy!AY85</f>
        <v>0</v>
      </c>
      <c r="AZ262" s="240">
        <f>Energy!AZ85</f>
        <v>0</v>
      </c>
      <c r="BA262" s="240">
        <f>Energy!BA85</f>
        <v>0</v>
      </c>
      <c r="BB262" s="240">
        <f>Energy!BB85</f>
        <v>0</v>
      </c>
      <c r="BC262" s="240">
        <f>Energy!BC85</f>
        <v>0</v>
      </c>
      <c r="BD262" s="240">
        <f>Energy!BD85</f>
        <v>0</v>
      </c>
      <c r="BE262" s="240">
        <f>Energy!BE85</f>
        <v>0</v>
      </c>
      <c r="BF262" s="240">
        <f>Energy!BF85</f>
        <v>0</v>
      </c>
      <c r="BG262" s="240">
        <f>Energy!BG85</f>
        <v>0</v>
      </c>
      <c r="BH262" s="240">
        <f>Energy!BH85</f>
        <v>0</v>
      </c>
      <c r="BI262" s="240">
        <f>Energy!BI85</f>
        <v>0</v>
      </c>
      <c r="BJ262" s="240">
        <f>Energy!BJ85</f>
        <v>0</v>
      </c>
      <c r="BK262" s="240">
        <f>Energy!BK85</f>
        <v>0</v>
      </c>
      <c r="BL262" s="240">
        <f>Energy!BL85</f>
        <v>0</v>
      </c>
      <c r="BM262" s="240">
        <f>Energy!BM85</f>
        <v>0</v>
      </c>
      <c r="BN262" s="240">
        <f>Energy!BN85</f>
        <v>0</v>
      </c>
      <c r="BO262" s="240">
        <f>Energy!BO85</f>
        <v>0</v>
      </c>
      <c r="BP262" s="240">
        <f>Energy!BP85</f>
        <v>0</v>
      </c>
      <c r="BQ262" s="240">
        <f>Energy!BQ85</f>
        <v>0</v>
      </c>
      <c r="BR262" s="240">
        <f>Energy!BR85</f>
        <v>0</v>
      </c>
      <c r="BS262" s="240">
        <f>Energy!BS85</f>
        <v>0</v>
      </c>
      <c r="BT262" s="240">
        <f>Energy!BT85</f>
        <v>0</v>
      </c>
      <c r="BU262" s="240">
        <f>Energy!BU85</f>
        <v>0</v>
      </c>
      <c r="BV262" s="240">
        <f>Energy!BV85</f>
        <v>0</v>
      </c>
      <c r="BW262" s="240">
        <f>Energy!BW85</f>
        <v>0</v>
      </c>
      <c r="BX262" s="240">
        <f>Energy!BX85</f>
        <v>0</v>
      </c>
      <c r="BY262" s="240">
        <f>Energy!BY85</f>
        <v>0</v>
      </c>
      <c r="BZ262" s="240">
        <f>Energy!BZ85</f>
        <v>0</v>
      </c>
      <c r="CA262" s="240">
        <f>Energy!CA85</f>
        <v>0</v>
      </c>
      <c r="CB262" s="240">
        <f>Energy!CB85</f>
        <v>0</v>
      </c>
      <c r="CC262" s="240">
        <f>Energy!CC85</f>
        <v>0</v>
      </c>
      <c r="CD262" s="240">
        <f>Energy!CD85</f>
        <v>0</v>
      </c>
      <c r="CE262" s="240">
        <f>Energy!CE85</f>
        <v>0</v>
      </c>
      <c r="CF262" s="240">
        <f>Energy!CF85</f>
        <v>0</v>
      </c>
      <c r="CG262" s="240">
        <f>Energy!CG85</f>
        <v>0</v>
      </c>
      <c r="CH262" s="240">
        <f>Energy!CH85</f>
        <v>0</v>
      </c>
      <c r="CI262" s="240">
        <f>Energy!CI85</f>
        <v>0</v>
      </c>
      <c r="CJ262" s="240">
        <v>0</v>
      </c>
      <c r="CK262" s="240">
        <f>Energy!CK85</f>
        <v>0</v>
      </c>
      <c r="CL262" s="240">
        <f>Energy!CL85</f>
        <v>0</v>
      </c>
      <c r="CM262" s="240">
        <f>Energy!CM85</f>
        <v>0</v>
      </c>
      <c r="CN262" s="240">
        <f>Energy!CN85</f>
        <v>0</v>
      </c>
      <c r="CO262" s="240">
        <f>Energy!CO85</f>
        <v>0</v>
      </c>
    </row>
    <row r="263" spans="1:93" s="92" customFormat="1" x14ac:dyDescent="0.25">
      <c r="A263" s="164" t="str">
        <f>Language!AA258</f>
        <v>Tijoá</v>
      </c>
      <c r="B263" s="235"/>
      <c r="C263" s="235"/>
      <c r="D263" s="235"/>
      <c r="E263" s="236"/>
      <c r="F263" s="235"/>
      <c r="G263" s="235"/>
      <c r="H263" s="235"/>
      <c r="I263" s="236"/>
      <c r="J263" s="235"/>
      <c r="K263" s="235"/>
      <c r="L263" s="235"/>
      <c r="M263" s="236"/>
      <c r="N263" s="235"/>
      <c r="O263" s="235"/>
      <c r="P263" s="235"/>
      <c r="Q263" s="238">
        <v>4387</v>
      </c>
      <c r="R263" s="240">
        <v>11458</v>
      </c>
      <c r="S263" s="238">
        <f>Energy!S86</f>
        <v>10864</v>
      </c>
      <c r="T263" s="238">
        <f>Energy!T86</f>
        <v>11931</v>
      </c>
      <c r="U263" s="238">
        <f>Energy!U86</f>
        <v>12057</v>
      </c>
      <c r="V263" s="238">
        <f>Energy!V86</f>
        <v>21494</v>
      </c>
      <c r="W263" s="238">
        <f>Energy!W86</f>
        <v>33425</v>
      </c>
      <c r="X263" s="238">
        <f>Energy!X86</f>
        <v>45482</v>
      </c>
      <c r="Y263" s="240">
        <f>Energy!Y86</f>
        <v>14249</v>
      </c>
      <c r="Z263" s="238">
        <f>Energy!Z86</f>
        <v>12934</v>
      </c>
      <c r="AA263" s="238">
        <f>Energy!AA86</f>
        <v>6659</v>
      </c>
      <c r="AB263" s="238">
        <f>Energy!AB86</f>
        <v>12349</v>
      </c>
      <c r="AC263" s="238">
        <f>Energy!AC86</f>
        <v>27183</v>
      </c>
      <c r="AD263" s="238">
        <f>Energy!AD86</f>
        <v>33842</v>
      </c>
      <c r="AE263" s="238">
        <f>Energy!AE86</f>
        <v>46191</v>
      </c>
      <c r="AF263" s="240">
        <f>Energy!AF86</f>
        <v>14247</v>
      </c>
      <c r="AG263" s="238">
        <f>Energy!AG86</f>
        <v>14669</v>
      </c>
      <c r="AH263" s="238">
        <f>Energy!AJ86</f>
        <v>28916</v>
      </c>
      <c r="AI263" s="238">
        <f>Energy!AI86</f>
        <v>16267</v>
      </c>
      <c r="AJ263" s="238">
        <f>Energy!AJ86</f>
        <v>28916</v>
      </c>
      <c r="AK263" s="238">
        <f>Energy!AK86</f>
        <v>43857</v>
      </c>
      <c r="AL263" s="238">
        <f>Energy!AL86</f>
        <v>55868</v>
      </c>
      <c r="AM263" s="240">
        <f>Energy!AM86</f>
        <v>14686</v>
      </c>
      <c r="AN263" s="238">
        <f t="shared" si="1358"/>
        <v>14620</v>
      </c>
      <c r="AO263" s="238"/>
      <c r="AP263" s="238">
        <f t="shared" si="1359"/>
        <v>23029</v>
      </c>
      <c r="AQ263" s="238">
        <f>Energy!AQ86</f>
        <v>29306</v>
      </c>
      <c r="AR263" s="238">
        <f>Energy!AR86</f>
        <v>52346</v>
      </c>
      <c r="AS263" s="238">
        <f>Energy!AS86</f>
        <v>75375</v>
      </c>
      <c r="AT263" s="240">
        <f>Energy!AT86</f>
        <v>22762</v>
      </c>
      <c r="AU263" s="240">
        <f>Energy!AU86</f>
        <v>22895</v>
      </c>
      <c r="AV263" s="240">
        <f>Energy!AV86</f>
        <v>25975</v>
      </c>
      <c r="AW263" s="240">
        <f>Energy!AW86</f>
        <v>25945</v>
      </c>
      <c r="AX263" s="240">
        <f>Energy!AX86</f>
        <v>45657</v>
      </c>
      <c r="AY263" s="240">
        <f>Energy!AY86</f>
        <v>71632</v>
      </c>
      <c r="AZ263" s="240">
        <f>Energy!AZ86</f>
        <v>97577</v>
      </c>
      <c r="BA263" s="240">
        <f>Energy!BA86</f>
        <v>25799</v>
      </c>
      <c r="BB263" s="240">
        <f>Energy!BB86</f>
        <v>25811</v>
      </c>
      <c r="BC263" s="240">
        <f>Energy!BC86</f>
        <v>30106</v>
      </c>
      <c r="BD263" s="240">
        <f>Energy!BD86</f>
        <v>29412</v>
      </c>
      <c r="BE263" s="240">
        <f>Energy!BE86</f>
        <v>51610</v>
      </c>
      <c r="BF263" s="240">
        <f>Energy!BF86</f>
        <v>81716</v>
      </c>
      <c r="BG263" s="240">
        <f>Energy!BG86</f>
        <v>111128</v>
      </c>
      <c r="BH263" s="240">
        <f>Energy!BH86</f>
        <v>28980</v>
      </c>
      <c r="BI263" s="240">
        <f>Energy!BI86</f>
        <v>29132</v>
      </c>
      <c r="BJ263" s="240">
        <f>Energy!BJ86</f>
        <v>30125</v>
      </c>
      <c r="BK263" s="240">
        <f>Energy!BK86</f>
        <v>30126</v>
      </c>
      <c r="BL263" s="240">
        <f>Energy!BL86</f>
        <v>58112</v>
      </c>
      <c r="BM263" s="240">
        <f>Energy!BM86</f>
        <v>88237</v>
      </c>
      <c r="BN263" s="240">
        <f>Energy!BN86</f>
        <v>118363</v>
      </c>
      <c r="BO263" s="240">
        <f>Energy!BO86</f>
        <v>29746</v>
      </c>
      <c r="BP263" s="240">
        <f>Energy!BP86</f>
        <v>29921</v>
      </c>
      <c r="BQ263" s="240">
        <f>Energy!BQ86</f>
        <v>34339</v>
      </c>
      <c r="BR263" s="240">
        <f>Energy!BR86</f>
        <v>34326</v>
      </c>
      <c r="BS263" s="240">
        <f>Energy!BS86</f>
        <v>59667</v>
      </c>
      <c r="BT263" s="240">
        <f>Energy!BT86</f>
        <v>94006</v>
      </c>
      <c r="BU263" s="240">
        <f>Energy!BU86</f>
        <v>128332</v>
      </c>
      <c r="BV263" s="240">
        <f>Energy!BV86</f>
        <v>33918</v>
      </c>
      <c r="BW263" s="240">
        <f>Energy!BW86</f>
        <v>34119</v>
      </c>
      <c r="BX263" s="240">
        <f>Energy!BX86</f>
        <v>34727</v>
      </c>
      <c r="BY263" s="240">
        <f>Energy!BY86</f>
        <v>34748</v>
      </c>
      <c r="BZ263" s="240">
        <f>Energy!BZ86</f>
        <v>68037</v>
      </c>
      <c r="CA263" s="240">
        <f>Energy!CA86</f>
        <v>102764</v>
      </c>
      <c r="CB263" s="240">
        <f>Energy!CB86</f>
        <v>137512</v>
      </c>
      <c r="CC263" s="240">
        <f>Energy!CC86</f>
        <v>34511</v>
      </c>
      <c r="CD263" s="240">
        <f>Energy!CD86</f>
        <v>34531</v>
      </c>
      <c r="CE263" s="240">
        <f>Energy!CE86</f>
        <v>34279</v>
      </c>
      <c r="CF263" s="240">
        <f>Energy!CF86</f>
        <v>34288</v>
      </c>
      <c r="CG263" s="240">
        <f>Energy!CG86</f>
        <v>69042</v>
      </c>
      <c r="CH263" s="240">
        <f>Energy!CH86</f>
        <v>103321</v>
      </c>
      <c r="CI263" s="240">
        <f>Energy!CI86</f>
        <v>137609</v>
      </c>
      <c r="CJ263" s="240">
        <v>34166</v>
      </c>
      <c r="CK263" s="240">
        <f>Energy!CK86</f>
        <v>34401</v>
      </c>
      <c r="CL263" s="240">
        <f>Energy!CL86</f>
        <v>0</v>
      </c>
      <c r="CM263" s="240">
        <f>Energy!CM86</f>
        <v>0</v>
      </c>
      <c r="CN263" s="240">
        <f>Energy!CN86</f>
        <v>68567</v>
      </c>
      <c r="CO263" s="240">
        <f>Energy!CO86</f>
        <v>0</v>
      </c>
    </row>
    <row r="264" spans="1:93" s="92" customFormat="1" x14ac:dyDescent="0.25">
      <c r="A264" s="164" t="str">
        <f>Language!AA259</f>
        <v>Outros</v>
      </c>
      <c r="B264" s="235">
        <f>SUM(Energy!B87,Energy!B88)</f>
        <v>0</v>
      </c>
      <c r="C264" s="235">
        <f>SUM(Energy!C87,Energy!C88)</f>
        <v>0</v>
      </c>
      <c r="D264" s="235">
        <f>SUM(Energy!D87,Energy!D88)</f>
        <v>0</v>
      </c>
      <c r="E264" s="236">
        <f>SUM(Energy!E87,Energy!E88)</f>
        <v>0</v>
      </c>
      <c r="F264" s="235">
        <f>SUM(Energy!F87,Energy!F88)</f>
        <v>0</v>
      </c>
      <c r="G264" s="235">
        <f>SUM(Energy!G87,Energy!G88)</f>
        <v>0</v>
      </c>
      <c r="H264" s="235">
        <f>SUM(Energy!H87,Energy!H88)</f>
        <v>0</v>
      </c>
      <c r="I264" s="236">
        <f>SUM(Energy!I87,Energy!I88)</f>
        <v>0</v>
      </c>
      <c r="J264" s="235">
        <f>SUM(Energy!J87,Energy!J88)</f>
        <v>12381</v>
      </c>
      <c r="K264" s="235">
        <f>SUM(Energy!K87,Energy!K88)</f>
        <v>0</v>
      </c>
      <c r="L264" s="235">
        <f>SUM(Energy!L87,Energy!L88)</f>
        <v>-458</v>
      </c>
      <c r="M264" s="236">
        <f>SUM(Energy!M87,Energy!M88)</f>
        <v>1427</v>
      </c>
      <c r="N264" s="235">
        <f>SUM(Energy!N87,Energy!N88)</f>
        <v>0</v>
      </c>
      <c r="O264" s="235">
        <f>SUM(Energy!O87,Energy!O88)</f>
        <v>0</v>
      </c>
      <c r="P264" s="235">
        <f>SUM(Energy!P87,Energy!P88)</f>
        <v>0.13879887800430879</v>
      </c>
      <c r="Q264" s="238">
        <v>0</v>
      </c>
      <c r="R264" s="240">
        <v>-309</v>
      </c>
      <c r="S264" s="238">
        <f>Energy!S87</f>
        <v>-292</v>
      </c>
      <c r="T264" s="238">
        <f>Energy!T87</f>
        <v>1231</v>
      </c>
      <c r="U264" s="238">
        <f>Energy!U87</f>
        <v>481</v>
      </c>
      <c r="V264" s="238">
        <f>Energy!V87</f>
        <v>132</v>
      </c>
      <c r="W264" s="238">
        <f>Energy!W87</f>
        <v>1363</v>
      </c>
      <c r="X264" s="238">
        <f>Energy!X87</f>
        <v>1844</v>
      </c>
      <c r="Y264" s="240">
        <f>Energy!Y87</f>
        <v>0</v>
      </c>
      <c r="Z264" s="238">
        <f>Energy!Z87</f>
        <v>0</v>
      </c>
      <c r="AA264" s="238">
        <f>Energy!AA87</f>
        <v>1340</v>
      </c>
      <c r="AB264" s="238">
        <f>Energy!AB87</f>
        <v>473</v>
      </c>
      <c r="AC264" s="238">
        <f>Energy!AC87</f>
        <v>0</v>
      </c>
      <c r="AD264" s="238">
        <f>Energy!AD87</f>
        <v>1340</v>
      </c>
      <c r="AE264" s="238">
        <f>Energy!AE87</f>
        <v>1813</v>
      </c>
      <c r="AF264" s="240">
        <f>Energy!AF87</f>
        <v>486</v>
      </c>
      <c r="AG264" s="238">
        <f>Energy!AG87</f>
        <v>486</v>
      </c>
      <c r="AH264" s="238">
        <f>Energy!AJ87</f>
        <v>972</v>
      </c>
      <c r="AI264" s="238">
        <f>Energy!AI87</f>
        <v>11047</v>
      </c>
      <c r="AJ264" s="238">
        <f>Energy!AJ87</f>
        <v>972</v>
      </c>
      <c r="AK264" s="238">
        <f>Energy!AK87</f>
        <v>677</v>
      </c>
      <c r="AL264" s="238">
        <f>Energy!AL87</f>
        <v>8232</v>
      </c>
      <c r="AM264" s="240">
        <f>Energy!AM87</f>
        <v>2216</v>
      </c>
      <c r="AN264" s="238">
        <f t="shared" si="1358"/>
        <v>2009</v>
      </c>
      <c r="AO264" s="238"/>
      <c r="AP264" s="238">
        <f t="shared" si="1359"/>
        <v>2739.723</v>
      </c>
      <c r="AQ264" s="238">
        <f>Energy!AQ87</f>
        <v>4225</v>
      </c>
      <c r="AR264" s="238">
        <f>Energy!AR87+Energy!AR88</f>
        <v>6255</v>
      </c>
      <c r="AS264" s="238">
        <f>Energy!AS87+Energy!AS88</f>
        <v>8994.723</v>
      </c>
      <c r="AT264" s="240">
        <f>Energy!AT87+Energy!AT88</f>
        <v>2602.4499999999998</v>
      </c>
      <c r="AU264" s="240">
        <f>Energy!AU87+Energy!AU88</f>
        <v>1724.45</v>
      </c>
      <c r="AV264" s="240">
        <f>Energy!AV87+Energy!AV88</f>
        <v>2273.1</v>
      </c>
      <c r="AW264" s="240">
        <f>Energy!AW87+Energy!AW88</f>
        <v>2723</v>
      </c>
      <c r="AX264" s="240">
        <f>Energy!AX87+Energy!AX88</f>
        <v>4326.8999999999996</v>
      </c>
      <c r="AY264" s="240">
        <f>Energy!AY87+Energy!AY88</f>
        <v>6600</v>
      </c>
      <c r="AZ264" s="240">
        <f>Energy!AZ87+Energy!AZ88</f>
        <v>9323</v>
      </c>
      <c r="BA264" s="240">
        <f>Energy!BA87+Energy!BA88</f>
        <v>2794</v>
      </c>
      <c r="BB264" s="240">
        <f>Energy!BB87+Energy!BB88</f>
        <v>1581</v>
      </c>
      <c r="BC264" s="240">
        <f>Energy!BC87+Energy!BC88</f>
        <v>1826</v>
      </c>
      <c r="BD264" s="240">
        <f>Energy!BD87+Energy!BD88</f>
        <v>1427</v>
      </c>
      <c r="BE264" s="240">
        <f>Energy!BE87+Energy!BE88</f>
        <v>4375</v>
      </c>
      <c r="BF264" s="240">
        <f>Energy!BF87+Energy!BF88</f>
        <v>6201</v>
      </c>
      <c r="BG264" s="240">
        <f>Energy!BG87+Energy!BG88</f>
        <v>7628</v>
      </c>
      <c r="BH264" s="240">
        <f>Energy!BH87+Energy!BH88</f>
        <v>1106</v>
      </c>
      <c r="BI264" s="240">
        <f>Energy!BI87+Energy!BI88</f>
        <v>943</v>
      </c>
      <c r="BJ264" s="240">
        <f>Energy!BJ87+Energy!BJ88</f>
        <v>1304</v>
      </c>
      <c r="BK264" s="240">
        <f>Energy!BK87+Energy!BK88</f>
        <v>1009</v>
      </c>
      <c r="BL264" s="240">
        <f>Energy!BL87+Energy!BL88</f>
        <v>2049</v>
      </c>
      <c r="BM264" s="240">
        <f>Energy!BM87+Energy!BM88</f>
        <v>3353</v>
      </c>
      <c r="BN264" s="240">
        <f>Energy!BN87+Energy!BN88</f>
        <v>4362</v>
      </c>
      <c r="BO264" s="240">
        <f>Energy!BO87+Energy!BO88</f>
        <v>821</v>
      </c>
      <c r="BP264" s="240">
        <f>Energy!BP87+Energy!BP88</f>
        <v>837</v>
      </c>
      <c r="BQ264" s="240">
        <f>Energy!BQ87+Energy!BQ88</f>
        <v>891</v>
      </c>
      <c r="BR264" s="240">
        <f>Energy!BR87+Energy!BR88</f>
        <v>918</v>
      </c>
      <c r="BS264" s="240">
        <f>Energy!BS87+Energy!BS88</f>
        <v>1658</v>
      </c>
      <c r="BT264" s="240">
        <f>Energy!BT87+Energy!BT88</f>
        <v>2549</v>
      </c>
      <c r="BU264" s="240">
        <f>Energy!BU87+Energy!BU88</f>
        <v>3467</v>
      </c>
      <c r="BV264" s="240">
        <f>Energy!BV87+Energy!BV88</f>
        <v>3074</v>
      </c>
      <c r="BW264" s="240">
        <f>Energy!BW87+Energy!BW88</f>
        <v>1615</v>
      </c>
      <c r="BX264" s="240">
        <f>Energy!BX87+Energy!BX88</f>
        <v>1754</v>
      </c>
      <c r="BY264" s="240">
        <f>Energy!BY87+Energy!BY88</f>
        <v>2660</v>
      </c>
      <c r="BZ264" s="240">
        <f>Energy!BZ87+Energy!BZ88</f>
        <v>4689</v>
      </c>
      <c r="CA264" s="240">
        <f>Energy!CA87+Energy!CA88</f>
        <v>6443</v>
      </c>
      <c r="CB264" s="240">
        <f>Energy!CB87+Energy!CB88</f>
        <v>9103</v>
      </c>
      <c r="CC264" s="240">
        <f>Energy!CC87+Energy!CC88</f>
        <v>2393</v>
      </c>
      <c r="CD264" s="240">
        <f>Energy!CD87+Energy!CD88</f>
        <v>1458</v>
      </c>
      <c r="CE264" s="240">
        <f>Energy!CE87+Energy!CE88</f>
        <v>1842</v>
      </c>
      <c r="CF264" s="240">
        <f>Energy!CF87+Energy!CF88</f>
        <v>2164</v>
      </c>
      <c r="CG264" s="240">
        <f>Energy!CG87+Energy!CG88</f>
        <v>3851</v>
      </c>
      <c r="CH264" s="240">
        <f>Energy!CH87+Energy!CH88</f>
        <v>5693</v>
      </c>
      <c r="CI264" s="240">
        <f>Energy!CI87+Energy!CI88</f>
        <v>7857</v>
      </c>
      <c r="CJ264" s="240">
        <v>3225</v>
      </c>
      <c r="CK264" s="240">
        <f>Energy!CK87+Energy!CK88</f>
        <v>2222</v>
      </c>
      <c r="CL264" s="240">
        <f>Energy!CL87+Energy!CL88</f>
        <v>0</v>
      </c>
      <c r="CM264" s="240">
        <f>Energy!CM87+Energy!CM88</f>
        <v>0</v>
      </c>
      <c r="CN264" s="240">
        <f>Energy!CN87+Energy!CN88</f>
        <v>5447</v>
      </c>
      <c r="CO264" s="240">
        <f>Energy!CO87+Energy!CO88</f>
        <v>0</v>
      </c>
    </row>
    <row r="265" spans="1:93" s="100" customFormat="1" ht="13" x14ac:dyDescent="0.3">
      <c r="A265" s="160" t="str">
        <f>Language!AA260</f>
        <v>Portos</v>
      </c>
      <c r="B265" s="231" t="e">
        <f>SUM(B266,B267,B268)</f>
        <v>#REF!</v>
      </c>
      <c r="C265" s="231" t="e">
        <f t="shared" ref="C265:L265" si="1426">SUM(C266,C267,C268)</f>
        <v>#REF!</v>
      </c>
      <c r="D265" s="231" t="e">
        <f t="shared" si="1426"/>
        <v>#REF!</v>
      </c>
      <c r="E265" s="232" t="e">
        <f t="shared" si="1426"/>
        <v>#REF!</v>
      </c>
      <c r="F265" s="231" t="e">
        <f t="shared" si="1426"/>
        <v>#REF!</v>
      </c>
      <c r="G265" s="231" t="e">
        <f t="shared" si="1426"/>
        <v>#REF!</v>
      </c>
      <c r="H265" s="231" t="e">
        <f t="shared" si="1426"/>
        <v>#REF!</v>
      </c>
      <c r="I265" s="232" t="e">
        <f t="shared" si="1426"/>
        <v>#REF!</v>
      </c>
      <c r="J265" s="231" t="e">
        <f t="shared" si="1426"/>
        <v>#REF!</v>
      </c>
      <c r="K265" s="231" t="e">
        <f t="shared" si="1426"/>
        <v>#REF!</v>
      </c>
      <c r="L265" s="231" t="e">
        <f t="shared" si="1426"/>
        <v>#REF!</v>
      </c>
      <c r="M265" s="232" t="e">
        <f t="shared" ref="M265:N265" si="1427">SUM(M266,M267,M268)</f>
        <v>#REF!</v>
      </c>
      <c r="N265" s="231" t="e">
        <f t="shared" si="1427"/>
        <v>#REF!</v>
      </c>
      <c r="O265" s="231" t="e">
        <f t="shared" ref="O265" si="1428">SUM(O266,O267,O268)</f>
        <v>#REF!</v>
      </c>
      <c r="P265" s="231" t="e">
        <f t="shared" ref="P265" si="1429">SUM(P266,P267,P268)</f>
        <v>#REF!</v>
      </c>
      <c r="Q265" s="231" t="e">
        <f t="shared" ref="Q265" si="1430">SUM(Q266,Q267,Q268)</f>
        <v>#REF!</v>
      </c>
      <c r="R265" s="233" t="e">
        <f t="shared" ref="R265:X265" si="1431">SUM(R266,R267,R268)</f>
        <v>#REF!</v>
      </c>
      <c r="S265" s="231" t="e">
        <f t="shared" si="1431"/>
        <v>#REF!</v>
      </c>
      <c r="T265" s="234" t="e">
        <f t="shared" si="1431"/>
        <v>#REF!</v>
      </c>
      <c r="U265" s="234" t="e">
        <f t="shared" si="1431"/>
        <v>#REF!</v>
      </c>
      <c r="V265" s="234" t="e">
        <f t="shared" ref="V265" si="1432">SUM(V266,V267,V268)</f>
        <v>#REF!</v>
      </c>
      <c r="W265" s="234" t="e">
        <f t="shared" si="1431"/>
        <v>#REF!</v>
      </c>
      <c r="X265" s="234" t="e">
        <f t="shared" si="1431"/>
        <v>#REF!</v>
      </c>
      <c r="Y265" s="233" t="e">
        <f t="shared" ref="Y265:AB265" si="1433">SUM(Y266,Y267,Y268)</f>
        <v>#REF!</v>
      </c>
      <c r="Z265" s="231" t="e">
        <f t="shared" si="1433"/>
        <v>#REF!</v>
      </c>
      <c r="AA265" s="234" t="e">
        <f t="shared" si="1433"/>
        <v>#REF!</v>
      </c>
      <c r="AB265" s="234" t="e">
        <f t="shared" si="1433"/>
        <v>#REF!</v>
      </c>
      <c r="AC265" s="234" t="e">
        <f t="shared" ref="AC265:AD265" si="1434">SUM(AC266,AC267,AC268)</f>
        <v>#REF!</v>
      </c>
      <c r="AD265" s="234" t="e">
        <f t="shared" si="1434"/>
        <v>#REF!</v>
      </c>
      <c r="AE265" s="234" t="e">
        <f t="shared" ref="AE265:AJ265" si="1435">SUM(AE266,AE267,AE268)</f>
        <v>#REF!</v>
      </c>
      <c r="AF265" s="233" t="e">
        <f t="shared" si="1435"/>
        <v>#REF!</v>
      </c>
      <c r="AG265" s="231" t="e">
        <f t="shared" si="1435"/>
        <v>#REF!</v>
      </c>
      <c r="AH265" s="231" t="e">
        <f t="shared" ref="AH265:AI265" si="1436">SUM(AH266,AH267,AH268)</f>
        <v>#REF!</v>
      </c>
      <c r="AI265" s="234" t="e">
        <f t="shared" si="1436"/>
        <v>#REF!</v>
      </c>
      <c r="AJ265" s="234" t="e">
        <f t="shared" si="1435"/>
        <v>#REF!</v>
      </c>
      <c r="AK265" s="234" t="e">
        <f t="shared" ref="AK265:AL265" si="1437">SUM(AK266,AK267,AK268)</f>
        <v>#REF!</v>
      </c>
      <c r="AL265" s="234" t="e">
        <f t="shared" si="1437"/>
        <v>#REF!</v>
      </c>
      <c r="AM265" s="233" t="e">
        <f t="shared" ref="AM265:AQ265" si="1438">SUM(AM266,AM267,AM268)</f>
        <v>#REF!</v>
      </c>
      <c r="AN265" s="231" t="e">
        <f t="shared" si="1358"/>
        <v>#REF!</v>
      </c>
      <c r="AO265" s="231"/>
      <c r="AP265" s="231" t="e">
        <f t="shared" si="1359"/>
        <v>#REF!</v>
      </c>
      <c r="AQ265" s="234" t="e">
        <f t="shared" si="1438"/>
        <v>#REF!</v>
      </c>
      <c r="AR265" s="234" t="e">
        <f t="shared" ref="AR265" si="1439">SUM(AR266,AR267,AR268)</f>
        <v>#REF!</v>
      </c>
      <c r="AS265" s="234"/>
      <c r="AT265" s="233"/>
      <c r="AU265" s="233">
        <v>0</v>
      </c>
      <c r="AV265" s="233"/>
      <c r="AW265" s="233"/>
      <c r="AX265" s="233">
        <v>0</v>
      </c>
      <c r="AY265" s="233"/>
      <c r="AZ265" s="233">
        <v>0</v>
      </c>
      <c r="BA265" s="233">
        <v>0</v>
      </c>
      <c r="BB265" s="233">
        <v>0</v>
      </c>
      <c r="BC265" s="233">
        <v>0</v>
      </c>
      <c r="BD265" s="233">
        <v>0</v>
      </c>
      <c r="BE265" s="233">
        <v>0</v>
      </c>
      <c r="BF265" s="233">
        <v>0</v>
      </c>
      <c r="BG265" s="233">
        <v>0</v>
      </c>
      <c r="BH265" s="233">
        <v>0</v>
      </c>
      <c r="BI265" s="233">
        <v>0</v>
      </c>
      <c r="BJ265" s="233">
        <v>0</v>
      </c>
      <c r="BK265" s="233">
        <v>0</v>
      </c>
      <c r="BL265" s="233">
        <v>0</v>
      </c>
      <c r="BM265" s="233">
        <v>0</v>
      </c>
      <c r="BN265" s="233">
        <v>0</v>
      </c>
      <c r="BO265" s="233">
        <v>0</v>
      </c>
      <c r="BP265" s="233">
        <v>0</v>
      </c>
      <c r="BQ265" s="233">
        <v>0</v>
      </c>
      <c r="BR265" s="233">
        <v>0</v>
      </c>
      <c r="BS265" s="233">
        <v>0</v>
      </c>
      <c r="BT265" s="233">
        <v>0</v>
      </c>
      <c r="BU265" s="233">
        <v>0</v>
      </c>
      <c r="BV265" s="233">
        <v>0</v>
      </c>
      <c r="BW265" s="233">
        <v>0</v>
      </c>
      <c r="BX265" s="233">
        <v>0</v>
      </c>
      <c r="BY265" s="233">
        <v>0</v>
      </c>
      <c r="BZ265" s="233">
        <v>0</v>
      </c>
      <c r="CA265" s="233">
        <v>0</v>
      </c>
      <c r="CB265" s="233">
        <v>0</v>
      </c>
      <c r="CC265" s="233">
        <v>0</v>
      </c>
      <c r="CD265" s="233">
        <v>0</v>
      </c>
      <c r="CE265" s="233">
        <v>0</v>
      </c>
      <c r="CF265" s="233">
        <v>0</v>
      </c>
      <c r="CG265" s="233">
        <v>0</v>
      </c>
      <c r="CH265" s="233">
        <v>0</v>
      </c>
      <c r="CI265" s="233">
        <v>0</v>
      </c>
      <c r="CJ265" s="233">
        <v>0</v>
      </c>
      <c r="CK265" s="233">
        <v>0</v>
      </c>
      <c r="CL265" s="233">
        <v>0</v>
      </c>
      <c r="CM265" s="233">
        <v>0</v>
      </c>
      <c r="CN265" s="233">
        <v>0</v>
      </c>
      <c r="CO265" s="233">
        <v>0</v>
      </c>
    </row>
    <row r="266" spans="1:93" s="92" customFormat="1" ht="13" x14ac:dyDescent="0.3">
      <c r="A266" s="164" t="str">
        <f>Language!AA261</f>
        <v>Portonave</v>
      </c>
      <c r="B266" s="235" t="e">
        <f>#REF!</f>
        <v>#REF!</v>
      </c>
      <c r="C266" s="235" t="e">
        <f>#REF!</f>
        <v>#REF!</v>
      </c>
      <c r="D266" s="235" t="e">
        <f>#REF!</f>
        <v>#REF!</v>
      </c>
      <c r="E266" s="236" t="e">
        <f>#REF!</f>
        <v>#REF!</v>
      </c>
      <c r="F266" s="235" t="e">
        <f>#REF!</f>
        <v>#REF!</v>
      </c>
      <c r="G266" s="235" t="e">
        <f>#REF!</f>
        <v>#REF!</v>
      </c>
      <c r="H266" s="235" t="e">
        <f>#REF!</f>
        <v>#REF!</v>
      </c>
      <c r="I266" s="236" t="e">
        <f>#REF!</f>
        <v>#REF!</v>
      </c>
      <c r="J266" s="235" t="e">
        <f>#REF!</f>
        <v>#REF!</v>
      </c>
      <c r="K266" s="235" t="e">
        <f>#REF!</f>
        <v>#REF!</v>
      </c>
      <c r="L266" s="235" t="e">
        <f>#REF!</f>
        <v>#REF!</v>
      </c>
      <c r="M266" s="236" t="e">
        <f>#REF!</f>
        <v>#REF!</v>
      </c>
      <c r="N266" s="235" t="e">
        <f>#REF!</f>
        <v>#REF!</v>
      </c>
      <c r="O266" s="235" t="e">
        <f>#REF!</f>
        <v>#REF!</v>
      </c>
      <c r="P266" s="235" t="e">
        <f>#REF!</f>
        <v>#REF!</v>
      </c>
      <c r="Q266" s="235" t="e">
        <f>#REF!</f>
        <v>#REF!</v>
      </c>
      <c r="R266" s="237" t="e">
        <f>#REF!</f>
        <v>#REF!</v>
      </c>
      <c r="S266" s="235" t="e">
        <f>#REF!</f>
        <v>#REF!</v>
      </c>
      <c r="T266" s="238" t="e">
        <f>#REF!</f>
        <v>#REF!</v>
      </c>
      <c r="U266" s="238" t="e">
        <f>#REF!</f>
        <v>#REF!</v>
      </c>
      <c r="V266" s="238" t="e">
        <f>#REF!</f>
        <v>#REF!</v>
      </c>
      <c r="W266" s="238" t="e">
        <f>#REF!</f>
        <v>#REF!</v>
      </c>
      <c r="X266" s="238" t="e">
        <f>#REF!</f>
        <v>#REF!</v>
      </c>
      <c r="Y266" s="237" t="e">
        <f>#REF!</f>
        <v>#REF!</v>
      </c>
      <c r="Z266" s="235" t="e">
        <f>#REF!</f>
        <v>#REF!</v>
      </c>
      <c r="AA266" s="238" t="e">
        <f>#REF!</f>
        <v>#REF!</v>
      </c>
      <c r="AB266" s="238" t="e">
        <f>#REF!</f>
        <v>#REF!</v>
      </c>
      <c r="AC266" s="238" t="e">
        <f>#REF!</f>
        <v>#REF!</v>
      </c>
      <c r="AD266" s="238" t="e">
        <f>#REF!</f>
        <v>#REF!</v>
      </c>
      <c r="AE266" s="238" t="e">
        <f>#REF!</f>
        <v>#REF!</v>
      </c>
      <c r="AF266" s="237" t="e">
        <f>#REF!</f>
        <v>#REF!</v>
      </c>
      <c r="AG266" s="235" t="e">
        <f>#REF!</f>
        <v>#REF!</v>
      </c>
      <c r="AH266" s="235" t="e">
        <f>#REF!</f>
        <v>#REF!</v>
      </c>
      <c r="AI266" s="238" t="e">
        <f>#REF!</f>
        <v>#REF!</v>
      </c>
      <c r="AJ266" s="238" t="e">
        <f>#REF!</f>
        <v>#REF!</v>
      </c>
      <c r="AK266" s="238" t="e">
        <f>#REF!</f>
        <v>#REF!</v>
      </c>
      <c r="AL266" s="238" t="e">
        <f>#REF!</f>
        <v>#REF!</v>
      </c>
      <c r="AM266" s="237" t="e">
        <f>#REF!</f>
        <v>#REF!</v>
      </c>
      <c r="AN266" s="235" t="e">
        <f t="shared" si="1358"/>
        <v>#REF!</v>
      </c>
      <c r="AO266" s="235"/>
      <c r="AP266" s="235" t="e">
        <f t="shared" si="1359"/>
        <v>#REF!</v>
      </c>
      <c r="AQ266" s="238" t="e">
        <f>#REF!</f>
        <v>#REF!</v>
      </c>
      <c r="AR266" s="238" t="e">
        <f>#REF!</f>
        <v>#REF!</v>
      </c>
      <c r="AS266" s="238"/>
      <c r="AT266" s="237"/>
      <c r="AU266" s="233">
        <v>0</v>
      </c>
      <c r="AV266" s="237"/>
      <c r="AW266" s="237"/>
      <c r="AX266" s="233">
        <v>0</v>
      </c>
      <c r="AY266" s="237"/>
      <c r="AZ266" s="233">
        <v>0</v>
      </c>
      <c r="BA266" s="233">
        <v>0</v>
      </c>
      <c r="BB266" s="233">
        <v>0</v>
      </c>
      <c r="BC266" s="233">
        <v>0</v>
      </c>
      <c r="BD266" s="233">
        <v>0</v>
      </c>
      <c r="BE266" s="233">
        <v>0</v>
      </c>
      <c r="BF266" s="233">
        <v>0</v>
      </c>
      <c r="BG266" s="233">
        <v>0</v>
      </c>
      <c r="BH266" s="233">
        <v>0</v>
      </c>
      <c r="BI266" s="233">
        <v>0</v>
      </c>
      <c r="BJ266" s="233">
        <v>0</v>
      </c>
      <c r="BK266" s="233">
        <v>0</v>
      </c>
      <c r="BL266" s="233">
        <v>0</v>
      </c>
      <c r="BM266" s="233">
        <v>0</v>
      </c>
      <c r="BN266" s="233">
        <v>0</v>
      </c>
      <c r="BO266" s="233">
        <v>0</v>
      </c>
      <c r="BP266" s="233">
        <v>0</v>
      </c>
      <c r="BQ266" s="233">
        <v>0</v>
      </c>
      <c r="BR266" s="233">
        <v>0</v>
      </c>
      <c r="BS266" s="233">
        <v>0</v>
      </c>
      <c r="BT266" s="233">
        <v>0</v>
      </c>
      <c r="BU266" s="233">
        <v>0</v>
      </c>
      <c r="BV266" s="233">
        <v>0</v>
      </c>
      <c r="BW266" s="233">
        <v>0</v>
      </c>
      <c r="BX266" s="233">
        <v>0</v>
      </c>
      <c r="BY266" s="233">
        <v>0</v>
      </c>
      <c r="BZ266" s="233">
        <v>0</v>
      </c>
      <c r="CA266" s="233">
        <v>0</v>
      </c>
      <c r="CB266" s="233">
        <v>0</v>
      </c>
      <c r="CC266" s="233">
        <v>0</v>
      </c>
      <c r="CD266" s="233">
        <v>0</v>
      </c>
      <c r="CE266" s="233">
        <v>0</v>
      </c>
      <c r="CF266" s="233">
        <v>0</v>
      </c>
      <c r="CG266" s="233">
        <v>0</v>
      </c>
      <c r="CH266" s="233">
        <v>0</v>
      </c>
      <c r="CI266" s="233">
        <v>0</v>
      </c>
      <c r="CJ266" s="233">
        <v>0</v>
      </c>
      <c r="CK266" s="233">
        <v>0</v>
      </c>
      <c r="CL266" s="233">
        <v>0</v>
      </c>
      <c r="CM266" s="233">
        <v>0</v>
      </c>
      <c r="CN266" s="233">
        <v>0</v>
      </c>
      <c r="CO266" s="233">
        <v>0</v>
      </c>
    </row>
    <row r="267" spans="1:93" s="92" customFormat="1" ht="13" x14ac:dyDescent="0.3">
      <c r="A267" s="164" t="str">
        <f>Language!AA262</f>
        <v>Iceport</v>
      </c>
      <c r="B267" s="235" t="e">
        <f>#REF!</f>
        <v>#REF!</v>
      </c>
      <c r="C267" s="235" t="e">
        <f>#REF!</f>
        <v>#REF!</v>
      </c>
      <c r="D267" s="235" t="e">
        <f>#REF!</f>
        <v>#REF!</v>
      </c>
      <c r="E267" s="236" t="e">
        <f>#REF!</f>
        <v>#REF!</v>
      </c>
      <c r="F267" s="235" t="e">
        <f>#REF!</f>
        <v>#REF!</v>
      </c>
      <c r="G267" s="235" t="e">
        <f>#REF!</f>
        <v>#REF!</v>
      </c>
      <c r="H267" s="235" t="e">
        <f>#REF!</f>
        <v>#REF!</v>
      </c>
      <c r="I267" s="236" t="e">
        <f>#REF!</f>
        <v>#REF!</v>
      </c>
      <c r="J267" s="235" t="e">
        <f>#REF!</f>
        <v>#REF!</v>
      </c>
      <c r="K267" s="235" t="e">
        <f>#REF!</f>
        <v>#REF!</v>
      </c>
      <c r="L267" s="235" t="e">
        <f>#REF!</f>
        <v>#REF!</v>
      </c>
      <c r="M267" s="236" t="e">
        <f>#REF!</f>
        <v>#REF!</v>
      </c>
      <c r="N267" s="235" t="e">
        <f>#REF!</f>
        <v>#REF!</v>
      </c>
      <c r="O267" s="235" t="e">
        <f>#REF!</f>
        <v>#REF!</v>
      </c>
      <c r="P267" s="235" t="e">
        <f>#REF!</f>
        <v>#REF!</v>
      </c>
      <c r="Q267" s="235" t="e">
        <f>#REF!</f>
        <v>#REF!</v>
      </c>
      <c r="R267" s="237" t="e">
        <f>#REF!</f>
        <v>#REF!</v>
      </c>
      <c r="S267" s="235" t="e">
        <f>#REF!</f>
        <v>#REF!</v>
      </c>
      <c r="T267" s="238" t="e">
        <f>#REF!</f>
        <v>#REF!</v>
      </c>
      <c r="U267" s="238" t="e">
        <f>#REF!</f>
        <v>#REF!</v>
      </c>
      <c r="V267" s="238" t="e">
        <f>#REF!</f>
        <v>#REF!</v>
      </c>
      <c r="W267" s="238" t="e">
        <f>#REF!</f>
        <v>#REF!</v>
      </c>
      <c r="X267" s="238" t="e">
        <f>#REF!</f>
        <v>#REF!</v>
      </c>
      <c r="Y267" s="237" t="e">
        <f>#REF!</f>
        <v>#REF!</v>
      </c>
      <c r="Z267" s="235" t="e">
        <f>#REF!</f>
        <v>#REF!</v>
      </c>
      <c r="AA267" s="238" t="e">
        <f>#REF!</f>
        <v>#REF!</v>
      </c>
      <c r="AB267" s="238" t="e">
        <f>#REF!</f>
        <v>#REF!</v>
      </c>
      <c r="AC267" s="238" t="e">
        <f>#REF!</f>
        <v>#REF!</v>
      </c>
      <c r="AD267" s="238" t="e">
        <f>#REF!</f>
        <v>#REF!</v>
      </c>
      <c r="AE267" s="238" t="e">
        <f>#REF!</f>
        <v>#REF!</v>
      </c>
      <c r="AF267" s="237" t="e">
        <f>#REF!</f>
        <v>#REF!</v>
      </c>
      <c r="AG267" s="235" t="e">
        <f>#REF!</f>
        <v>#REF!</v>
      </c>
      <c r="AH267" s="235" t="e">
        <f>#REF!</f>
        <v>#REF!</v>
      </c>
      <c r="AI267" s="238" t="e">
        <f>#REF!</f>
        <v>#REF!</v>
      </c>
      <c r="AJ267" s="238" t="e">
        <f>#REF!</f>
        <v>#REF!</v>
      </c>
      <c r="AK267" s="238" t="e">
        <f>#REF!</f>
        <v>#REF!</v>
      </c>
      <c r="AL267" s="238" t="e">
        <f>#REF!</f>
        <v>#REF!</v>
      </c>
      <c r="AM267" s="237" t="e">
        <f>#REF!</f>
        <v>#REF!</v>
      </c>
      <c r="AN267" s="235" t="e">
        <f t="shared" si="1358"/>
        <v>#REF!</v>
      </c>
      <c r="AO267" s="235"/>
      <c r="AP267" s="235" t="e">
        <f t="shared" si="1359"/>
        <v>#REF!</v>
      </c>
      <c r="AQ267" s="238" t="e">
        <f>#REF!</f>
        <v>#REF!</v>
      </c>
      <c r="AR267" s="238" t="e">
        <f>#REF!</f>
        <v>#REF!</v>
      </c>
      <c r="AS267" s="238"/>
      <c r="AT267" s="237"/>
      <c r="AU267" s="233">
        <v>0</v>
      </c>
      <c r="AV267" s="237"/>
      <c r="AW267" s="237"/>
      <c r="AX267" s="233">
        <v>0</v>
      </c>
      <c r="AY267" s="237"/>
      <c r="AZ267" s="233">
        <v>0</v>
      </c>
      <c r="BA267" s="233">
        <v>0</v>
      </c>
      <c r="BB267" s="233">
        <v>0</v>
      </c>
      <c r="BC267" s="233">
        <v>0</v>
      </c>
      <c r="BD267" s="233">
        <v>0</v>
      </c>
      <c r="BE267" s="233">
        <v>0</v>
      </c>
      <c r="BF267" s="233">
        <v>0</v>
      </c>
      <c r="BG267" s="233">
        <v>0</v>
      </c>
      <c r="BH267" s="233">
        <v>0</v>
      </c>
      <c r="BI267" s="233">
        <v>0</v>
      </c>
      <c r="BJ267" s="233">
        <v>0</v>
      </c>
      <c r="BK267" s="233">
        <v>0</v>
      </c>
      <c r="BL267" s="233">
        <v>0</v>
      </c>
      <c r="BM267" s="233">
        <v>0</v>
      </c>
      <c r="BN267" s="233">
        <v>0</v>
      </c>
      <c r="BO267" s="233">
        <v>0</v>
      </c>
      <c r="BP267" s="233">
        <v>0</v>
      </c>
      <c r="BQ267" s="233">
        <v>0</v>
      </c>
      <c r="BR267" s="233">
        <v>0</v>
      </c>
      <c r="BS267" s="233">
        <v>0</v>
      </c>
      <c r="BT267" s="233">
        <v>0</v>
      </c>
      <c r="BU267" s="233">
        <v>0</v>
      </c>
      <c r="BV267" s="233">
        <v>0</v>
      </c>
      <c r="BW267" s="233">
        <v>0</v>
      </c>
      <c r="BX267" s="233">
        <v>0</v>
      </c>
      <c r="BY267" s="233">
        <v>0</v>
      </c>
      <c r="BZ267" s="233">
        <v>0</v>
      </c>
      <c r="CA267" s="233">
        <v>0</v>
      </c>
      <c r="CB267" s="233">
        <v>0</v>
      </c>
      <c r="CC267" s="233">
        <v>0</v>
      </c>
      <c r="CD267" s="233">
        <v>0</v>
      </c>
      <c r="CE267" s="233">
        <v>0</v>
      </c>
      <c r="CF267" s="233">
        <v>0</v>
      </c>
      <c r="CG267" s="233">
        <v>0</v>
      </c>
      <c r="CH267" s="233">
        <v>0</v>
      </c>
      <c r="CI267" s="233">
        <v>0</v>
      </c>
      <c r="CJ267" s="233">
        <v>0</v>
      </c>
      <c r="CK267" s="233">
        <v>0</v>
      </c>
      <c r="CL267" s="233">
        <v>0</v>
      </c>
      <c r="CM267" s="233">
        <v>0</v>
      </c>
      <c r="CN267" s="233">
        <v>0</v>
      </c>
      <c r="CO267" s="233">
        <v>0</v>
      </c>
    </row>
    <row r="268" spans="1:93" s="92" customFormat="1" ht="13" x14ac:dyDescent="0.3">
      <c r="A268" s="164" t="str">
        <f>Language!AA263</f>
        <v>Outros</v>
      </c>
      <c r="B268" s="235" t="e">
        <f>#REF!</f>
        <v>#REF!</v>
      </c>
      <c r="C268" s="235" t="e">
        <f>#REF!</f>
        <v>#REF!</v>
      </c>
      <c r="D268" s="235" t="e">
        <f>#REF!</f>
        <v>#REF!</v>
      </c>
      <c r="E268" s="236" t="e">
        <f>#REF!</f>
        <v>#REF!</v>
      </c>
      <c r="F268" s="235" t="e">
        <f>#REF!</f>
        <v>#REF!</v>
      </c>
      <c r="G268" s="235" t="e">
        <f>#REF!</f>
        <v>#REF!</v>
      </c>
      <c r="H268" s="235" t="e">
        <f>#REF!</f>
        <v>#REF!</v>
      </c>
      <c r="I268" s="236" t="e">
        <f>#REF!</f>
        <v>#REF!</v>
      </c>
      <c r="J268" s="235" t="e">
        <f>#REF!</f>
        <v>#REF!</v>
      </c>
      <c r="K268" s="235" t="e">
        <f>#REF!</f>
        <v>#REF!</v>
      </c>
      <c r="L268" s="235" t="e">
        <f>#REF!</f>
        <v>#REF!</v>
      </c>
      <c r="M268" s="236" t="e">
        <f>#REF!</f>
        <v>#REF!</v>
      </c>
      <c r="N268" s="235" t="e">
        <f>#REF!</f>
        <v>#REF!</v>
      </c>
      <c r="O268" s="235" t="e">
        <f>#REF!</f>
        <v>#REF!</v>
      </c>
      <c r="P268" s="235" t="e">
        <f>#REF!</f>
        <v>#REF!</v>
      </c>
      <c r="Q268" s="235" t="e">
        <f>#REF!</f>
        <v>#REF!</v>
      </c>
      <c r="R268" s="237" t="e">
        <f>#REF!</f>
        <v>#REF!</v>
      </c>
      <c r="S268" s="235" t="e">
        <f>#REF!</f>
        <v>#REF!</v>
      </c>
      <c r="T268" s="238" t="e">
        <f>#REF!</f>
        <v>#REF!</v>
      </c>
      <c r="U268" s="238" t="e">
        <f>#REF!</f>
        <v>#REF!</v>
      </c>
      <c r="V268" s="238" t="e">
        <f>#REF!</f>
        <v>#REF!</v>
      </c>
      <c r="W268" s="238" t="e">
        <f>#REF!</f>
        <v>#REF!</v>
      </c>
      <c r="X268" s="238" t="e">
        <f>#REF!</f>
        <v>#REF!</v>
      </c>
      <c r="Y268" s="237" t="e">
        <f>#REF!</f>
        <v>#REF!</v>
      </c>
      <c r="Z268" s="235" t="e">
        <f>#REF!</f>
        <v>#REF!</v>
      </c>
      <c r="AA268" s="238" t="e">
        <f>#REF!</f>
        <v>#REF!</v>
      </c>
      <c r="AB268" s="238" t="e">
        <f>#REF!</f>
        <v>#REF!</v>
      </c>
      <c r="AC268" s="238" t="e">
        <f>#REF!</f>
        <v>#REF!</v>
      </c>
      <c r="AD268" s="238" t="e">
        <f>#REF!</f>
        <v>#REF!</v>
      </c>
      <c r="AE268" s="238" t="e">
        <f>#REF!</f>
        <v>#REF!</v>
      </c>
      <c r="AF268" s="237" t="e">
        <f>#REF!</f>
        <v>#REF!</v>
      </c>
      <c r="AG268" s="235" t="e">
        <f>#REF!</f>
        <v>#REF!</v>
      </c>
      <c r="AH268" s="235" t="e">
        <f>#REF!</f>
        <v>#REF!</v>
      </c>
      <c r="AI268" s="238" t="e">
        <f>#REF!</f>
        <v>#REF!</v>
      </c>
      <c r="AJ268" s="238" t="e">
        <f>#REF!</f>
        <v>#REF!</v>
      </c>
      <c r="AK268" s="238" t="e">
        <f>#REF!</f>
        <v>#REF!</v>
      </c>
      <c r="AL268" s="238" t="e">
        <f>#REF!</f>
        <v>#REF!</v>
      </c>
      <c r="AM268" s="237" t="e">
        <f>#REF!</f>
        <v>#REF!</v>
      </c>
      <c r="AN268" s="235" t="e">
        <f t="shared" si="1358"/>
        <v>#REF!</v>
      </c>
      <c r="AO268" s="235"/>
      <c r="AP268" s="235" t="e">
        <f t="shared" si="1359"/>
        <v>#REF!</v>
      </c>
      <c r="AQ268" s="238" t="e">
        <f>#REF!</f>
        <v>#REF!</v>
      </c>
      <c r="AR268" s="238" t="e">
        <f>#REF!</f>
        <v>#REF!</v>
      </c>
      <c r="AS268" s="238"/>
      <c r="AT268" s="237"/>
      <c r="AU268" s="233">
        <v>0</v>
      </c>
      <c r="AV268" s="237"/>
      <c r="AW268" s="237"/>
      <c r="AX268" s="233">
        <v>0</v>
      </c>
      <c r="AY268" s="237"/>
      <c r="AZ268" s="233">
        <v>0</v>
      </c>
      <c r="BA268" s="233">
        <v>0</v>
      </c>
      <c r="BB268" s="233">
        <v>0</v>
      </c>
      <c r="BC268" s="233">
        <v>0</v>
      </c>
      <c r="BD268" s="233">
        <v>0</v>
      </c>
      <c r="BE268" s="233">
        <v>0</v>
      </c>
      <c r="BF268" s="233">
        <v>0</v>
      </c>
      <c r="BG268" s="233">
        <v>0</v>
      </c>
      <c r="BH268" s="233">
        <v>0</v>
      </c>
      <c r="BI268" s="233">
        <v>0</v>
      </c>
      <c r="BJ268" s="233">
        <v>0</v>
      </c>
      <c r="BK268" s="233">
        <v>0</v>
      </c>
      <c r="BL268" s="233">
        <v>0</v>
      </c>
      <c r="BM268" s="233">
        <v>0</v>
      </c>
      <c r="BN268" s="233">
        <v>0</v>
      </c>
      <c r="BO268" s="233">
        <v>0</v>
      </c>
      <c r="BP268" s="233">
        <v>0</v>
      </c>
      <c r="BQ268" s="233">
        <v>0</v>
      </c>
      <c r="BR268" s="233">
        <v>0</v>
      </c>
      <c r="BS268" s="233">
        <v>0</v>
      </c>
      <c r="BT268" s="233">
        <v>0</v>
      </c>
      <c r="BU268" s="233">
        <v>0</v>
      </c>
      <c r="BV268" s="233">
        <v>0</v>
      </c>
      <c r="BW268" s="233">
        <v>0</v>
      </c>
      <c r="BX268" s="233">
        <v>0</v>
      </c>
      <c r="BY268" s="233">
        <v>0</v>
      </c>
      <c r="BZ268" s="233">
        <v>0</v>
      </c>
      <c r="CA268" s="233">
        <v>0</v>
      </c>
      <c r="CB268" s="233">
        <v>0</v>
      </c>
      <c r="CC268" s="233">
        <v>0</v>
      </c>
      <c r="CD268" s="233">
        <v>0</v>
      </c>
      <c r="CE268" s="233">
        <v>0</v>
      </c>
      <c r="CF268" s="233">
        <v>0</v>
      </c>
      <c r="CG268" s="233">
        <v>0</v>
      </c>
      <c r="CH268" s="233">
        <v>0</v>
      </c>
      <c r="CI268" s="233">
        <v>0</v>
      </c>
      <c r="CJ268" s="233">
        <v>0</v>
      </c>
      <c r="CK268" s="233">
        <v>0</v>
      </c>
      <c r="CL268" s="233">
        <v>0</v>
      </c>
      <c r="CM268" s="233">
        <v>0</v>
      </c>
      <c r="CN268" s="233">
        <v>0</v>
      </c>
      <c r="CO268" s="233">
        <v>0</v>
      </c>
    </row>
    <row r="269" spans="1:93" s="100" customFormat="1" ht="13" x14ac:dyDescent="0.3">
      <c r="A269" s="160" t="str">
        <f>Language!AA264</f>
        <v>Cabotagem</v>
      </c>
      <c r="B269" s="241">
        <v>0</v>
      </c>
      <c r="C269" s="241">
        <v>1484</v>
      </c>
      <c r="D269" s="241">
        <v>4859</v>
      </c>
      <c r="E269" s="242">
        <v>10883</v>
      </c>
      <c r="F269" s="241">
        <v>10542</v>
      </c>
      <c r="G269" s="241">
        <v>15932</v>
      </c>
      <c r="H269" s="241">
        <v>20346</v>
      </c>
      <c r="I269" s="242">
        <v>18961</v>
      </c>
      <c r="J269" s="241">
        <v>16728</v>
      </c>
      <c r="K269" s="241">
        <v>20899</v>
      </c>
      <c r="L269" s="241">
        <v>31495</v>
      </c>
      <c r="M269" s="242">
        <v>28318</v>
      </c>
      <c r="N269" s="241">
        <v>0</v>
      </c>
      <c r="O269" s="241">
        <v>0</v>
      </c>
      <c r="P269" s="241">
        <v>0</v>
      </c>
      <c r="Q269" s="241">
        <v>0</v>
      </c>
      <c r="R269" s="243">
        <v>0</v>
      </c>
      <c r="S269" s="241">
        <v>0</v>
      </c>
      <c r="T269" s="238">
        <v>0</v>
      </c>
      <c r="U269" s="238">
        <v>0</v>
      </c>
      <c r="V269" s="238">
        <v>0</v>
      </c>
      <c r="W269" s="238">
        <v>0</v>
      </c>
      <c r="X269" s="238">
        <v>0</v>
      </c>
      <c r="Y269" s="243">
        <v>0</v>
      </c>
      <c r="Z269" s="241">
        <v>0</v>
      </c>
      <c r="AA269" s="238">
        <v>0</v>
      </c>
      <c r="AB269" s="238">
        <v>0</v>
      </c>
      <c r="AC269" s="238">
        <v>0</v>
      </c>
      <c r="AD269" s="238">
        <v>0</v>
      </c>
      <c r="AE269" s="238">
        <v>0</v>
      </c>
      <c r="AF269" s="243">
        <v>0</v>
      </c>
      <c r="AG269" s="241">
        <v>0</v>
      </c>
      <c r="AH269" s="241">
        <v>0</v>
      </c>
      <c r="AI269" s="238">
        <v>0</v>
      </c>
      <c r="AJ269" s="238">
        <v>0</v>
      </c>
      <c r="AK269" s="238">
        <v>0</v>
      </c>
      <c r="AL269" s="238">
        <v>0</v>
      </c>
      <c r="AM269" s="243">
        <v>0</v>
      </c>
      <c r="AN269" s="241">
        <f t="shared" si="1358"/>
        <v>0</v>
      </c>
      <c r="AO269" s="241"/>
      <c r="AP269" s="241">
        <f t="shared" si="1359"/>
        <v>0</v>
      </c>
      <c r="AQ269" s="238">
        <v>0</v>
      </c>
      <c r="AR269" s="238"/>
      <c r="AS269" s="238"/>
      <c r="AT269" s="243"/>
      <c r="AU269" s="233">
        <v>0</v>
      </c>
      <c r="AV269" s="243"/>
      <c r="AW269" s="243"/>
      <c r="AX269" s="233">
        <v>0</v>
      </c>
      <c r="AY269" s="243"/>
      <c r="AZ269" s="233">
        <v>0</v>
      </c>
      <c r="BA269" s="233">
        <v>0</v>
      </c>
      <c r="BB269" s="233">
        <v>0</v>
      </c>
      <c r="BC269" s="233">
        <v>0</v>
      </c>
      <c r="BD269" s="233">
        <v>0</v>
      </c>
      <c r="BE269" s="233">
        <v>0</v>
      </c>
      <c r="BF269" s="233">
        <v>0</v>
      </c>
      <c r="BG269" s="233">
        <v>0</v>
      </c>
      <c r="BH269" s="233">
        <v>0</v>
      </c>
      <c r="BI269" s="233">
        <v>0</v>
      </c>
      <c r="BJ269" s="233">
        <v>0</v>
      </c>
      <c r="BK269" s="233">
        <v>0</v>
      </c>
      <c r="BL269" s="233">
        <v>0</v>
      </c>
      <c r="BM269" s="233">
        <v>0</v>
      </c>
      <c r="BN269" s="233">
        <v>0</v>
      </c>
      <c r="BO269" s="233">
        <v>0</v>
      </c>
      <c r="BP269" s="233">
        <v>0</v>
      </c>
      <c r="BQ269" s="233">
        <v>0</v>
      </c>
      <c r="BR269" s="233">
        <v>0</v>
      </c>
      <c r="BS269" s="233">
        <v>0</v>
      </c>
      <c r="BT269" s="233">
        <v>0</v>
      </c>
      <c r="BU269" s="233">
        <v>0</v>
      </c>
      <c r="BV269" s="233">
        <v>0</v>
      </c>
      <c r="BW269" s="233">
        <v>0</v>
      </c>
      <c r="BX269" s="233">
        <v>0</v>
      </c>
      <c r="BY269" s="233">
        <v>0</v>
      </c>
      <c r="BZ269" s="233">
        <v>0</v>
      </c>
      <c r="CA269" s="233">
        <v>0</v>
      </c>
      <c r="CB269" s="233">
        <v>0</v>
      </c>
      <c r="CC269" s="233">
        <v>0</v>
      </c>
      <c r="CD269" s="233">
        <v>0</v>
      </c>
      <c r="CE269" s="233">
        <v>0</v>
      </c>
      <c r="CF269" s="233">
        <v>0</v>
      </c>
      <c r="CG269" s="233">
        <v>0</v>
      </c>
      <c r="CH269" s="233">
        <v>0</v>
      </c>
      <c r="CI269" s="233">
        <v>0</v>
      </c>
      <c r="CJ269" s="233">
        <v>0</v>
      </c>
      <c r="CK269" s="233">
        <v>0</v>
      </c>
      <c r="CL269" s="233">
        <v>0</v>
      </c>
      <c r="CM269" s="233">
        <v>0</v>
      </c>
      <c r="CN269" s="233">
        <v>0</v>
      </c>
      <c r="CO269" s="233">
        <v>0</v>
      </c>
    </row>
    <row r="270" spans="1:93" s="100" customFormat="1" ht="13" x14ac:dyDescent="0.3">
      <c r="A270" s="160" t="str">
        <f>Language!AA265</f>
        <v>Aeroportos</v>
      </c>
      <c r="B270" s="231" t="e">
        <f>#REF!</f>
        <v>#REF!</v>
      </c>
      <c r="C270" s="231" t="e">
        <f>#REF!</f>
        <v>#REF!</v>
      </c>
      <c r="D270" s="231" t="e">
        <f>#REF!</f>
        <v>#REF!</v>
      </c>
      <c r="E270" s="232" t="e">
        <f>#REF!</f>
        <v>#REF!</v>
      </c>
      <c r="F270" s="231" t="e">
        <f>#REF!</f>
        <v>#REF!</v>
      </c>
      <c r="G270" s="231" t="e">
        <f>#REF!</f>
        <v>#REF!</v>
      </c>
      <c r="H270" s="231" t="e">
        <f>#REF!</f>
        <v>#REF!</v>
      </c>
      <c r="I270" s="232" t="e">
        <f>#REF!</f>
        <v>#REF!</v>
      </c>
      <c r="J270" s="231" t="e">
        <f>#REF!</f>
        <v>#REF!</v>
      </c>
      <c r="K270" s="231" t="e">
        <f>#REF!</f>
        <v>#REF!</v>
      </c>
      <c r="L270" s="231" t="e">
        <f>#REF!</f>
        <v>#REF!</v>
      </c>
      <c r="M270" s="232" t="e">
        <f>#REF!</f>
        <v>#REF!</v>
      </c>
      <c r="N270" s="231" t="e">
        <f>#REF!</f>
        <v>#REF!</v>
      </c>
      <c r="O270" s="231" t="e">
        <f>#REF!</f>
        <v>#REF!</v>
      </c>
      <c r="P270" s="231" t="e">
        <f>#REF!</f>
        <v>#REF!</v>
      </c>
      <c r="Q270" s="231" t="e">
        <f>#REF!</f>
        <v>#REF!</v>
      </c>
      <c r="R270" s="233" t="e">
        <f>#REF!</f>
        <v>#REF!</v>
      </c>
      <c r="S270" s="231" t="e">
        <f>#REF!</f>
        <v>#REF!</v>
      </c>
      <c r="T270" s="234" t="e">
        <f>#REF!</f>
        <v>#REF!</v>
      </c>
      <c r="U270" s="234" t="e">
        <f>#REF!</f>
        <v>#REF!</v>
      </c>
      <c r="V270" s="234" t="e">
        <f>#REF!</f>
        <v>#REF!</v>
      </c>
      <c r="W270" s="234" t="e">
        <f>#REF!</f>
        <v>#REF!</v>
      </c>
      <c r="X270" s="234" t="e">
        <f>#REF!</f>
        <v>#REF!</v>
      </c>
      <c r="Y270" s="233" t="e">
        <f>#REF!</f>
        <v>#REF!</v>
      </c>
      <c r="Z270" s="231" t="e">
        <f>#REF!</f>
        <v>#REF!</v>
      </c>
      <c r="AA270" s="234" t="e">
        <f>#REF!</f>
        <v>#REF!</v>
      </c>
      <c r="AB270" s="234" t="e">
        <f>#REF!</f>
        <v>#REF!</v>
      </c>
      <c r="AC270" s="234" t="e">
        <f>#REF!</f>
        <v>#REF!</v>
      </c>
      <c r="AD270" s="234" t="e">
        <f>#REF!</f>
        <v>#REF!</v>
      </c>
      <c r="AE270" s="234" t="e">
        <f>#REF!</f>
        <v>#REF!</v>
      </c>
      <c r="AF270" s="233" t="e">
        <f>#REF!</f>
        <v>#REF!</v>
      </c>
      <c r="AG270" s="231" t="e">
        <f>#REF!</f>
        <v>#REF!</v>
      </c>
      <c r="AH270" s="231" t="e">
        <f>#REF!</f>
        <v>#REF!</v>
      </c>
      <c r="AI270" s="234" t="e">
        <f>#REF!</f>
        <v>#REF!</v>
      </c>
      <c r="AJ270" s="234" t="e">
        <f>#REF!</f>
        <v>#REF!</v>
      </c>
      <c r="AK270" s="234">
        <v>0</v>
      </c>
      <c r="AL270" s="234">
        <v>0</v>
      </c>
      <c r="AM270" s="233">
        <v>0</v>
      </c>
      <c r="AN270" s="231">
        <f t="shared" si="1358"/>
        <v>0</v>
      </c>
      <c r="AO270" s="231"/>
      <c r="AP270" s="231">
        <f t="shared" si="1359"/>
        <v>0</v>
      </c>
      <c r="AQ270" s="234">
        <v>0</v>
      </c>
      <c r="AR270" s="234"/>
      <c r="AS270" s="234"/>
      <c r="AT270" s="233"/>
      <c r="AU270" s="233">
        <v>0</v>
      </c>
      <c r="AV270" s="233"/>
      <c r="AW270" s="233"/>
      <c r="AX270" s="233">
        <v>0</v>
      </c>
      <c r="AY270" s="233"/>
      <c r="AZ270" s="233">
        <v>0</v>
      </c>
      <c r="BA270" s="233">
        <v>0</v>
      </c>
      <c r="BB270" s="233">
        <v>0</v>
      </c>
      <c r="BC270" s="233">
        <v>0</v>
      </c>
      <c r="BD270" s="233">
        <v>0</v>
      </c>
      <c r="BE270" s="233">
        <v>0</v>
      </c>
      <c r="BF270" s="233">
        <v>0</v>
      </c>
      <c r="BG270" s="233">
        <v>0</v>
      </c>
      <c r="BH270" s="233">
        <v>0</v>
      </c>
      <c r="BI270" s="233">
        <v>0</v>
      </c>
      <c r="BJ270" s="233">
        <v>0</v>
      </c>
      <c r="BK270" s="233">
        <v>0</v>
      </c>
      <c r="BL270" s="233">
        <v>0</v>
      </c>
      <c r="BM270" s="233">
        <v>0</v>
      </c>
      <c r="BN270" s="233">
        <v>0</v>
      </c>
      <c r="BO270" s="233">
        <v>0</v>
      </c>
      <c r="BP270" s="233">
        <v>0</v>
      </c>
      <c r="BQ270" s="233">
        <v>0</v>
      </c>
      <c r="BR270" s="233">
        <v>0</v>
      </c>
      <c r="BS270" s="233">
        <v>0</v>
      </c>
      <c r="BT270" s="233">
        <v>0</v>
      </c>
      <c r="BU270" s="233">
        <v>0</v>
      </c>
      <c r="BV270" s="233">
        <v>0</v>
      </c>
      <c r="BW270" s="233">
        <v>0</v>
      </c>
      <c r="BX270" s="233">
        <v>0</v>
      </c>
      <c r="BY270" s="233">
        <v>0</v>
      </c>
      <c r="BZ270" s="233">
        <v>0</v>
      </c>
      <c r="CA270" s="233">
        <v>0</v>
      </c>
      <c r="CB270" s="233">
        <v>0</v>
      </c>
      <c r="CC270" s="233">
        <v>0</v>
      </c>
      <c r="CD270" s="233">
        <v>0</v>
      </c>
      <c r="CE270" s="233">
        <v>0</v>
      </c>
      <c r="CF270" s="233">
        <v>0</v>
      </c>
      <c r="CG270" s="233">
        <v>0</v>
      </c>
      <c r="CH270" s="233">
        <v>0</v>
      </c>
      <c r="CI270" s="233">
        <v>0</v>
      </c>
      <c r="CJ270" s="233">
        <v>0</v>
      </c>
      <c r="CK270" s="233">
        <v>0</v>
      </c>
      <c r="CL270" s="233">
        <v>0</v>
      </c>
      <c r="CM270" s="233">
        <v>0</v>
      </c>
      <c r="CN270" s="233">
        <v>0</v>
      </c>
      <c r="CO270" s="233">
        <v>0</v>
      </c>
    </row>
    <row r="271" spans="1:93" s="100" customFormat="1" ht="13" x14ac:dyDescent="0.3">
      <c r="A271" s="160" t="str">
        <f>Language!AA266</f>
        <v>Holding, Outros e Ajustes de Consolidação</v>
      </c>
      <c r="B271" s="231" t="e">
        <f t="shared" ref="B271:M271" si="1440">B253-SUM(B254,B260,B265,B269,B270)</f>
        <v>#REF!</v>
      </c>
      <c r="C271" s="231" t="e">
        <f t="shared" si="1440"/>
        <v>#REF!</v>
      </c>
      <c r="D271" s="231" t="e">
        <f t="shared" si="1440"/>
        <v>#REF!</v>
      </c>
      <c r="E271" s="232" t="e">
        <f t="shared" si="1440"/>
        <v>#REF!</v>
      </c>
      <c r="F271" s="231" t="e">
        <f t="shared" si="1440"/>
        <v>#REF!</v>
      </c>
      <c r="G271" s="231" t="e">
        <f t="shared" si="1440"/>
        <v>#REF!</v>
      </c>
      <c r="H271" s="231" t="e">
        <f t="shared" si="1440"/>
        <v>#REF!</v>
      </c>
      <c r="I271" s="232" t="e">
        <f t="shared" si="1440"/>
        <v>#REF!</v>
      </c>
      <c r="J271" s="231" t="e">
        <f t="shared" si="1440"/>
        <v>#REF!</v>
      </c>
      <c r="K271" s="231" t="e">
        <f t="shared" si="1440"/>
        <v>#REF!</v>
      </c>
      <c r="L271" s="231" t="e">
        <f t="shared" si="1440"/>
        <v>#REF!</v>
      </c>
      <c r="M271" s="232" t="e">
        <f t="shared" si="1440"/>
        <v>#REF!</v>
      </c>
      <c r="N271" s="231">
        <v>0</v>
      </c>
      <c r="O271" s="231">
        <v>0</v>
      </c>
      <c r="P271" s="231">
        <v>0</v>
      </c>
      <c r="Q271" s="231">
        <v>0</v>
      </c>
      <c r="R271" s="233">
        <v>0</v>
      </c>
      <c r="S271" s="231">
        <v>0</v>
      </c>
      <c r="T271" s="234">
        <v>0</v>
      </c>
      <c r="U271" s="234">
        <v>0</v>
      </c>
      <c r="V271" s="234">
        <v>0</v>
      </c>
      <c r="W271" s="234">
        <v>0</v>
      </c>
      <c r="X271" s="234">
        <v>0</v>
      </c>
      <c r="Y271" s="233">
        <v>0</v>
      </c>
      <c r="Z271" s="231">
        <v>0</v>
      </c>
      <c r="AA271" s="234">
        <v>0</v>
      </c>
      <c r="AB271" s="234">
        <v>0</v>
      </c>
      <c r="AC271" s="234">
        <v>0</v>
      </c>
      <c r="AD271" s="234">
        <v>0</v>
      </c>
      <c r="AE271" s="234">
        <v>0</v>
      </c>
      <c r="AF271" s="233">
        <v>0</v>
      </c>
      <c r="AG271" s="231">
        <v>0</v>
      </c>
      <c r="AH271" s="231">
        <v>0</v>
      </c>
      <c r="AI271" s="234">
        <v>0</v>
      </c>
      <c r="AJ271" s="234">
        <v>0</v>
      </c>
      <c r="AK271" s="234">
        <v>0</v>
      </c>
      <c r="AL271" s="234">
        <v>0</v>
      </c>
      <c r="AM271" s="233">
        <v>0</v>
      </c>
      <c r="AN271" s="231">
        <f t="shared" si="1358"/>
        <v>0</v>
      </c>
      <c r="AO271" s="231"/>
      <c r="AP271" s="231">
        <f t="shared" si="1359"/>
        <v>0</v>
      </c>
      <c r="AQ271" s="234">
        <v>0</v>
      </c>
      <c r="AR271" s="234"/>
      <c r="AS271" s="234"/>
      <c r="AT271" s="233"/>
      <c r="AU271" s="233">
        <v>0</v>
      </c>
      <c r="AV271" s="233"/>
      <c r="AW271" s="233"/>
      <c r="AX271" s="233">
        <v>0</v>
      </c>
      <c r="AY271" s="233"/>
      <c r="AZ271" s="233">
        <v>0</v>
      </c>
      <c r="BA271" s="233">
        <v>0</v>
      </c>
      <c r="BB271" s="233">
        <v>0</v>
      </c>
      <c r="BC271" s="233">
        <v>0</v>
      </c>
      <c r="BD271" s="233">
        <v>0</v>
      </c>
      <c r="BE271" s="233">
        <v>0</v>
      </c>
      <c r="BF271" s="233">
        <v>0</v>
      </c>
      <c r="BG271" s="233">
        <v>0</v>
      </c>
      <c r="BH271" s="233">
        <v>0</v>
      </c>
      <c r="BI271" s="233">
        <v>0</v>
      </c>
      <c r="BJ271" s="233">
        <v>0</v>
      </c>
      <c r="BK271" s="233">
        <v>0</v>
      </c>
      <c r="BL271" s="233">
        <v>0</v>
      </c>
      <c r="BM271" s="233">
        <v>0</v>
      </c>
      <c r="BN271" s="233">
        <v>0</v>
      </c>
      <c r="BO271" s="233">
        <v>0</v>
      </c>
      <c r="BP271" s="233">
        <v>0</v>
      </c>
      <c r="BQ271" s="233">
        <v>0</v>
      </c>
      <c r="BR271" s="233">
        <v>0</v>
      </c>
      <c r="BS271" s="233">
        <v>0</v>
      </c>
      <c r="BT271" s="233">
        <v>0</v>
      </c>
      <c r="BU271" s="233">
        <v>0</v>
      </c>
      <c r="BV271" s="233">
        <v>0</v>
      </c>
      <c r="BW271" s="233">
        <v>0</v>
      </c>
      <c r="BX271" s="233">
        <v>0</v>
      </c>
      <c r="BY271" s="233">
        <v>0</v>
      </c>
      <c r="BZ271" s="233">
        <v>0</v>
      </c>
      <c r="CA271" s="233">
        <v>0</v>
      </c>
      <c r="CB271" s="233">
        <v>0</v>
      </c>
      <c r="CC271" s="233">
        <v>0</v>
      </c>
      <c r="CD271" s="233">
        <v>0</v>
      </c>
      <c r="CE271" s="233">
        <v>0</v>
      </c>
      <c r="CF271" s="233">
        <v>0</v>
      </c>
      <c r="CG271" s="233">
        <v>0</v>
      </c>
      <c r="CH271" s="233">
        <v>0</v>
      </c>
      <c r="CI271" s="233">
        <v>0</v>
      </c>
      <c r="CJ271" s="233">
        <v>0</v>
      </c>
      <c r="CK271" s="233">
        <v>0</v>
      </c>
      <c r="CL271" s="233">
        <v>0</v>
      </c>
      <c r="CM271" s="233">
        <v>0</v>
      </c>
      <c r="CN271" s="233">
        <v>0</v>
      </c>
      <c r="CO271" s="233">
        <v>0</v>
      </c>
    </row>
    <row r="272" spans="1:93" s="100" customFormat="1" ht="13" x14ac:dyDescent="0.3">
      <c r="A272" s="142" t="s">
        <v>199</v>
      </c>
      <c r="B272" s="228">
        <f t="shared" ref="B272:AM272" si="1441">B204</f>
        <v>89989</v>
      </c>
      <c r="C272" s="228">
        <f t="shared" si="1441"/>
        <v>71591</v>
      </c>
      <c r="D272" s="228">
        <f t="shared" si="1441"/>
        <v>73380</v>
      </c>
      <c r="E272" s="229">
        <f t="shared" si="1441"/>
        <v>116990</v>
      </c>
      <c r="F272" s="228">
        <f t="shared" si="1441"/>
        <v>109929</v>
      </c>
      <c r="G272" s="228">
        <f t="shared" si="1441"/>
        <v>88720</v>
      </c>
      <c r="H272" s="228">
        <f t="shared" si="1441"/>
        <v>101111</v>
      </c>
      <c r="I272" s="229">
        <f t="shared" si="1441"/>
        <v>123609</v>
      </c>
      <c r="J272" s="228">
        <f t="shared" si="1441"/>
        <v>141678</v>
      </c>
      <c r="K272" s="228">
        <f t="shared" si="1441"/>
        <v>102526.208377127</v>
      </c>
      <c r="L272" s="228">
        <f t="shared" si="1441"/>
        <v>119079.67220000003</v>
      </c>
      <c r="M272" s="229">
        <f t="shared" si="1441"/>
        <v>152875.677</v>
      </c>
      <c r="N272" s="228">
        <f t="shared" si="1441"/>
        <v>354127</v>
      </c>
      <c r="O272" s="228" t="e">
        <f t="shared" si="1441"/>
        <v>#REF!</v>
      </c>
      <c r="P272" s="228" t="e">
        <f t="shared" si="1441"/>
        <v>#REF!</v>
      </c>
      <c r="Q272" s="228" t="e">
        <f t="shared" si="1441"/>
        <v>#REF!</v>
      </c>
      <c r="R272" s="230" t="e">
        <f t="shared" si="1441"/>
        <v>#REF!</v>
      </c>
      <c r="S272" s="228" t="e">
        <f t="shared" si="1441"/>
        <v>#REF!</v>
      </c>
      <c r="T272" s="244" t="e">
        <f t="shared" si="1441"/>
        <v>#REF!</v>
      </c>
      <c r="U272" s="244" t="e">
        <f t="shared" si="1441"/>
        <v>#REF!</v>
      </c>
      <c r="V272" s="244" t="e">
        <f t="shared" si="1441"/>
        <v>#REF!</v>
      </c>
      <c r="W272" s="244" t="e">
        <f t="shared" si="1441"/>
        <v>#REF!</v>
      </c>
      <c r="X272" s="244" t="e">
        <f t="shared" si="1441"/>
        <v>#REF!</v>
      </c>
      <c r="Y272" s="230" t="e">
        <f t="shared" si="1441"/>
        <v>#REF!</v>
      </c>
      <c r="Z272" s="228" t="e">
        <f t="shared" si="1441"/>
        <v>#REF!</v>
      </c>
      <c r="AA272" s="244" t="e">
        <f t="shared" si="1441"/>
        <v>#REF!</v>
      </c>
      <c r="AB272" s="244" t="e">
        <f t="shared" si="1441"/>
        <v>#REF!</v>
      </c>
      <c r="AC272" s="244" t="e">
        <f t="shared" si="1441"/>
        <v>#REF!</v>
      </c>
      <c r="AD272" s="244" t="e">
        <f t="shared" si="1441"/>
        <v>#REF!</v>
      </c>
      <c r="AE272" s="244" t="e">
        <f t="shared" si="1441"/>
        <v>#REF!</v>
      </c>
      <c r="AF272" s="230">
        <f t="shared" si="1441"/>
        <v>224093</v>
      </c>
      <c r="AG272" s="228">
        <f t="shared" si="1441"/>
        <v>186399</v>
      </c>
      <c r="AH272" s="228">
        <f t="shared" si="1441"/>
        <v>199180</v>
      </c>
      <c r="AI272" s="244">
        <f t="shared" si="1441"/>
        <v>919408</v>
      </c>
      <c r="AJ272" s="244">
        <f t="shared" si="1441"/>
        <v>410492</v>
      </c>
      <c r="AK272" s="244">
        <f t="shared" si="1441"/>
        <v>600010</v>
      </c>
      <c r="AL272" s="244">
        <f t="shared" si="1441"/>
        <v>1558396</v>
      </c>
      <c r="AM272" s="230">
        <f t="shared" si="1441"/>
        <v>142288</v>
      </c>
      <c r="AN272" s="228">
        <f t="shared" si="1358"/>
        <v>87628</v>
      </c>
      <c r="AO272" s="228"/>
      <c r="AP272" s="228">
        <f t="shared" si="1359"/>
        <v>130583</v>
      </c>
      <c r="AQ272" s="244">
        <f t="shared" ref="AQ272:CI272" si="1442">AQ204</f>
        <v>229916</v>
      </c>
      <c r="AR272" s="244">
        <f t="shared" si="1442"/>
        <v>341543</v>
      </c>
      <c r="AS272" s="244">
        <f t="shared" si="1442"/>
        <v>472126</v>
      </c>
      <c r="AT272" s="230">
        <f t="shared" si="1442"/>
        <v>90385</v>
      </c>
      <c r="AU272" s="230">
        <f t="shared" si="1442"/>
        <v>86053</v>
      </c>
      <c r="AV272" s="230">
        <f t="shared" si="1442"/>
        <v>122021</v>
      </c>
      <c r="AW272" s="230">
        <f t="shared" si="1442"/>
        <v>123497</v>
      </c>
      <c r="AX272" s="230">
        <f t="shared" si="1442"/>
        <v>176438</v>
      </c>
      <c r="AY272" s="230">
        <f t="shared" si="1442"/>
        <v>298459</v>
      </c>
      <c r="AZ272" s="230">
        <f t="shared" si="1442"/>
        <v>421956</v>
      </c>
      <c r="BA272" s="230">
        <f t="shared" si="1442"/>
        <v>117235</v>
      </c>
      <c r="BB272" s="230">
        <f t="shared" si="1442"/>
        <v>89533</v>
      </c>
      <c r="BC272" s="230">
        <f t="shared" si="1442"/>
        <v>100071</v>
      </c>
      <c r="BD272" s="230">
        <f t="shared" si="1442"/>
        <v>116194</v>
      </c>
      <c r="BE272" s="230">
        <f t="shared" si="1442"/>
        <v>206768</v>
      </c>
      <c r="BF272" s="230">
        <f t="shared" si="1442"/>
        <v>306839</v>
      </c>
      <c r="BG272" s="230">
        <f t="shared" si="1442"/>
        <v>423033</v>
      </c>
      <c r="BH272" s="230">
        <f t="shared" si="1442"/>
        <v>91915</v>
      </c>
      <c r="BI272" s="230">
        <f t="shared" si="1442"/>
        <v>94767</v>
      </c>
      <c r="BJ272" s="230">
        <f t="shared" si="1442"/>
        <v>158102</v>
      </c>
      <c r="BK272" s="230">
        <f t="shared" si="1442"/>
        <v>92711</v>
      </c>
      <c r="BL272" s="230">
        <f t="shared" si="1442"/>
        <v>186682</v>
      </c>
      <c r="BM272" s="230">
        <f t="shared" si="1442"/>
        <v>344784</v>
      </c>
      <c r="BN272" s="230">
        <f t="shared" si="1442"/>
        <v>437495</v>
      </c>
      <c r="BO272" s="230">
        <f t="shared" si="1442"/>
        <v>56784</v>
      </c>
      <c r="BP272" s="230">
        <f t="shared" si="1442"/>
        <v>112268</v>
      </c>
      <c r="BQ272" s="230">
        <f t="shared" si="1442"/>
        <v>-3226</v>
      </c>
      <c r="BR272" s="230">
        <f t="shared" si="1442"/>
        <v>78006</v>
      </c>
      <c r="BS272" s="230">
        <f t="shared" si="1442"/>
        <v>169052</v>
      </c>
      <c r="BT272" s="230">
        <f t="shared" si="1442"/>
        <v>274920</v>
      </c>
      <c r="BU272" s="230">
        <f t="shared" si="1442"/>
        <v>352926</v>
      </c>
      <c r="BV272" s="230">
        <f t="shared" si="1442"/>
        <v>85425</v>
      </c>
      <c r="BW272" s="230">
        <f t="shared" si="1442"/>
        <v>116272</v>
      </c>
      <c r="BX272" s="230">
        <f t="shared" si="1442"/>
        <v>201721</v>
      </c>
      <c r="BY272" s="230">
        <f t="shared" si="1442"/>
        <v>155363</v>
      </c>
      <c r="BZ272" s="230">
        <f t="shared" si="1442"/>
        <v>201697</v>
      </c>
      <c r="CA272" s="230">
        <f t="shared" si="1442"/>
        <v>403418</v>
      </c>
      <c r="CB272" s="230">
        <f t="shared" si="1442"/>
        <v>558781</v>
      </c>
      <c r="CC272" s="230">
        <f t="shared" si="1442"/>
        <v>75405</v>
      </c>
      <c r="CD272" s="230">
        <f t="shared" si="1442"/>
        <v>96578</v>
      </c>
      <c r="CE272" s="230">
        <f t="shared" si="1442"/>
        <v>206712</v>
      </c>
      <c r="CF272" s="230">
        <f t="shared" si="1442"/>
        <v>136180</v>
      </c>
      <c r="CG272" s="230">
        <f t="shared" si="1442"/>
        <v>171984</v>
      </c>
      <c r="CH272" s="230">
        <f t="shared" si="1442"/>
        <v>378696</v>
      </c>
      <c r="CI272" s="230">
        <f t="shared" si="1442"/>
        <v>518979</v>
      </c>
      <c r="CJ272" s="230">
        <v>79693</v>
      </c>
      <c r="CK272" s="230">
        <f t="shared" ref="CK272:CO272" si="1443">CK204</f>
        <v>96348</v>
      </c>
      <c r="CL272" s="230">
        <f t="shared" si="1443"/>
        <v>0</v>
      </c>
      <c r="CM272" s="230">
        <f t="shared" si="1443"/>
        <v>0</v>
      </c>
      <c r="CN272" s="230">
        <f t="shared" si="1443"/>
        <v>176041</v>
      </c>
      <c r="CO272" s="230">
        <f t="shared" si="1443"/>
        <v>0</v>
      </c>
    </row>
    <row r="273" spans="1:93" s="100" customFormat="1" ht="13" x14ac:dyDescent="0.3">
      <c r="A273" s="160" t="str">
        <f>Language!AA268</f>
        <v>Concessões Rodoviárias</v>
      </c>
      <c r="B273" s="231">
        <f>SUM(B274:B276)</f>
        <v>70490</v>
      </c>
      <c r="C273" s="231">
        <f t="shared" ref="C273:I273" si="1444">SUM(C274:C276)</f>
        <v>61419</v>
      </c>
      <c r="D273" s="231">
        <f t="shared" si="1444"/>
        <v>65810</v>
      </c>
      <c r="E273" s="232">
        <f t="shared" si="1444"/>
        <v>88303</v>
      </c>
      <c r="F273" s="231">
        <f t="shared" si="1444"/>
        <v>86117</v>
      </c>
      <c r="G273" s="231">
        <f t="shared" si="1444"/>
        <v>73661</v>
      </c>
      <c r="H273" s="231">
        <f t="shared" si="1444"/>
        <v>81852</v>
      </c>
      <c r="I273" s="232">
        <f t="shared" si="1444"/>
        <v>94326</v>
      </c>
      <c r="J273" s="231" t="e">
        <f>SUM(J274:J278)</f>
        <v>#REF!</v>
      </c>
      <c r="K273" s="231" t="e">
        <f>SUM(K274:K278)</f>
        <v>#REF!</v>
      </c>
      <c r="L273" s="234" t="e">
        <f>SUM(L274:L278)</f>
        <v>#REF!</v>
      </c>
      <c r="M273" s="245">
        <f t="shared" ref="M273:Q273" si="1445">SUM(M274:M278)</f>
        <v>100063</v>
      </c>
      <c r="N273" s="234" t="e">
        <f t="shared" si="1445"/>
        <v>#REF!</v>
      </c>
      <c r="O273" s="234" t="e">
        <f>SUM(O274:O278)</f>
        <v>#REF!</v>
      </c>
      <c r="P273" s="234" t="e">
        <f t="shared" si="1445"/>
        <v>#REF!</v>
      </c>
      <c r="Q273" s="234">
        <f t="shared" si="1445"/>
        <v>95476</v>
      </c>
      <c r="R273" s="246" t="e">
        <f t="shared" ref="R273:AM273" si="1446">SUM(R274:R279)</f>
        <v>#REF!</v>
      </c>
      <c r="S273" s="234" t="e">
        <f t="shared" si="1446"/>
        <v>#REF!</v>
      </c>
      <c r="T273" s="234" t="e">
        <f t="shared" si="1446"/>
        <v>#REF!</v>
      </c>
      <c r="U273" s="234" t="e">
        <f t="shared" si="1446"/>
        <v>#REF!</v>
      </c>
      <c r="V273" s="234" t="e">
        <f t="shared" si="1446"/>
        <v>#REF!</v>
      </c>
      <c r="W273" s="234" t="e">
        <f t="shared" si="1446"/>
        <v>#REF!</v>
      </c>
      <c r="X273" s="234" t="e">
        <f t="shared" si="1446"/>
        <v>#REF!</v>
      </c>
      <c r="Y273" s="246" t="e">
        <f t="shared" si="1446"/>
        <v>#REF!</v>
      </c>
      <c r="Z273" s="234" t="e">
        <f t="shared" si="1446"/>
        <v>#REF!</v>
      </c>
      <c r="AA273" s="234" t="e">
        <f t="shared" si="1446"/>
        <v>#REF!</v>
      </c>
      <c r="AB273" s="234" t="e">
        <f t="shared" si="1446"/>
        <v>#REF!</v>
      </c>
      <c r="AC273" s="234" t="e">
        <f t="shared" si="1446"/>
        <v>#REF!</v>
      </c>
      <c r="AD273" s="234" t="e">
        <f t="shared" si="1446"/>
        <v>#REF!</v>
      </c>
      <c r="AE273" s="234" t="e">
        <f t="shared" si="1446"/>
        <v>#REF!</v>
      </c>
      <c r="AF273" s="246" t="e">
        <f t="shared" si="1446"/>
        <v>#REF!</v>
      </c>
      <c r="AG273" s="234" t="e">
        <f t="shared" si="1446"/>
        <v>#REF!</v>
      </c>
      <c r="AH273" s="234" t="e">
        <f t="shared" si="1446"/>
        <v>#REF!</v>
      </c>
      <c r="AI273" s="234" t="e">
        <f t="shared" si="1446"/>
        <v>#REF!</v>
      </c>
      <c r="AJ273" s="234" t="e">
        <f t="shared" si="1446"/>
        <v>#REF!</v>
      </c>
      <c r="AK273" s="234" t="e">
        <f t="shared" si="1446"/>
        <v>#REF!</v>
      </c>
      <c r="AL273" s="234" t="e">
        <f t="shared" si="1446"/>
        <v>#REF!</v>
      </c>
      <c r="AM273" s="246" t="e">
        <f t="shared" si="1446"/>
        <v>#REF!</v>
      </c>
      <c r="AN273" s="234" t="e">
        <f t="shared" si="1358"/>
        <v>#REF!</v>
      </c>
      <c r="AO273" s="234"/>
      <c r="AP273" s="234" t="e">
        <f t="shared" si="1359"/>
        <v>#REF!</v>
      </c>
      <c r="AQ273" s="234" t="e">
        <f>SUM(AQ274:AQ279)</f>
        <v>#REF!</v>
      </c>
      <c r="AR273" s="234" t="e">
        <f>SUM(AR274:AR280)</f>
        <v>#REF!</v>
      </c>
      <c r="AS273" s="234" t="e">
        <f>SUM(AS274:AS280)</f>
        <v>#REF!</v>
      </c>
      <c r="AT273" s="246">
        <f>SUM(AT274:AT280)</f>
        <v>85225.838000000003</v>
      </c>
      <c r="AU273" s="246">
        <f t="shared" ref="AU273" si="1447">SUM(AU274:AU280)</f>
        <v>77564.019693085444</v>
      </c>
      <c r="AV273" s="246">
        <f>SUM(AV274:AV280)</f>
        <v>123565.20839999997</v>
      </c>
      <c r="AW273" s="246">
        <f>SUM(AW274:AW280)</f>
        <v>130386.31040000003</v>
      </c>
      <c r="AX273" s="246">
        <f t="shared" ref="AX273:BE273" si="1448">SUM(AX274:AX280)</f>
        <v>157328.91199999998</v>
      </c>
      <c r="AY273" s="246">
        <f t="shared" si="1448"/>
        <v>280294.12040000001</v>
      </c>
      <c r="AZ273" s="246">
        <f t="shared" si="1448"/>
        <v>410680.43080000003</v>
      </c>
      <c r="BA273" s="748">
        <f t="shared" si="1448"/>
        <v>110143</v>
      </c>
      <c r="BB273" s="246">
        <f t="shared" si="1448"/>
        <v>168947</v>
      </c>
      <c r="BC273" s="246">
        <f t="shared" si="1448"/>
        <v>89920</v>
      </c>
      <c r="BD273" s="246">
        <f t="shared" si="1448"/>
        <v>111716</v>
      </c>
      <c r="BE273" s="246">
        <f t="shared" si="1448"/>
        <v>190818</v>
      </c>
      <c r="BF273" s="246">
        <f t="shared" ref="BF273:BG273" si="1449">SUM(BF274:BF280)</f>
        <v>280738</v>
      </c>
      <c r="BG273" s="246">
        <f t="shared" si="1449"/>
        <v>392454</v>
      </c>
      <c r="BH273" s="246">
        <f t="shared" ref="BH273:BL273" si="1450">SUM(BH274:BH280)</f>
        <v>84148</v>
      </c>
      <c r="BI273" s="246">
        <f t="shared" si="1450"/>
        <v>88674</v>
      </c>
      <c r="BJ273" s="246">
        <f t="shared" si="1450"/>
        <v>148103</v>
      </c>
      <c r="BK273" s="246">
        <f t="shared" si="1450"/>
        <v>89602</v>
      </c>
      <c r="BL273" s="246">
        <f t="shared" si="1450"/>
        <v>173618</v>
      </c>
      <c r="BM273" s="246">
        <f t="shared" ref="BM273:BN273" si="1451">SUM(BM274:BM280)</f>
        <v>322080</v>
      </c>
      <c r="BN273" s="246">
        <f t="shared" si="1451"/>
        <v>412040</v>
      </c>
      <c r="BO273" s="246">
        <f t="shared" ref="BO273:BP273" si="1452">SUM(BO274:BO280)</f>
        <v>47750</v>
      </c>
      <c r="BP273" s="246">
        <f t="shared" si="1452"/>
        <v>103283</v>
      </c>
      <c r="BQ273" s="246">
        <f t="shared" ref="BQ273:BS273" si="1453">SUM(BQ274:BQ280)</f>
        <v>87424</v>
      </c>
      <c r="BR273" s="246">
        <f t="shared" si="1453"/>
        <v>27413.242333248476</v>
      </c>
      <c r="BS273" s="246">
        <f t="shared" si="1453"/>
        <v>151033</v>
      </c>
      <c r="BT273" s="246">
        <f t="shared" ref="BT273:BU273" si="1454">SUM(BT274:BT280)</f>
        <v>238457</v>
      </c>
      <c r="BU273" s="246">
        <f t="shared" si="1454"/>
        <v>327109</v>
      </c>
      <c r="BV273" s="246">
        <f t="shared" ref="BV273" si="1455">SUM(BV274:BV280)</f>
        <v>6909</v>
      </c>
      <c r="BW273" s="246">
        <f>SUM(BW274:BW280)</f>
        <v>14327</v>
      </c>
      <c r="BX273" s="246">
        <f t="shared" ref="BX273:BZ273" si="1456">SUM(BX274:BX280)</f>
        <v>106603</v>
      </c>
      <c r="BY273" s="246">
        <f t="shared" si="1456"/>
        <v>96271</v>
      </c>
      <c r="BZ273" s="246">
        <f t="shared" si="1456"/>
        <v>22716</v>
      </c>
      <c r="CA273" s="246">
        <f t="shared" ref="CA273:CB273" si="1457">SUM(CA274:CA280)</f>
        <v>129319</v>
      </c>
      <c r="CB273" s="246">
        <f t="shared" si="1457"/>
        <v>225590</v>
      </c>
      <c r="CC273" s="246">
        <f t="shared" ref="CC273:CD273" si="1458">SUM(CC274:CC280)</f>
        <v>63412</v>
      </c>
      <c r="CD273" s="246">
        <f t="shared" si="1458"/>
        <v>78533</v>
      </c>
      <c r="CE273" s="246">
        <f t="shared" ref="CE273:CG273" si="1459">SUM(CE274:CE280)</f>
        <v>174451</v>
      </c>
      <c r="CF273" s="246">
        <f t="shared" si="1459"/>
        <v>127374</v>
      </c>
      <c r="CG273" s="246">
        <f t="shared" si="1459"/>
        <v>141945</v>
      </c>
      <c r="CH273" s="246">
        <f t="shared" ref="CH273:CI273" si="1460">SUM(CH274:CH280)</f>
        <v>316396</v>
      </c>
      <c r="CI273" s="246">
        <f t="shared" si="1460"/>
        <v>443770</v>
      </c>
      <c r="CJ273" s="246">
        <v>68919</v>
      </c>
      <c r="CK273" s="246">
        <f t="shared" ref="CK273:CO273" si="1461">SUM(CK274:CK280)</f>
        <v>87633</v>
      </c>
      <c r="CL273" s="246">
        <f t="shared" si="1461"/>
        <v>0</v>
      </c>
      <c r="CM273" s="246">
        <f t="shared" si="1461"/>
        <v>0</v>
      </c>
      <c r="CN273" s="246">
        <f t="shared" si="1461"/>
        <v>156552</v>
      </c>
      <c r="CO273" s="246">
        <f t="shared" si="1461"/>
        <v>0</v>
      </c>
    </row>
    <row r="274" spans="1:93" s="92" customFormat="1" x14ac:dyDescent="0.25">
      <c r="A274" s="164" t="str">
        <f>Language!AA269</f>
        <v>Concepa</v>
      </c>
      <c r="B274" s="235">
        <f>'Toll Roads'!B294</f>
        <v>34513</v>
      </c>
      <c r="C274" s="235">
        <f>'Toll Roads'!C294</f>
        <v>24289</v>
      </c>
      <c r="D274" s="235">
        <f>'Toll Roads'!D294</f>
        <v>27471</v>
      </c>
      <c r="E274" s="236">
        <f>'Toll Roads'!E294</f>
        <v>35575</v>
      </c>
      <c r="F274" s="235">
        <f>'Toll Roads'!F294</f>
        <v>40443</v>
      </c>
      <c r="G274" s="235">
        <f>'Toll Roads'!G294</f>
        <v>28577</v>
      </c>
      <c r="H274" s="235">
        <f>'Toll Roads'!H294</f>
        <v>31792</v>
      </c>
      <c r="I274" s="236">
        <f>'Toll Roads'!I294</f>
        <v>39178</v>
      </c>
      <c r="J274" s="235">
        <f>'Toll Roads'!J294</f>
        <v>49953</v>
      </c>
      <c r="K274" s="235">
        <f>'Toll Roads'!K294</f>
        <v>32925</v>
      </c>
      <c r="L274" s="238">
        <f>'Toll Roads'!L294</f>
        <v>34780</v>
      </c>
      <c r="M274" s="247">
        <f>'Toll Roads'!M294-29</f>
        <v>48643</v>
      </c>
      <c r="N274" s="238">
        <f>'Toll Roads'!N294</f>
        <v>52136</v>
      </c>
      <c r="O274" s="238">
        <f>'Toll Roads'!O294</f>
        <v>36201</v>
      </c>
      <c r="P274" s="238">
        <f>'Toll Roads'!P294</f>
        <v>53704</v>
      </c>
      <c r="Q274" s="238">
        <f>'Toll Roads'!Q294</f>
        <v>78100</v>
      </c>
      <c r="R274" s="240">
        <f>'Toll Roads'!R294</f>
        <v>93747</v>
      </c>
      <c r="S274" s="238">
        <f>'Toll Roads'!S294</f>
        <v>69919</v>
      </c>
      <c r="T274" s="238">
        <f>'Toll Roads'!T294</f>
        <v>67944</v>
      </c>
      <c r="U274" s="238">
        <f>'Toll Roads'!U294</f>
        <v>14895</v>
      </c>
      <c r="V274" s="238">
        <f>'Toll Roads'!V294</f>
        <v>163666</v>
      </c>
      <c r="W274" s="238">
        <f>'Toll Roads'!W294</f>
        <v>231610</v>
      </c>
      <c r="X274" s="238">
        <f>'Toll Roads'!X294</f>
        <v>246505</v>
      </c>
      <c r="Y274" s="240">
        <f>'Toll Roads'!Y294</f>
        <v>68702</v>
      </c>
      <c r="Z274" s="248">
        <f>'Toll Roads'!Z294</f>
        <v>42925</v>
      </c>
      <c r="AA274" s="238">
        <f>'Toll Roads'!AA294</f>
        <v>55119</v>
      </c>
      <c r="AB274" s="238">
        <f>'Toll Roads'!AB294</f>
        <v>57558</v>
      </c>
      <c r="AC274" s="238">
        <f>'Toll Roads'!AC294</f>
        <v>111627</v>
      </c>
      <c r="AD274" s="238">
        <f>'Toll Roads'!AD294</f>
        <v>166746</v>
      </c>
      <c r="AE274" s="238">
        <f>'Toll Roads'!AE294</f>
        <v>224304</v>
      </c>
      <c r="AF274" s="240">
        <f>'Toll Roads'!AF294</f>
        <v>74318.617126576457</v>
      </c>
      <c r="AG274" s="248">
        <f>'Toll Roads'!AG294</f>
        <v>45670.665295723302</v>
      </c>
      <c r="AH274" s="248">
        <f>'Toll Roads'!AJ294</f>
        <v>119989.28242229976</v>
      </c>
      <c r="AI274" s="238">
        <f>'Toll Roads'!AK294</f>
        <v>133317.83178310544</v>
      </c>
      <c r="AJ274" s="238">
        <f>'Toll Roads'!AJ294</f>
        <v>119989.28242229976</v>
      </c>
      <c r="AK274" s="238">
        <f>'Toll Roads'!AK294</f>
        <v>133317.83178310544</v>
      </c>
      <c r="AL274" s="238">
        <f>'Toll Roads'!AL294</f>
        <v>175837.05334054708</v>
      </c>
      <c r="AM274" s="240">
        <f>'Toll Roads'!AM294</f>
        <v>33731.371980081181</v>
      </c>
      <c r="AN274" s="238">
        <f t="shared" si="1358"/>
        <v>45750.729958785581</v>
      </c>
      <c r="AO274" s="238"/>
      <c r="AP274" s="238">
        <f t="shared" si="1359"/>
        <v>-6884.6764053923653</v>
      </c>
      <c r="AQ274" s="238">
        <f>'Toll Roads'!AQ294</f>
        <v>79482.101938866763</v>
      </c>
      <c r="AR274" s="238">
        <f>'Toll Roads'!AR294</f>
        <v>13626.487260187616</v>
      </c>
      <c r="AS274" s="238">
        <f>'Toll Roads'!AS294</f>
        <v>6741.8108547952506</v>
      </c>
      <c r="AT274" s="240">
        <f>'Toll Roads'!AT294</f>
        <v>0</v>
      </c>
      <c r="AU274" s="240">
        <f>'Toll Roads'!AU294</f>
        <v>-5437.0543069145524</v>
      </c>
      <c r="AV274" s="240">
        <f>'Toll Roads'!AV294</f>
        <v>-1263</v>
      </c>
      <c r="AW274" s="240">
        <f>'Toll Roads'!AW294</f>
        <v>6706</v>
      </c>
      <c r="AX274" s="240">
        <f>'Toll Roads'!AX294</f>
        <v>-5443</v>
      </c>
      <c r="AY274" s="240">
        <f>'Toll Roads'!AY294</f>
        <v>-6706</v>
      </c>
      <c r="AZ274" s="240">
        <f>'Toll Roads'!AZ294</f>
        <v>0</v>
      </c>
      <c r="BA274" s="240">
        <f>'Toll Roads'!BA294</f>
        <v>0</v>
      </c>
      <c r="BB274" s="240">
        <f>'Toll Roads'!BB294</f>
        <v>0</v>
      </c>
      <c r="BC274" s="240">
        <f>'Toll Roads'!BC294</f>
        <v>0</v>
      </c>
      <c r="BD274" s="240">
        <f>'Toll Roads'!BD294</f>
        <v>0</v>
      </c>
      <c r="BE274" s="240">
        <f>'Toll Roads'!BE294</f>
        <v>0</v>
      </c>
      <c r="BF274" s="240">
        <f>'Toll Roads'!BF294</f>
        <v>0</v>
      </c>
      <c r="BG274" s="240">
        <f>'Toll Roads'!BG294</f>
        <v>0</v>
      </c>
      <c r="BH274" s="240">
        <f>'Toll Roads'!BH294</f>
        <v>0</v>
      </c>
      <c r="BI274" s="240">
        <f>'Toll Roads'!BI294</f>
        <v>0</v>
      </c>
      <c r="BJ274" s="240">
        <f>'Toll Roads'!BJ294</f>
        <v>0</v>
      </c>
      <c r="BK274" s="240">
        <f>'Toll Roads'!BK294</f>
        <v>0</v>
      </c>
      <c r="BL274" s="240">
        <f>'Toll Roads'!BL294</f>
        <v>0</v>
      </c>
      <c r="BM274" s="240">
        <f>'Toll Roads'!BM294</f>
        <v>0</v>
      </c>
      <c r="BN274" s="240">
        <f>'Toll Roads'!BN294</f>
        <v>0</v>
      </c>
      <c r="BO274" s="240">
        <f>'Toll Roads'!BO294</f>
        <v>0</v>
      </c>
      <c r="BP274" s="240">
        <f>'Toll Roads'!BP294</f>
        <v>0</v>
      </c>
      <c r="BQ274" s="240">
        <f>'Toll Roads'!BQ294</f>
        <v>0</v>
      </c>
      <c r="BR274" s="240">
        <f>'Toll Roads'!BR294</f>
        <v>0</v>
      </c>
      <c r="BS274" s="240">
        <f>'Toll Roads'!BS294</f>
        <v>0</v>
      </c>
      <c r="BT274" s="240">
        <f>'Toll Roads'!BT294</f>
        <v>0</v>
      </c>
      <c r="BU274" s="240">
        <f>'Toll Roads'!BU294</f>
        <v>0</v>
      </c>
      <c r="BV274" s="240">
        <f>'Toll Roads'!BV294</f>
        <v>0</v>
      </c>
      <c r="BW274" s="240">
        <f>'Toll Roads'!BW294</f>
        <v>0</v>
      </c>
      <c r="BX274" s="240">
        <f>'Toll Roads'!BX294</f>
        <v>0</v>
      </c>
      <c r="BY274" s="240">
        <f>'Toll Roads'!BY294</f>
        <v>0</v>
      </c>
      <c r="BZ274" s="240">
        <f>'Toll Roads'!BZ294</f>
        <v>0</v>
      </c>
      <c r="CA274" s="240">
        <f>'Toll Roads'!CA294</f>
        <v>0</v>
      </c>
      <c r="CB274" s="240">
        <f>'Toll Roads'!CB294</f>
        <v>0</v>
      </c>
      <c r="CC274" s="240">
        <f>'Toll Roads'!CC294</f>
        <v>0</v>
      </c>
      <c r="CD274" s="240">
        <f>'Toll Roads'!CD294</f>
        <v>0</v>
      </c>
      <c r="CE274" s="240">
        <f>'Toll Roads'!CE294</f>
        <v>0</v>
      </c>
      <c r="CF274" s="240">
        <f>'Toll Roads'!CF294</f>
        <v>0</v>
      </c>
      <c r="CG274" s="240">
        <f>'Toll Roads'!CG294</f>
        <v>0</v>
      </c>
      <c r="CH274" s="240">
        <f>'Toll Roads'!CH294</f>
        <v>0</v>
      </c>
      <c r="CI274" s="240">
        <f>'Toll Roads'!CI294</f>
        <v>0</v>
      </c>
      <c r="CJ274" s="240">
        <v>0</v>
      </c>
      <c r="CK274" s="240">
        <f>'Toll Roads'!CK294</f>
        <v>0</v>
      </c>
      <c r="CL274" s="240">
        <f>'Toll Roads'!CL294</f>
        <v>0</v>
      </c>
      <c r="CM274" s="240">
        <f>'Toll Roads'!CM294</f>
        <v>0</v>
      </c>
      <c r="CN274" s="240">
        <f>'Toll Roads'!CN294</f>
        <v>0</v>
      </c>
      <c r="CO274" s="240">
        <f>'Toll Roads'!CO294</f>
        <v>0</v>
      </c>
    </row>
    <row r="275" spans="1:93" s="92" customFormat="1" x14ac:dyDescent="0.25">
      <c r="A275" s="164" t="str">
        <f>Language!AA270</f>
        <v>Concer</v>
      </c>
      <c r="B275" s="235">
        <f>'Toll Roads'!B295</f>
        <v>19108</v>
      </c>
      <c r="C275" s="235">
        <f>'Toll Roads'!C295</f>
        <v>17257</v>
      </c>
      <c r="D275" s="235">
        <f>'Toll Roads'!D295</f>
        <v>19667</v>
      </c>
      <c r="E275" s="236">
        <f>'Toll Roads'!E295</f>
        <v>28477</v>
      </c>
      <c r="F275" s="235">
        <f>'Toll Roads'!F295</f>
        <v>22505</v>
      </c>
      <c r="G275" s="235">
        <f>'Toll Roads'!G295</f>
        <v>21868</v>
      </c>
      <c r="H275" s="235">
        <f>'Toll Roads'!H295</f>
        <v>24723</v>
      </c>
      <c r="I275" s="236">
        <f>'Toll Roads'!I295</f>
        <v>28170</v>
      </c>
      <c r="J275" s="235">
        <f>'Toll Roads'!J295</f>
        <v>30689</v>
      </c>
      <c r="K275" s="235">
        <f>'Toll Roads'!K295</f>
        <v>20378</v>
      </c>
      <c r="L275" s="238">
        <f>'Toll Roads'!L295</f>
        <v>24389</v>
      </c>
      <c r="M275" s="247">
        <f>'Toll Roads'!M295</f>
        <v>25938</v>
      </c>
      <c r="N275" s="238">
        <f>'Toll Roads'!N295</f>
        <v>23457</v>
      </c>
      <c r="O275" s="238">
        <f>'Toll Roads'!O295</f>
        <v>49510</v>
      </c>
      <c r="P275" s="238">
        <f>'Toll Roads'!P295</f>
        <v>67499</v>
      </c>
      <c r="Q275" s="238">
        <f>'Toll Roads'!Q295</f>
        <v>-4997</v>
      </c>
      <c r="R275" s="240">
        <f>'Toll Roads'!R295</f>
        <v>143023</v>
      </c>
      <c r="S275" s="238">
        <f>'Toll Roads'!S295</f>
        <v>40253</v>
      </c>
      <c r="T275" s="238">
        <f>'Toll Roads'!T295</f>
        <v>38037</v>
      </c>
      <c r="U275" s="238">
        <f>'Toll Roads'!U295</f>
        <v>38318</v>
      </c>
      <c r="V275" s="238">
        <f>'Toll Roads'!V295</f>
        <v>183276</v>
      </c>
      <c r="W275" s="238">
        <f>'Toll Roads'!W295</f>
        <v>221313</v>
      </c>
      <c r="X275" s="238">
        <f>'Toll Roads'!X295</f>
        <v>259631</v>
      </c>
      <c r="Y275" s="240">
        <f>'Toll Roads'!Y295</f>
        <v>34411</v>
      </c>
      <c r="Z275" s="248">
        <f>'Toll Roads'!Z295</f>
        <v>32207</v>
      </c>
      <c r="AA275" s="238">
        <f>'Toll Roads'!AA295</f>
        <v>30684</v>
      </c>
      <c r="AB275" s="238">
        <f>'Toll Roads'!AB295</f>
        <v>29267</v>
      </c>
      <c r="AC275" s="238">
        <f>'Toll Roads'!AC295</f>
        <v>66618</v>
      </c>
      <c r="AD275" s="238">
        <f>'Toll Roads'!AD295</f>
        <v>97302</v>
      </c>
      <c r="AE275" s="238">
        <f>'Toll Roads'!AE295</f>
        <v>126569</v>
      </c>
      <c r="AF275" s="240">
        <f>'Toll Roads'!AF295</f>
        <v>29882.743772160156</v>
      </c>
      <c r="AG275" s="248">
        <f>'Toll Roads'!AG295</f>
        <v>27433.840260162044</v>
      </c>
      <c r="AH275" s="248">
        <f>'Toll Roads'!AJ295</f>
        <v>57316.5840323222</v>
      </c>
      <c r="AI275" s="238">
        <f>'Toll Roads'!AK295</f>
        <v>86581.184386056717</v>
      </c>
      <c r="AJ275" s="238">
        <f>'Toll Roads'!AJ295</f>
        <v>57316.5840323222</v>
      </c>
      <c r="AK275" s="238">
        <f>'Toll Roads'!AK295</f>
        <v>86581.184386056717</v>
      </c>
      <c r="AL275" s="238">
        <f>'Toll Roads'!AL295</f>
        <v>110354.45179425964</v>
      </c>
      <c r="AM275" s="240">
        <f>'Toll Roads'!AM295</f>
        <v>23722.424724069002</v>
      </c>
      <c r="AN275" s="238">
        <f t="shared" si="1358"/>
        <v>-24850.114961509607</v>
      </c>
      <c r="AO275" s="238"/>
      <c r="AP275" s="238">
        <f t="shared" si="1359"/>
        <v>22974.48280540455</v>
      </c>
      <c r="AQ275" s="238">
        <f>'Toll Roads'!AQ295</f>
        <v>-1127.6902374406054</v>
      </c>
      <c r="AR275" s="238">
        <f>'Toll Roads'!AR295</f>
        <v>80665.981227114462</v>
      </c>
      <c r="AS275" s="238">
        <f>'Toll Roads'!AS295</f>
        <v>103640.46403251901</v>
      </c>
      <c r="AT275" s="240">
        <f>'Toll Roads'!AT295</f>
        <v>29234.838</v>
      </c>
      <c r="AU275" s="240">
        <f>'Toll Roads'!AU295</f>
        <v>30190.073999999993</v>
      </c>
      <c r="AV275" s="240">
        <f>'Toll Roads'!AV295</f>
        <v>30468.208399999981</v>
      </c>
      <c r="AW275" s="240">
        <f>'Toll Roads'!AW295</f>
        <v>28863.310400000031</v>
      </c>
      <c r="AX275" s="240">
        <f>'Toll Roads'!AX295</f>
        <v>59424.911999999982</v>
      </c>
      <c r="AY275" s="240">
        <f>'Toll Roads'!AY295</f>
        <v>89893.1204</v>
      </c>
      <c r="AZ275" s="240">
        <f>'Toll Roads'!AZ295</f>
        <v>118756.43080000003</v>
      </c>
      <c r="BA275" s="240">
        <f>'Toll Roads'!BA295</f>
        <v>31434</v>
      </c>
      <c r="BB275" s="240">
        <f>'Toll Roads'!BB295</f>
        <v>68124</v>
      </c>
      <c r="BC275" s="240">
        <f>'Toll Roads'!BC295</f>
        <v>28469</v>
      </c>
      <c r="BD275" s="240">
        <f>'Toll Roads'!BD295</f>
        <v>27597</v>
      </c>
      <c r="BE275" s="240">
        <f>'Toll Roads'!BE295</f>
        <v>49373</v>
      </c>
      <c r="BF275" s="240">
        <f>'Toll Roads'!BF295</f>
        <v>77842</v>
      </c>
      <c r="BG275" s="240">
        <f>'Toll Roads'!BG295</f>
        <v>105439</v>
      </c>
      <c r="BH275" s="240">
        <f>'Toll Roads'!BH295</f>
        <v>25369</v>
      </c>
      <c r="BI275" s="240">
        <f>'Toll Roads'!BI295</f>
        <v>20341</v>
      </c>
      <c r="BJ275" s="240">
        <f>'Toll Roads'!BJ295</f>
        <v>18423</v>
      </c>
      <c r="BK275" s="240">
        <f>'Toll Roads'!BK295</f>
        <v>22841</v>
      </c>
      <c r="BL275" s="240">
        <f>'Toll Roads'!BL295</f>
        <v>45710</v>
      </c>
      <c r="BM275" s="240">
        <f>'Toll Roads'!BM295</f>
        <v>64133</v>
      </c>
      <c r="BN275" s="240">
        <f>'Toll Roads'!BN295</f>
        <v>86974</v>
      </c>
      <c r="BO275" s="240">
        <f>'Toll Roads'!BO295</f>
        <v>21337</v>
      </c>
      <c r="BP275" s="240">
        <f>'Toll Roads'!BP295</f>
        <v>20401</v>
      </c>
      <c r="BQ275" s="240">
        <f>'Toll Roads'!BQ295</f>
        <v>27108</v>
      </c>
      <c r="BR275" s="240">
        <f>'Toll Roads'!BR295</f>
        <v>23834</v>
      </c>
      <c r="BS275" s="240">
        <f>'Toll Roads'!BS295</f>
        <v>41738</v>
      </c>
      <c r="BT275" s="240">
        <f>'Toll Roads'!BT295</f>
        <v>68846</v>
      </c>
      <c r="BU275" s="240">
        <f>'Toll Roads'!BU295</f>
        <v>92680</v>
      </c>
      <c r="BV275" s="240">
        <f>'Toll Roads'!BV295</f>
        <v>26132</v>
      </c>
      <c r="BW275" s="240">
        <f>'Toll Roads'!BW295</f>
        <v>24642</v>
      </c>
      <c r="BX275" s="240">
        <f>'Toll Roads'!BX295</f>
        <v>26881</v>
      </c>
      <c r="BY275" s="240">
        <f>'Toll Roads'!BY295</f>
        <v>26863</v>
      </c>
      <c r="BZ275" s="240">
        <f>'Toll Roads'!BZ295</f>
        <v>52254</v>
      </c>
      <c r="CA275" s="240">
        <f>'Toll Roads'!CA295</f>
        <v>79135</v>
      </c>
      <c r="CB275" s="240">
        <f>'Toll Roads'!CB295</f>
        <v>105998</v>
      </c>
      <c r="CC275" s="240">
        <f>'Toll Roads'!CC295</f>
        <v>33670</v>
      </c>
      <c r="CD275" s="240">
        <f>'Toll Roads'!CD295</f>
        <v>29310</v>
      </c>
      <c r="CE275" s="240">
        <f>'Toll Roads'!CE295</f>
        <v>35612</v>
      </c>
      <c r="CF275" s="240">
        <f>'Toll Roads'!CF295</f>
        <v>33964</v>
      </c>
      <c r="CG275" s="240">
        <f>'Toll Roads'!CG295</f>
        <v>62980</v>
      </c>
      <c r="CH275" s="240">
        <f>'Toll Roads'!CH295</f>
        <v>98592</v>
      </c>
      <c r="CI275" s="240">
        <f>'Toll Roads'!CI295</f>
        <v>132556</v>
      </c>
      <c r="CJ275" s="240">
        <v>33550</v>
      </c>
      <c r="CK275" s="240">
        <f>'Toll Roads'!CK295</f>
        <v>34184</v>
      </c>
      <c r="CL275" s="240">
        <f>'Toll Roads'!CL295</f>
        <v>0</v>
      </c>
      <c r="CM275" s="240">
        <f>'Toll Roads'!CM295</f>
        <v>0</v>
      </c>
      <c r="CN275" s="240">
        <f>'Toll Roads'!CN295</f>
        <v>67734</v>
      </c>
      <c r="CO275" s="240">
        <f>'Toll Roads'!CO295</f>
        <v>0</v>
      </c>
    </row>
    <row r="276" spans="1:93" s="92" customFormat="1" x14ac:dyDescent="0.25">
      <c r="A276" s="164" t="str">
        <f>Language!AA271</f>
        <v>Econorte</v>
      </c>
      <c r="B276" s="235">
        <f>'Toll Roads'!B296</f>
        <v>16869</v>
      </c>
      <c r="C276" s="235">
        <f>'Toll Roads'!C296</f>
        <v>19873</v>
      </c>
      <c r="D276" s="235">
        <f>'Toll Roads'!D296</f>
        <v>18672</v>
      </c>
      <c r="E276" s="236">
        <f>'Toll Roads'!E296</f>
        <v>24251</v>
      </c>
      <c r="F276" s="235">
        <f>'Toll Roads'!F296</f>
        <v>23169</v>
      </c>
      <c r="G276" s="235">
        <f>'Toll Roads'!G296</f>
        <v>23216</v>
      </c>
      <c r="H276" s="235">
        <f>'Toll Roads'!H296</f>
        <v>25337</v>
      </c>
      <c r="I276" s="236">
        <f>'Toll Roads'!I296</f>
        <v>26978</v>
      </c>
      <c r="J276" s="235">
        <f>'Toll Roads'!J296</f>
        <v>27567</v>
      </c>
      <c r="K276" s="235">
        <f>'Toll Roads'!K296</f>
        <v>21467</v>
      </c>
      <c r="L276" s="238">
        <f>'Toll Roads'!L296</f>
        <v>25411</v>
      </c>
      <c r="M276" s="247">
        <f>'Toll Roads'!M296</f>
        <v>25455</v>
      </c>
      <c r="N276" s="238">
        <f>'Toll Roads'!N296</f>
        <v>26767</v>
      </c>
      <c r="O276" s="238">
        <f>'Toll Roads'!O296</f>
        <v>21577</v>
      </c>
      <c r="P276" s="238">
        <f>'Toll Roads'!P296</f>
        <v>24292</v>
      </c>
      <c r="Q276" s="238">
        <f>'Toll Roads'!Q296</f>
        <v>24706</v>
      </c>
      <c r="R276" s="240">
        <f>'Toll Roads'!R296</f>
        <v>28396</v>
      </c>
      <c r="S276" s="238">
        <f>'Toll Roads'!S296</f>
        <v>24971</v>
      </c>
      <c r="T276" s="238">
        <f>'Toll Roads'!T296</f>
        <v>28785</v>
      </c>
      <c r="U276" s="238">
        <f>'Toll Roads'!U296</f>
        <v>31472</v>
      </c>
      <c r="V276" s="238">
        <f>'Toll Roads'!V296</f>
        <v>53367</v>
      </c>
      <c r="W276" s="238">
        <f>'Toll Roads'!W296</f>
        <v>82152</v>
      </c>
      <c r="X276" s="238">
        <f>'Toll Roads'!X296</f>
        <v>113624</v>
      </c>
      <c r="Y276" s="240">
        <f>'Toll Roads'!Y296</f>
        <v>33149</v>
      </c>
      <c r="Z276" s="248">
        <f>'Toll Roads'!Z296</f>
        <v>30397</v>
      </c>
      <c r="AA276" s="238">
        <f>'Toll Roads'!AA296</f>
        <v>31791</v>
      </c>
      <c r="AB276" s="238">
        <f>'Toll Roads'!AB296</f>
        <v>30278</v>
      </c>
      <c r="AC276" s="238">
        <f>'Toll Roads'!AC296</f>
        <v>63546</v>
      </c>
      <c r="AD276" s="238">
        <f>'Toll Roads'!AD296</f>
        <v>95337</v>
      </c>
      <c r="AE276" s="238">
        <f>'Toll Roads'!AE296</f>
        <v>125615</v>
      </c>
      <c r="AF276" s="240">
        <f>'Toll Roads'!AF296</f>
        <v>33163.588154909652</v>
      </c>
      <c r="AG276" s="248">
        <f>'Toll Roads'!AG296</f>
        <v>32174.183552174291</v>
      </c>
      <c r="AH276" s="248">
        <f>'Toll Roads'!AJ296</f>
        <v>65337.771707083943</v>
      </c>
      <c r="AI276" s="238">
        <f>'Toll Roads'!AK296</f>
        <v>103475.92353319688</v>
      </c>
      <c r="AJ276" s="238">
        <f>'Toll Roads'!AJ296</f>
        <v>65337.771707083943</v>
      </c>
      <c r="AK276" s="238">
        <f>'Toll Roads'!AK296</f>
        <v>103475.92353319688</v>
      </c>
      <c r="AL276" s="238">
        <f>'Toll Roads'!AL296</f>
        <v>138141.67427226476</v>
      </c>
      <c r="AM276" s="240">
        <f>'Toll Roads'!AM296</f>
        <v>27932.556984516785</v>
      </c>
      <c r="AN276" s="238">
        <f t="shared" si="1358"/>
        <v>26328.37027430439</v>
      </c>
      <c r="AO276" s="238"/>
      <c r="AP276" s="238">
        <f t="shared" si="1359"/>
        <v>16709.803354048519</v>
      </c>
      <c r="AQ276" s="238">
        <f>'Toll Roads'!AQ296</f>
        <v>54260.927258821175</v>
      </c>
      <c r="AR276" s="238">
        <f>'Toll Roads'!AR296</f>
        <v>102880.06640178556</v>
      </c>
      <c r="AS276" s="238">
        <f>'Toll Roads'!AS296</f>
        <v>119589.86975583408</v>
      </c>
      <c r="AT276" s="240">
        <f>'Toll Roads'!AT296</f>
        <v>10393</v>
      </c>
      <c r="AU276" s="240">
        <f>'Toll Roads'!AU296</f>
        <v>15108</v>
      </c>
      <c r="AV276" s="240">
        <f>'Toll Roads'!AV296</f>
        <v>30070</v>
      </c>
      <c r="AW276" s="240">
        <f>'Toll Roads'!AW296</f>
        <v>47144</v>
      </c>
      <c r="AX276" s="240">
        <f>'Toll Roads'!AX296</f>
        <v>25501</v>
      </c>
      <c r="AY276" s="240">
        <f>'Toll Roads'!AY296</f>
        <v>56833</v>
      </c>
      <c r="AZ276" s="240">
        <f>'Toll Roads'!AZ296</f>
        <v>103977</v>
      </c>
      <c r="BA276" s="240">
        <f>'Toll Roads'!BA296</f>
        <v>39908</v>
      </c>
      <c r="BB276" s="240">
        <f>'Toll Roads'!BB296</f>
        <v>49785</v>
      </c>
      <c r="BC276" s="240">
        <f>'Toll Roads'!BC296</f>
        <v>46588</v>
      </c>
      <c r="BD276" s="240">
        <f>'Toll Roads'!BD296</f>
        <v>53038</v>
      </c>
      <c r="BE276" s="240">
        <f>'Toll Roads'!BE296</f>
        <v>73653</v>
      </c>
      <c r="BF276" s="240">
        <f>'Toll Roads'!BF296</f>
        <v>120241</v>
      </c>
      <c r="BG276" s="240">
        <f>'Toll Roads'!BG296</f>
        <v>173279</v>
      </c>
      <c r="BH276" s="240">
        <f>'Toll Roads'!BH296</f>
        <v>38275</v>
      </c>
      <c r="BI276" s="240">
        <f>'Toll Roads'!BI296</f>
        <v>37738</v>
      </c>
      <c r="BJ276" s="240">
        <f>'Toll Roads'!BJ296</f>
        <v>79343</v>
      </c>
      <c r="BK276" s="240">
        <f>'Toll Roads'!BK296</f>
        <v>21604</v>
      </c>
      <c r="BL276" s="240">
        <f>'Toll Roads'!BL296</f>
        <v>76013</v>
      </c>
      <c r="BM276" s="240">
        <f>'Toll Roads'!BM296</f>
        <v>155356</v>
      </c>
      <c r="BN276" s="240">
        <f>'Toll Roads'!BN296</f>
        <v>176960</v>
      </c>
      <c r="BO276" s="240">
        <f>'Toll Roads'!BO296</f>
        <v>-3083</v>
      </c>
      <c r="BP276" s="240">
        <f>'Toll Roads'!BP296</f>
        <v>-1434</v>
      </c>
      <c r="BQ276" s="240">
        <f>'Toll Roads'!BQ296</f>
        <v>-3194</v>
      </c>
      <c r="BR276" s="240">
        <f>'Toll Roads'!BR296</f>
        <v>-1808</v>
      </c>
      <c r="BS276" s="240">
        <f>'Toll Roads'!BS296</f>
        <v>-4517</v>
      </c>
      <c r="BT276" s="240">
        <f>'Toll Roads'!BT296</f>
        <v>-7711</v>
      </c>
      <c r="BU276" s="240">
        <f>'Toll Roads'!BU296</f>
        <v>-9519</v>
      </c>
      <c r="BV276" s="240">
        <f>'Toll Roads'!BV296</f>
        <v>0</v>
      </c>
      <c r="BW276" s="240">
        <f>'Toll Roads'!BW296</f>
        <v>0</v>
      </c>
      <c r="BX276" s="240">
        <f>'Toll Roads'!BX296</f>
        <v>0</v>
      </c>
      <c r="BY276" s="240">
        <f>'Toll Roads'!BY296</f>
        <v>0</v>
      </c>
      <c r="BZ276" s="240">
        <f>'Toll Roads'!BZ296</f>
        <v>0</v>
      </c>
      <c r="CA276" s="240">
        <f>'Toll Roads'!CA296</f>
        <v>0</v>
      </c>
      <c r="CB276" s="240">
        <f>'Toll Roads'!CB296</f>
        <v>0</v>
      </c>
      <c r="CC276" s="240">
        <f>'Toll Roads'!CC296</f>
        <v>0</v>
      </c>
      <c r="CD276" s="240">
        <f>'Toll Roads'!CD296</f>
        <v>0</v>
      </c>
      <c r="CE276" s="240">
        <f>'Toll Roads'!CE296</f>
        <v>0</v>
      </c>
      <c r="CF276" s="240">
        <f>'Toll Roads'!CF296</f>
        <v>0</v>
      </c>
      <c r="CG276" s="240">
        <f>'Toll Roads'!CG296</f>
        <v>0</v>
      </c>
      <c r="CH276" s="240">
        <f>'Toll Roads'!CH296</f>
        <v>0</v>
      </c>
      <c r="CI276" s="240">
        <f>'Toll Roads'!CI296</f>
        <v>0</v>
      </c>
      <c r="CJ276" s="240">
        <v>0</v>
      </c>
      <c r="CK276" s="240">
        <f>'Toll Roads'!CK296</f>
        <v>0</v>
      </c>
      <c r="CL276" s="240">
        <f>'Toll Roads'!CL296</f>
        <v>0</v>
      </c>
      <c r="CM276" s="240">
        <f>'Toll Roads'!CM296</f>
        <v>0</v>
      </c>
      <c r="CN276" s="240">
        <f>'Toll Roads'!CN296</f>
        <v>0</v>
      </c>
      <c r="CO276" s="240">
        <f>'Toll Roads'!CO296</f>
        <v>0</v>
      </c>
    </row>
    <row r="277" spans="1:93" s="92" customFormat="1" x14ac:dyDescent="0.25">
      <c r="A277" s="164" t="s">
        <v>76</v>
      </c>
      <c r="B277" s="235"/>
      <c r="C277" s="235"/>
      <c r="D277" s="235"/>
      <c r="E277" s="236"/>
      <c r="F277" s="235"/>
      <c r="G277" s="235"/>
      <c r="H277" s="235"/>
      <c r="I277" s="236"/>
      <c r="J277" s="235" t="e">
        <f>'Toll Roads'!#REF!</f>
        <v>#REF!</v>
      </c>
      <c r="K277" s="235" t="e">
        <f>'Toll Roads'!#REF!</f>
        <v>#REF!</v>
      </c>
      <c r="L277" s="238" t="e">
        <f>'Toll Roads'!#REF!</f>
        <v>#REF!</v>
      </c>
      <c r="M277" s="247">
        <v>27</v>
      </c>
      <c r="N277" s="238" t="e">
        <f>'Toll Roads'!#REF!</f>
        <v>#REF!</v>
      </c>
      <c r="O277" s="238" t="e">
        <f>'Toll Roads'!#REF!</f>
        <v>#REF!</v>
      </c>
      <c r="P277" s="238" t="e">
        <f>'Toll Roads'!#REF!</f>
        <v>#REF!</v>
      </c>
      <c r="Q277" s="238"/>
      <c r="R277" s="240" t="e">
        <f>'Toll Roads'!#REF!</f>
        <v>#REF!</v>
      </c>
      <c r="S277" s="238" t="e">
        <f>'Toll Roads'!#REF!</f>
        <v>#REF!</v>
      </c>
      <c r="T277" s="238" t="e">
        <f>'Toll Roads'!#REF!</f>
        <v>#REF!</v>
      </c>
      <c r="U277" s="238" t="e">
        <f>'Toll Roads'!#REF!</f>
        <v>#REF!</v>
      </c>
      <c r="V277" s="238" t="e">
        <f>'Toll Roads'!#REF!</f>
        <v>#REF!</v>
      </c>
      <c r="W277" s="238" t="e">
        <f>'Toll Roads'!#REF!</f>
        <v>#REF!</v>
      </c>
      <c r="X277" s="238" t="e">
        <f>'Toll Roads'!#REF!</f>
        <v>#REF!</v>
      </c>
      <c r="Y277" s="240" t="e">
        <f>'Toll Roads'!#REF!</f>
        <v>#REF!</v>
      </c>
      <c r="Z277" s="248" t="e">
        <f>'Toll Roads'!#REF!</f>
        <v>#REF!</v>
      </c>
      <c r="AA277" s="238" t="e">
        <f>'Toll Roads'!#REF!</f>
        <v>#REF!</v>
      </c>
      <c r="AB277" s="238" t="e">
        <f>'Toll Roads'!#REF!</f>
        <v>#REF!</v>
      </c>
      <c r="AC277" s="238" t="e">
        <f>'Toll Roads'!#REF!</f>
        <v>#REF!</v>
      </c>
      <c r="AD277" s="238" t="e">
        <f>'Toll Roads'!#REF!</f>
        <v>#REF!</v>
      </c>
      <c r="AE277" s="238" t="e">
        <f>'Toll Roads'!#REF!</f>
        <v>#REF!</v>
      </c>
      <c r="AF277" s="240" t="e">
        <f>'Toll Roads'!#REF!</f>
        <v>#REF!</v>
      </c>
      <c r="AG277" s="248" t="e">
        <f>'Toll Roads'!#REF!</f>
        <v>#REF!</v>
      </c>
      <c r="AH277" s="248" t="e">
        <f>'Toll Roads'!#REF!</f>
        <v>#REF!</v>
      </c>
      <c r="AI277" s="238" t="e">
        <f>'Toll Roads'!#REF!</f>
        <v>#REF!</v>
      </c>
      <c r="AJ277" s="238" t="e">
        <f>'Toll Roads'!#REF!</f>
        <v>#REF!</v>
      </c>
      <c r="AK277" s="238" t="e">
        <f>'Toll Roads'!#REF!</f>
        <v>#REF!</v>
      </c>
      <c r="AL277" s="238" t="e">
        <f>'Toll Roads'!#REF!</f>
        <v>#REF!</v>
      </c>
      <c r="AM277" s="240" t="e">
        <f>'Toll Roads'!#REF!</f>
        <v>#REF!</v>
      </c>
      <c r="AN277" s="238" t="e">
        <f t="shared" si="1358"/>
        <v>#REF!</v>
      </c>
      <c r="AO277" s="238"/>
      <c r="AP277" s="238" t="e">
        <f t="shared" si="1359"/>
        <v>#REF!</v>
      </c>
      <c r="AQ277" s="238" t="e">
        <f>'Toll Roads'!#REF!</f>
        <v>#REF!</v>
      </c>
      <c r="AR277" s="238" t="e">
        <f>'Toll Roads'!#REF!</f>
        <v>#REF!</v>
      </c>
      <c r="AS277" s="238" t="e">
        <f>'Toll Roads'!#REF!</f>
        <v>#REF!</v>
      </c>
      <c r="AT277" s="240">
        <v>0</v>
      </c>
      <c r="AU277" s="240">
        <v>0</v>
      </c>
      <c r="AV277" s="240">
        <v>0</v>
      </c>
      <c r="AW277" s="240">
        <v>0</v>
      </c>
      <c r="AX277" s="240">
        <v>0</v>
      </c>
      <c r="AY277" s="240">
        <v>0</v>
      </c>
      <c r="AZ277" s="240">
        <v>0</v>
      </c>
      <c r="BA277" s="240">
        <v>0</v>
      </c>
      <c r="BB277" s="240">
        <v>0</v>
      </c>
      <c r="BC277" s="240">
        <v>0</v>
      </c>
      <c r="BD277" s="240">
        <v>0</v>
      </c>
      <c r="BE277" s="240">
        <v>0</v>
      </c>
      <c r="BF277" s="240">
        <v>0</v>
      </c>
      <c r="BG277" s="240"/>
      <c r="BH277" s="240"/>
      <c r="BI277" s="240"/>
      <c r="BJ277" s="240"/>
      <c r="BK277" s="240"/>
      <c r="BL277" s="240"/>
      <c r="BM277" s="240"/>
      <c r="BN277" s="240"/>
      <c r="BO277" s="240"/>
      <c r="BP277" s="240"/>
      <c r="BQ277" s="240"/>
      <c r="BR277" s="240"/>
      <c r="BS277" s="240"/>
      <c r="BT277" s="240"/>
      <c r="BU277" s="240"/>
      <c r="BV277" s="240"/>
      <c r="BW277" s="240"/>
      <c r="BX277" s="240"/>
      <c r="BY277" s="240"/>
      <c r="BZ277" s="240"/>
      <c r="CA277" s="240"/>
      <c r="CB277" s="240"/>
      <c r="CC277" s="240"/>
      <c r="CD277" s="240"/>
      <c r="CE277" s="240"/>
      <c r="CF277" s="240"/>
      <c r="CG277" s="240"/>
      <c r="CH277" s="240"/>
      <c r="CI277" s="240"/>
      <c r="CJ277" s="240"/>
      <c r="CK277" s="240"/>
      <c r="CL277" s="240"/>
      <c r="CM277" s="240"/>
      <c r="CN277" s="240"/>
      <c r="CO277" s="240"/>
    </row>
    <row r="278" spans="1:93" s="92" customFormat="1" x14ac:dyDescent="0.25">
      <c r="A278" s="164" t="str">
        <f>Language!AA272</f>
        <v>Concebra</v>
      </c>
      <c r="B278" s="235"/>
      <c r="C278" s="235"/>
      <c r="D278" s="235"/>
      <c r="E278" s="236"/>
      <c r="F278" s="235"/>
      <c r="G278" s="235"/>
      <c r="H278" s="235"/>
      <c r="I278" s="236"/>
      <c r="J278" s="235">
        <f>'Toll Roads'!J297</f>
        <v>0</v>
      </c>
      <c r="K278" s="235">
        <f>'Toll Roads'!K297</f>
        <v>0</v>
      </c>
      <c r="L278" s="238">
        <f>'Toll Roads'!L297</f>
        <v>0</v>
      </c>
      <c r="M278" s="247">
        <f>'Toll Roads'!M297</f>
        <v>0</v>
      </c>
      <c r="N278" s="238">
        <f>'Toll Roads'!N297</f>
        <v>-2581</v>
      </c>
      <c r="O278" s="238">
        <f>'Toll Roads'!O297</f>
        <v>425</v>
      </c>
      <c r="P278" s="238">
        <f>'Toll Roads'!P297</f>
        <v>-1454</v>
      </c>
      <c r="Q278" s="238">
        <v>-2333</v>
      </c>
      <c r="R278" s="240">
        <f>'Toll Roads'!R297</f>
        <v>-5453</v>
      </c>
      <c r="S278" s="238">
        <f>'Toll Roads'!S297</f>
        <v>-1018</v>
      </c>
      <c r="T278" s="238">
        <f>'Toll Roads'!T297</f>
        <v>26934</v>
      </c>
      <c r="U278" s="238">
        <f>'Toll Roads'!U297</f>
        <v>37712</v>
      </c>
      <c r="V278" s="238">
        <f>'Toll Roads'!V297</f>
        <v>-6471</v>
      </c>
      <c r="W278" s="238">
        <f>'Toll Roads'!W297</f>
        <v>20463</v>
      </c>
      <c r="X278" s="238">
        <f>'Toll Roads'!X297</f>
        <v>58175</v>
      </c>
      <c r="Y278" s="240">
        <f>'Toll Roads'!Y297</f>
        <v>30226</v>
      </c>
      <c r="Z278" s="248">
        <f>'Toll Roads'!Z297</f>
        <v>39071</v>
      </c>
      <c r="AA278" s="238">
        <f>'Toll Roads'!AA297</f>
        <v>41709</v>
      </c>
      <c r="AB278" s="238">
        <f>'Toll Roads'!AB297</f>
        <v>43125</v>
      </c>
      <c r="AC278" s="238">
        <f>'Toll Roads'!AC297</f>
        <v>69297</v>
      </c>
      <c r="AD278" s="238">
        <f>'Toll Roads'!AD297</f>
        <v>111006</v>
      </c>
      <c r="AE278" s="238">
        <f>'Toll Roads'!AE297</f>
        <v>154131</v>
      </c>
      <c r="AF278" s="240">
        <f>'Toll Roads'!AF297</f>
        <v>28217.853098818232</v>
      </c>
      <c r="AG278" s="248">
        <f>'Toll Roads'!AG297</f>
        <v>23647.402748294619</v>
      </c>
      <c r="AH278" s="248">
        <f>'Toll Roads'!AJ297</f>
        <v>51865.25584711285</v>
      </c>
      <c r="AI278" s="238">
        <f>'Toll Roads'!AK297</f>
        <v>106530.83253808125</v>
      </c>
      <c r="AJ278" s="238">
        <f>'Toll Roads'!AJ297</f>
        <v>51865.25584711285</v>
      </c>
      <c r="AK278" s="238">
        <f>'Toll Roads'!AK297</f>
        <v>106530.83253808125</v>
      </c>
      <c r="AL278" s="238">
        <f>'Toll Roads'!AL297</f>
        <v>141245.28387778759</v>
      </c>
      <c r="AM278" s="240">
        <f>'Toll Roads'!AM297</f>
        <v>23537.570042190564</v>
      </c>
      <c r="AN278" s="238">
        <f t="shared" si="1358"/>
        <v>21634.44519700831</v>
      </c>
      <c r="AO278" s="238"/>
      <c r="AP278" s="238">
        <f t="shared" si="1359"/>
        <v>47041.401380314957</v>
      </c>
      <c r="AQ278" s="238">
        <f>'Toll Roads'!AQ297</f>
        <v>45172.015239198874</v>
      </c>
      <c r="AR278" s="238">
        <f>'Toll Roads'!AR297</f>
        <v>150261.70790716901</v>
      </c>
      <c r="AS278" s="238">
        <f>'Toll Roads'!AS297</f>
        <v>197303.10928748397</v>
      </c>
      <c r="AT278" s="240">
        <f>'Toll Roads'!AT297</f>
        <v>34687</v>
      </c>
      <c r="AU278" s="240">
        <f>'Toll Roads'!AU297</f>
        <v>18664</v>
      </c>
      <c r="AV278" s="240">
        <f>'Toll Roads'!AV297</f>
        <v>40065</v>
      </c>
      <c r="AW278" s="240">
        <f>'Toll Roads'!AW297</f>
        <v>36118</v>
      </c>
      <c r="AX278" s="240">
        <f>'Toll Roads'!AX297</f>
        <v>64598</v>
      </c>
      <c r="AY278" s="240">
        <f>'Toll Roads'!AY297</f>
        <v>104568</v>
      </c>
      <c r="AZ278" s="240">
        <f>'Toll Roads'!AZ297</f>
        <v>140686</v>
      </c>
      <c r="BA278" s="240">
        <f>'Toll Roads'!BA297</f>
        <v>29836</v>
      </c>
      <c r="BB278" s="240">
        <f>'Toll Roads'!BB297</f>
        <v>30648</v>
      </c>
      <c r="BC278" s="240">
        <f>'Toll Roads'!BC297</f>
        <v>2634</v>
      </c>
      <c r="BD278" s="240">
        <f>'Toll Roads'!BD297</f>
        <v>17865</v>
      </c>
      <c r="BE278" s="240">
        <f>'Toll Roads'!BE297</f>
        <v>47661</v>
      </c>
      <c r="BF278" s="240">
        <f>'Toll Roads'!BF297</f>
        <v>50295</v>
      </c>
      <c r="BG278" s="240">
        <f>'Toll Roads'!BG297</f>
        <v>68160</v>
      </c>
      <c r="BH278" s="240">
        <f>'Toll Roads'!BH297</f>
        <v>13807</v>
      </c>
      <c r="BI278" s="240">
        <f>'Toll Roads'!BI297</f>
        <v>8521</v>
      </c>
      <c r="BJ278" s="240">
        <f>'Toll Roads'!BJ297</f>
        <v>27904</v>
      </c>
      <c r="BK278" s="240">
        <f>'Toll Roads'!BK297</f>
        <v>17659</v>
      </c>
      <c r="BL278" s="240">
        <f>'Toll Roads'!BL297</f>
        <v>22438</v>
      </c>
      <c r="BM278" s="240">
        <f>'Toll Roads'!BM297</f>
        <v>50358</v>
      </c>
      <c r="BN278" s="240">
        <f>'Toll Roads'!BN297</f>
        <v>68032</v>
      </c>
      <c r="BO278" s="240">
        <f>'Toll Roads'!BO297</f>
        <v>8322</v>
      </c>
      <c r="BP278" s="240">
        <f>'Toll Roads'!BP297</f>
        <v>58787</v>
      </c>
      <c r="BQ278" s="240">
        <f>'Toll Roads'!BQ297</f>
        <v>42198</v>
      </c>
      <c r="BR278" s="240">
        <f>'Toll Roads'!BR297</f>
        <v>-17038</v>
      </c>
      <c r="BS278" s="240">
        <f>'Toll Roads'!BS297</f>
        <v>67109</v>
      </c>
      <c r="BT278" s="240">
        <f>'Toll Roads'!BT297</f>
        <v>109307</v>
      </c>
      <c r="BU278" s="240">
        <f>'Toll Roads'!BU297</f>
        <v>153152</v>
      </c>
      <c r="BV278" s="240">
        <f>'Toll Roads'!BV297</f>
        <v>-39598</v>
      </c>
      <c r="BW278" s="240">
        <f>'Toll Roads'!BW297</f>
        <v>-28296</v>
      </c>
      <c r="BX278" s="240">
        <f>'Toll Roads'!BX297</f>
        <v>50948</v>
      </c>
      <c r="BY278" s="240">
        <f>'Toll Roads'!BY297</f>
        <v>41853</v>
      </c>
      <c r="BZ278" s="240">
        <f>'Toll Roads'!BZ297</f>
        <v>-67894</v>
      </c>
      <c r="CA278" s="240">
        <f>'Toll Roads'!CA297</f>
        <v>-16946</v>
      </c>
      <c r="CB278" s="240">
        <f>'Toll Roads'!CB297</f>
        <v>24907</v>
      </c>
      <c r="CC278" s="240">
        <f>'Toll Roads'!CC297</f>
        <v>3124</v>
      </c>
      <c r="CD278" s="240">
        <f>'Toll Roads'!CD297</f>
        <v>20465</v>
      </c>
      <c r="CE278" s="240">
        <f>'Toll Roads'!CE297</f>
        <v>106268</v>
      </c>
      <c r="CF278" s="240">
        <f>'Toll Roads'!CF297</f>
        <v>66569</v>
      </c>
      <c r="CG278" s="240">
        <f>'Toll Roads'!CG297</f>
        <v>23589</v>
      </c>
      <c r="CH278" s="240">
        <f>'Toll Roads'!CH297</f>
        <v>129857</v>
      </c>
      <c r="CI278" s="240">
        <f>'Toll Roads'!CI297</f>
        <v>196426</v>
      </c>
      <c r="CJ278" s="240">
        <v>26648</v>
      </c>
      <c r="CK278" s="240">
        <f>'Toll Roads'!CK297</f>
        <v>23727</v>
      </c>
      <c r="CL278" s="240">
        <f>'Toll Roads'!CL297</f>
        <v>0</v>
      </c>
      <c r="CM278" s="240">
        <f>'Toll Roads'!CM297</f>
        <v>0</v>
      </c>
      <c r="CN278" s="240">
        <f>'Toll Roads'!CN297</f>
        <v>50375</v>
      </c>
      <c r="CO278" s="240">
        <f>'Toll Roads'!CO297</f>
        <v>0</v>
      </c>
    </row>
    <row r="279" spans="1:93" s="92" customFormat="1" x14ac:dyDescent="0.25">
      <c r="A279" s="164" t="str">
        <f>Language!AA273</f>
        <v>Transbrasiliana</v>
      </c>
      <c r="B279" s="235"/>
      <c r="C279" s="235"/>
      <c r="D279" s="235"/>
      <c r="E279" s="236"/>
      <c r="F279" s="235"/>
      <c r="G279" s="235"/>
      <c r="H279" s="235"/>
      <c r="I279" s="236"/>
      <c r="J279" s="235"/>
      <c r="K279" s="235"/>
      <c r="L279" s="238"/>
      <c r="M279" s="247"/>
      <c r="N279" s="238"/>
      <c r="O279" s="238"/>
      <c r="P279" s="238"/>
      <c r="Q279" s="238"/>
      <c r="R279" s="240">
        <v>28315</v>
      </c>
      <c r="S279" s="238">
        <f>'Toll Roads'!S298</f>
        <v>7584</v>
      </c>
      <c r="T279" s="238">
        <f>'Toll Roads'!T298</f>
        <v>8734</v>
      </c>
      <c r="U279" s="238">
        <f>'Toll Roads'!U298</f>
        <v>13388</v>
      </c>
      <c r="V279" s="238">
        <f>'Toll Roads'!V298</f>
        <v>35899</v>
      </c>
      <c r="W279" s="238">
        <f>'Toll Roads'!W298</f>
        <v>44633</v>
      </c>
      <c r="X279" s="238">
        <f>'Toll Roads'!X298</f>
        <v>58021</v>
      </c>
      <c r="Y279" s="240">
        <f>'Toll Roads'!Y298</f>
        <v>10558</v>
      </c>
      <c r="Z279" s="248">
        <f>'Toll Roads'!Z298</f>
        <v>8498</v>
      </c>
      <c r="AA279" s="238">
        <f>'Toll Roads'!AA298</f>
        <v>7162</v>
      </c>
      <c r="AB279" s="238">
        <f>'Toll Roads'!AB298</f>
        <v>16968</v>
      </c>
      <c r="AC279" s="238">
        <f>'Toll Roads'!AC298</f>
        <v>19056</v>
      </c>
      <c r="AD279" s="238">
        <f>'Toll Roads'!AD298</f>
        <v>26218</v>
      </c>
      <c r="AE279" s="238">
        <f>'Toll Roads'!AE298</f>
        <v>43186</v>
      </c>
      <c r="AF279" s="240">
        <f>'Toll Roads'!AF298</f>
        <v>11753.113100536124</v>
      </c>
      <c r="AG279" s="248">
        <f>'Toll Roads'!AG298</f>
        <v>13017.475283061325</v>
      </c>
      <c r="AH279" s="248">
        <f>'Toll Roads'!AJ298</f>
        <v>24770.588383597449</v>
      </c>
      <c r="AI279" s="238">
        <f>'Toll Roads'!AK298</f>
        <v>31094.818957517648</v>
      </c>
      <c r="AJ279" s="238">
        <f>'Toll Roads'!AJ298</f>
        <v>24770.588383597449</v>
      </c>
      <c r="AK279" s="238">
        <f>'Toll Roads'!AK298</f>
        <v>31094.818957517648</v>
      </c>
      <c r="AL279" s="238">
        <f>'Toll Roads'!AL298</f>
        <v>56766.536715140974</v>
      </c>
      <c r="AM279" s="240">
        <f>'Toll Roads'!AM298</f>
        <v>13389.13919049079</v>
      </c>
      <c r="AN279" s="238">
        <f t="shared" si="1358"/>
        <v>-1304.0563132677962</v>
      </c>
      <c r="AO279" s="238"/>
      <c r="AP279" s="238">
        <f t="shared" si="1359"/>
        <v>13459.784554611193</v>
      </c>
      <c r="AQ279" s="238">
        <f>'Toll Roads'!AQ298</f>
        <v>12085.082877222994</v>
      </c>
      <c r="AR279" s="238">
        <f>'Toll Roads'!AR298</f>
        <v>36818.921606209209</v>
      </c>
      <c r="AS279" s="238">
        <f>'Toll Roads'!AS298</f>
        <v>50278.706160820402</v>
      </c>
      <c r="AT279" s="240">
        <f>'Toll Roads'!AT298</f>
        <v>10911</v>
      </c>
      <c r="AU279" s="240">
        <f>'Toll Roads'!AU298</f>
        <v>19039</v>
      </c>
      <c r="AV279" s="240">
        <f>'Toll Roads'!AV298</f>
        <v>24225</v>
      </c>
      <c r="AW279" s="240">
        <f>'Toll Roads'!AW298</f>
        <v>11555</v>
      </c>
      <c r="AX279" s="240">
        <f>'Toll Roads'!AX298</f>
        <v>13248</v>
      </c>
      <c r="AY279" s="240">
        <f>'Toll Roads'!AY298</f>
        <v>35706</v>
      </c>
      <c r="AZ279" s="240">
        <f>'Toll Roads'!AZ298</f>
        <v>47261</v>
      </c>
      <c r="BA279" s="240">
        <f>'Toll Roads'!BA298</f>
        <v>8965</v>
      </c>
      <c r="BB279" s="240">
        <f>'Toll Roads'!BB298</f>
        <v>20390</v>
      </c>
      <c r="BC279" s="240">
        <f>'Toll Roads'!BC298</f>
        <v>12229</v>
      </c>
      <c r="BD279" s="240">
        <f>'Toll Roads'!BD298</f>
        <v>13216</v>
      </c>
      <c r="BE279" s="240">
        <f>'Toll Roads'!BE298</f>
        <v>20131</v>
      </c>
      <c r="BF279" s="240">
        <f>'Toll Roads'!BF298</f>
        <v>32360</v>
      </c>
      <c r="BG279" s="240">
        <f>'Toll Roads'!BG298</f>
        <v>45576</v>
      </c>
      <c r="BH279" s="240">
        <f>'Toll Roads'!BH298</f>
        <v>6697</v>
      </c>
      <c r="BI279" s="240">
        <f>'Toll Roads'!BI298</f>
        <v>22074</v>
      </c>
      <c r="BJ279" s="240">
        <f>'Toll Roads'!BJ298</f>
        <v>22433</v>
      </c>
      <c r="BK279" s="240">
        <f>'Toll Roads'!BK298</f>
        <v>27498</v>
      </c>
      <c r="BL279" s="240">
        <f>'Toll Roads'!BL298</f>
        <v>29457</v>
      </c>
      <c r="BM279" s="240">
        <f>'Toll Roads'!BM298</f>
        <v>52233</v>
      </c>
      <c r="BN279" s="240">
        <f>'Toll Roads'!BN298</f>
        <v>80074</v>
      </c>
      <c r="BO279" s="240">
        <f>'Toll Roads'!BO298</f>
        <v>21174</v>
      </c>
      <c r="BP279" s="240">
        <f>'Toll Roads'!BP298</f>
        <v>25529</v>
      </c>
      <c r="BQ279" s="240">
        <f>'Toll Roads'!BQ298</f>
        <v>21312</v>
      </c>
      <c r="BR279" s="240">
        <f>'Toll Roads'!BR298</f>
        <v>22425.242333248476</v>
      </c>
      <c r="BS279" s="240">
        <f>'Toll Roads'!BS298</f>
        <v>46703</v>
      </c>
      <c r="BT279" s="240">
        <f>'Toll Roads'!BT298</f>
        <v>68015</v>
      </c>
      <c r="BU279" s="240">
        <f>'Toll Roads'!BU298</f>
        <v>90796</v>
      </c>
      <c r="BV279" s="240">
        <f>'Toll Roads'!BV298</f>
        <v>20375</v>
      </c>
      <c r="BW279" s="240">
        <f>'Toll Roads'!BW298</f>
        <v>17981</v>
      </c>
      <c r="BX279" s="240">
        <f>'Toll Roads'!BX298</f>
        <v>28774</v>
      </c>
      <c r="BY279" s="240">
        <f>'Toll Roads'!BY298</f>
        <v>27555</v>
      </c>
      <c r="BZ279" s="240">
        <f>'Toll Roads'!BZ298</f>
        <v>38356</v>
      </c>
      <c r="CA279" s="240">
        <f>'Toll Roads'!CA298</f>
        <v>67130</v>
      </c>
      <c r="CB279" s="240">
        <f>'Toll Roads'!CB298</f>
        <v>94685</v>
      </c>
      <c r="CC279" s="240">
        <f>'Toll Roads'!CC298</f>
        <v>26618</v>
      </c>
      <c r="CD279" s="240">
        <f>'Toll Roads'!CD298</f>
        <v>28758</v>
      </c>
      <c r="CE279" s="240">
        <f>'Toll Roads'!CE298</f>
        <v>32571</v>
      </c>
      <c r="CF279" s="240">
        <f>'Toll Roads'!CF298</f>
        <v>26841</v>
      </c>
      <c r="CG279" s="240">
        <f>'Toll Roads'!CG298</f>
        <v>55376</v>
      </c>
      <c r="CH279" s="240">
        <f>'Toll Roads'!CH298</f>
        <v>87947</v>
      </c>
      <c r="CI279" s="240">
        <f>'Toll Roads'!CI298</f>
        <v>114788</v>
      </c>
      <c r="CJ279" s="240">
        <v>8721</v>
      </c>
      <c r="CK279" s="240">
        <f>'Toll Roads'!CK298</f>
        <v>29722</v>
      </c>
      <c r="CL279" s="240">
        <f>'Toll Roads'!CL298</f>
        <v>0</v>
      </c>
      <c r="CM279" s="240">
        <f>'Toll Roads'!CM298</f>
        <v>0</v>
      </c>
      <c r="CN279" s="240">
        <f>'Toll Roads'!CN298</f>
        <v>38443</v>
      </c>
      <c r="CO279" s="240">
        <f>'Toll Roads'!CO298</f>
        <v>0</v>
      </c>
    </row>
    <row r="280" spans="1:93" s="92" customFormat="1" x14ac:dyDescent="0.25">
      <c r="A280" s="715" t="s">
        <v>670</v>
      </c>
      <c r="B280" s="235"/>
      <c r="C280" s="235"/>
      <c r="D280" s="235"/>
      <c r="E280" s="236"/>
      <c r="F280" s="235"/>
      <c r="G280" s="235"/>
      <c r="H280" s="235"/>
      <c r="I280" s="236"/>
      <c r="J280" s="235"/>
      <c r="K280" s="235"/>
      <c r="L280" s="238"/>
      <c r="M280" s="247"/>
      <c r="N280" s="238"/>
      <c r="O280" s="238"/>
      <c r="P280" s="238"/>
      <c r="Q280" s="238"/>
      <c r="R280" s="240"/>
      <c r="S280" s="238"/>
      <c r="T280" s="238"/>
      <c r="U280" s="238"/>
      <c r="V280" s="238"/>
      <c r="W280" s="238"/>
      <c r="X280" s="238"/>
      <c r="Y280" s="240"/>
      <c r="Z280" s="248"/>
      <c r="AA280" s="238"/>
      <c r="AB280" s="238"/>
      <c r="AC280" s="238"/>
      <c r="AD280" s="238"/>
      <c r="AE280" s="238"/>
      <c r="AF280" s="240"/>
      <c r="AG280" s="248"/>
      <c r="AH280" s="248"/>
      <c r="AI280" s="238"/>
      <c r="AJ280" s="238"/>
      <c r="AK280" s="238"/>
      <c r="AL280" s="238"/>
      <c r="AM280" s="240"/>
      <c r="AN280" s="238"/>
      <c r="AO280" s="238"/>
      <c r="AP280" s="238" t="e">
        <f t="shared" si="1359"/>
        <v>#REF!</v>
      </c>
      <c r="AQ280" s="238"/>
      <c r="AR280" s="238" t="e">
        <f>'Toll Roads'!#REF!</f>
        <v>#REF!</v>
      </c>
      <c r="AS280" s="238" t="e">
        <f>'Toll Roads'!#REF!</f>
        <v>#REF!</v>
      </c>
      <c r="AT280" s="240">
        <v>0</v>
      </c>
      <c r="AU280" s="240">
        <v>0</v>
      </c>
      <c r="AV280" s="240">
        <v>0</v>
      </c>
      <c r="AW280" s="240">
        <v>0</v>
      </c>
      <c r="AX280" s="240">
        <v>0</v>
      </c>
      <c r="AY280" s="240">
        <v>0</v>
      </c>
      <c r="AZ280" s="240">
        <v>0</v>
      </c>
      <c r="BA280" s="240">
        <v>0</v>
      </c>
      <c r="BB280" s="240">
        <v>0</v>
      </c>
      <c r="BC280" s="240">
        <v>0</v>
      </c>
      <c r="BD280" s="240">
        <v>0</v>
      </c>
      <c r="BE280" s="240">
        <v>0</v>
      </c>
      <c r="BF280" s="240">
        <v>0</v>
      </c>
      <c r="BG280" s="240"/>
      <c r="BH280" s="240"/>
      <c r="BI280" s="240"/>
      <c r="BJ280" s="240"/>
      <c r="BK280" s="240"/>
      <c r="BL280" s="240"/>
      <c r="BM280" s="240"/>
      <c r="BN280" s="240"/>
      <c r="BO280" s="240"/>
      <c r="BP280" s="240"/>
      <c r="BQ280" s="240"/>
      <c r="BR280" s="240"/>
      <c r="BS280" s="240"/>
      <c r="BT280" s="240"/>
      <c r="BU280" s="240"/>
      <c r="BV280" s="240"/>
      <c r="BW280" s="240"/>
      <c r="BX280" s="240"/>
      <c r="BY280" s="240"/>
      <c r="BZ280" s="240"/>
      <c r="CA280" s="240"/>
      <c r="CB280" s="240"/>
      <c r="CC280" s="240"/>
      <c r="CD280" s="240"/>
      <c r="CE280" s="240"/>
      <c r="CF280" s="240"/>
      <c r="CG280" s="240"/>
      <c r="CH280" s="240"/>
      <c r="CI280" s="240"/>
      <c r="CJ280" s="240"/>
      <c r="CK280" s="240"/>
      <c r="CL280" s="240"/>
      <c r="CM280" s="240"/>
      <c r="CN280" s="240"/>
      <c r="CO280" s="240"/>
    </row>
    <row r="281" spans="1:93" s="100" customFormat="1" ht="13" x14ac:dyDescent="0.3">
      <c r="A281" s="160" t="str">
        <f>Language!AA274</f>
        <v>Energia</v>
      </c>
      <c r="B281" s="231">
        <f>SUM(B282,B283,B285)</f>
        <v>15308</v>
      </c>
      <c r="C281" s="231">
        <f t="shared" ref="C281:J281" si="1462">SUM(C282,C283,C285)</f>
        <v>14494</v>
      </c>
      <c r="D281" s="231">
        <f t="shared" si="1462"/>
        <v>15310</v>
      </c>
      <c r="E281" s="232">
        <f t="shared" si="1462"/>
        <v>18395</v>
      </c>
      <c r="F281" s="231">
        <f t="shared" si="1462"/>
        <v>18691</v>
      </c>
      <c r="G281" s="231">
        <f t="shared" si="1462"/>
        <v>18498</v>
      </c>
      <c r="H281" s="231">
        <f t="shared" si="1462"/>
        <v>18233</v>
      </c>
      <c r="I281" s="232">
        <f t="shared" si="1462"/>
        <v>14683</v>
      </c>
      <c r="J281" s="231">
        <f t="shared" si="1462"/>
        <v>25266</v>
      </c>
      <c r="K281" s="231">
        <f>SUM(K282,K283,K285)</f>
        <v>18183</v>
      </c>
      <c r="L281" s="234">
        <f>SUM(L282,L283,L285)</f>
        <v>14230</v>
      </c>
      <c r="M281" s="245">
        <f t="shared" ref="M281:N281" si="1463">SUM(M282,M283,M285)</f>
        <v>46428.997943999988</v>
      </c>
      <c r="N281" s="234">
        <f t="shared" si="1463"/>
        <v>223006</v>
      </c>
      <c r="O281" s="234">
        <f t="shared" ref="O281" si="1464">SUM(O282,O283,O285)</f>
        <v>19723.974330000001</v>
      </c>
      <c r="P281" s="234">
        <f t="shared" ref="P281" si="1465">SUM(P282,P283,P285)</f>
        <v>7306.0792345479931</v>
      </c>
      <c r="Q281" s="234">
        <f t="shared" ref="Q281" si="1466">SUM(Q282,Q283,Q285)</f>
        <v>15892.946435452006</v>
      </c>
      <c r="R281" s="246">
        <f t="shared" ref="R281:X281" si="1467">SUM(R282,R283,R284,R285)</f>
        <v>65822</v>
      </c>
      <c r="S281" s="234">
        <f t="shared" si="1467"/>
        <v>19973</v>
      </c>
      <c r="T281" s="234">
        <f t="shared" si="1467"/>
        <v>25741</v>
      </c>
      <c r="U281" s="234">
        <f t="shared" si="1467"/>
        <v>19721</v>
      </c>
      <c r="V281" s="234">
        <f t="shared" ref="V281" si="1468">SUM(V282,V283,V284,V285)</f>
        <v>79948</v>
      </c>
      <c r="W281" s="234">
        <f t="shared" si="1467"/>
        <v>105689</v>
      </c>
      <c r="X281" s="234">
        <f t="shared" si="1467"/>
        <v>125410</v>
      </c>
      <c r="Y281" s="246">
        <f t="shared" ref="Y281:AB281" si="1469">SUM(Y282,Y283,Y284,Y285)</f>
        <v>2182</v>
      </c>
      <c r="Z281" s="234">
        <f t="shared" si="1469"/>
        <v>2012</v>
      </c>
      <c r="AA281" s="234">
        <f t="shared" si="1469"/>
        <v>1280</v>
      </c>
      <c r="AB281" s="234">
        <f t="shared" si="1469"/>
        <v>2447</v>
      </c>
      <c r="AC281" s="234">
        <f t="shared" ref="AC281:AD281" si="1470">SUM(AC282,AC283,AC284,AC285)</f>
        <v>4194</v>
      </c>
      <c r="AD281" s="234">
        <f t="shared" si="1470"/>
        <v>5474</v>
      </c>
      <c r="AE281" s="234">
        <f t="shared" ref="AE281:AJ281" si="1471">SUM(AE282,AE283,AE284,AE285)</f>
        <v>7921</v>
      </c>
      <c r="AF281" s="246">
        <f t="shared" si="1471"/>
        <v>2453</v>
      </c>
      <c r="AG281" s="234">
        <f t="shared" si="1471"/>
        <v>3059</v>
      </c>
      <c r="AH281" s="234">
        <f t="shared" ref="AH281:AI281" si="1472">SUM(AH282,AH283,AH284,AH285)</f>
        <v>5512</v>
      </c>
      <c r="AI281" s="234">
        <f t="shared" si="1472"/>
        <v>15322</v>
      </c>
      <c r="AJ281" s="234">
        <f t="shared" si="1471"/>
        <v>5512</v>
      </c>
      <c r="AK281" s="234">
        <f t="shared" ref="AK281:AL281" si="1473">SUM(AK282,AK283,AK284,AK285)</f>
        <v>8200</v>
      </c>
      <c r="AL281" s="234">
        <f t="shared" si="1473"/>
        <v>15774</v>
      </c>
      <c r="AM281" s="246">
        <f t="shared" ref="AM281:AQ281" si="1474">SUM(AM282,AM283,AM284,AM285)</f>
        <v>2976</v>
      </c>
      <c r="AN281" s="234">
        <f t="shared" si="1358"/>
        <v>2391</v>
      </c>
      <c r="AO281" s="234"/>
      <c r="AP281" s="234">
        <f t="shared" si="1359"/>
        <v>9311</v>
      </c>
      <c r="AQ281" s="234">
        <f t="shared" si="1474"/>
        <v>5367</v>
      </c>
      <c r="AR281" s="234">
        <f t="shared" ref="AR281:AS281" si="1475">SUM(AR282,AR283,AR284,AR285)</f>
        <v>16925</v>
      </c>
      <c r="AS281" s="234">
        <f t="shared" si="1475"/>
        <v>26236</v>
      </c>
      <c r="AT281" s="246">
        <f t="shared" ref="AT281" si="1476">SUM(AT282,AT283,AT284,AT285)</f>
        <v>10805</v>
      </c>
      <c r="AU281" s="246">
        <f t="shared" ref="AU281:AX281" si="1477">SUM(AU282,AU283,AU284,AU285)</f>
        <v>11341</v>
      </c>
      <c r="AV281" s="246">
        <f t="shared" ref="AV281:AY281" si="1478">SUM(AV282,AV283,AV284,AV285)</f>
        <v>12569</v>
      </c>
      <c r="AW281" s="246">
        <f t="shared" si="1477"/>
        <v>10584</v>
      </c>
      <c r="AX281" s="246">
        <f t="shared" si="1477"/>
        <v>22146</v>
      </c>
      <c r="AY281" s="246">
        <f t="shared" si="1478"/>
        <v>34715</v>
      </c>
      <c r="AZ281" s="246">
        <f t="shared" ref="AZ281:BA281" si="1479">SUM(AZ282,AZ283,AZ284,AZ285)</f>
        <v>45299</v>
      </c>
      <c r="BA281" s="246">
        <f t="shared" si="1479"/>
        <v>11779</v>
      </c>
      <c r="BB281" s="246">
        <f t="shared" ref="BB281:BC281" si="1480">SUM(BB282,BB283,BB284,BB285)</f>
        <v>12387</v>
      </c>
      <c r="BC281" s="246">
        <f t="shared" si="1480"/>
        <v>13866</v>
      </c>
      <c r="BD281" s="246">
        <f t="shared" ref="BD281:BE281" si="1481">SUM(BD282,BD283,BD284,BD285)</f>
        <v>12169</v>
      </c>
      <c r="BE281" s="246">
        <f t="shared" si="1481"/>
        <v>24166</v>
      </c>
      <c r="BF281" s="246">
        <f t="shared" ref="BF281:BG281" si="1482">SUM(BF282,BF283,BF284,BF285)</f>
        <v>38032</v>
      </c>
      <c r="BG281" s="246">
        <f t="shared" si="1482"/>
        <v>50201</v>
      </c>
      <c r="BH281" s="246">
        <f t="shared" ref="BH281:BL281" si="1483">SUM(BH282,BH283,BH284,BH285)</f>
        <v>13148</v>
      </c>
      <c r="BI281" s="246">
        <f t="shared" si="1483"/>
        <v>12303</v>
      </c>
      <c r="BJ281" s="246">
        <f t="shared" si="1483"/>
        <v>15156</v>
      </c>
      <c r="BK281" s="246">
        <f t="shared" si="1483"/>
        <v>13458</v>
      </c>
      <c r="BL281" s="246">
        <f t="shared" si="1483"/>
        <v>25451</v>
      </c>
      <c r="BM281" s="246">
        <f t="shared" ref="BM281:BN281" si="1484">SUM(BM282,BM283,BM284,BM285)</f>
        <v>40607</v>
      </c>
      <c r="BN281" s="246">
        <f t="shared" si="1484"/>
        <v>54065</v>
      </c>
      <c r="BO281" s="246">
        <f t="shared" ref="BO281:BP281" si="1485">SUM(BO282,BO283,BO284,BO285)</f>
        <v>14143</v>
      </c>
      <c r="BP281" s="246">
        <f t="shared" si="1485"/>
        <v>14339</v>
      </c>
      <c r="BQ281" s="246">
        <f t="shared" ref="BQ281:BS281" si="1486">SUM(BQ282,BQ283,BQ284,BQ285)</f>
        <v>17440</v>
      </c>
      <c r="BR281" s="246">
        <f t="shared" si="1486"/>
        <v>15765</v>
      </c>
      <c r="BS281" s="246">
        <f t="shared" si="1486"/>
        <v>29285</v>
      </c>
      <c r="BT281" s="246">
        <f t="shared" ref="BT281:BU281" si="1487">SUM(BT282,BT283,BT284,BT285)</f>
        <v>46714</v>
      </c>
      <c r="BU281" s="246">
        <f t="shared" si="1487"/>
        <v>62489</v>
      </c>
      <c r="BV281" s="246">
        <f t="shared" ref="BV281" si="1488">SUM(BV282,BV283,BV284,BV285)</f>
        <v>17762</v>
      </c>
      <c r="BW281" s="246">
        <f>SUM(BW282,BW283,BW284,BW285)</f>
        <v>17300</v>
      </c>
      <c r="BX281" s="246">
        <f t="shared" ref="BX281:BZ281" si="1489">SUM(BX282,BX283,BX284,BX285)</f>
        <v>17748</v>
      </c>
      <c r="BY281" s="246">
        <f t="shared" si="1489"/>
        <v>15851</v>
      </c>
      <c r="BZ281" s="246">
        <f t="shared" si="1489"/>
        <v>35062</v>
      </c>
      <c r="CA281" s="246">
        <f t="shared" ref="CA281:CB281" si="1490">SUM(CA282,CA283,CA284,CA285)</f>
        <v>52810</v>
      </c>
      <c r="CB281" s="246">
        <f t="shared" si="1490"/>
        <v>68661</v>
      </c>
      <c r="CC281" s="246">
        <f t="shared" ref="CC281:CD281" si="1491">SUM(CC282,CC283,CC284,CC285)</f>
        <v>16839</v>
      </c>
      <c r="CD281" s="246">
        <f t="shared" si="1491"/>
        <v>16813</v>
      </c>
      <c r="CE281" s="246">
        <f t="shared" ref="CE281:CG281" si="1492">SUM(CE282,CE283,CE284,CE285)</f>
        <v>17473</v>
      </c>
      <c r="CF281" s="246">
        <f t="shared" si="1492"/>
        <v>16380</v>
      </c>
      <c r="CG281" s="246">
        <f t="shared" si="1492"/>
        <v>33652</v>
      </c>
      <c r="CH281" s="246">
        <f t="shared" ref="CH281:CI281" si="1493">SUM(CH282,CH283,CH284,CH285)</f>
        <v>51125</v>
      </c>
      <c r="CI281" s="246">
        <f t="shared" si="1493"/>
        <v>67505</v>
      </c>
      <c r="CJ281" s="246">
        <v>16154</v>
      </c>
      <c r="CK281" s="246">
        <f t="shared" ref="CK281:CO281" si="1494">SUM(CK282,CK283,CK284,CK285)</f>
        <v>16925</v>
      </c>
      <c r="CL281" s="246">
        <f t="shared" si="1494"/>
        <v>0</v>
      </c>
      <c r="CM281" s="246">
        <f t="shared" si="1494"/>
        <v>0</v>
      </c>
      <c r="CN281" s="246">
        <f t="shared" si="1494"/>
        <v>33079</v>
      </c>
      <c r="CO281" s="246">
        <f t="shared" si="1494"/>
        <v>0</v>
      </c>
    </row>
    <row r="282" spans="1:93" s="92" customFormat="1" ht="13" x14ac:dyDescent="0.3">
      <c r="A282" s="164" t="str">
        <f>Language!AA275</f>
        <v>Rio Verde</v>
      </c>
      <c r="B282" s="235">
        <f>Energy!B173</f>
        <v>15697</v>
      </c>
      <c r="C282" s="235">
        <f>Energy!C173</f>
        <v>15390</v>
      </c>
      <c r="D282" s="235">
        <f>Energy!D173</f>
        <v>16927</v>
      </c>
      <c r="E282" s="236">
        <f>Energy!E173</f>
        <v>16719</v>
      </c>
      <c r="F282" s="235">
        <f>Energy!F173</f>
        <v>19125</v>
      </c>
      <c r="G282" s="235">
        <f>Energy!G173</f>
        <v>18971</v>
      </c>
      <c r="H282" s="235">
        <f>Energy!H173</f>
        <v>18608</v>
      </c>
      <c r="I282" s="236">
        <f>Energy!I173</f>
        <v>15501</v>
      </c>
      <c r="J282" s="235">
        <f>Energy!J173</f>
        <v>12702</v>
      </c>
      <c r="K282" s="235">
        <f>Energy!K173</f>
        <v>19022</v>
      </c>
      <c r="L282" s="238">
        <f>Energy!L173</f>
        <v>22340.245620000002</v>
      </c>
      <c r="M282" s="247">
        <f>Energy!M173</f>
        <v>19587.972323999988</v>
      </c>
      <c r="N282" s="238">
        <f>Energy!N173</f>
        <v>19809</v>
      </c>
      <c r="O282" s="238">
        <f>Energy!O173</f>
        <v>16558.479599999999</v>
      </c>
      <c r="P282" s="238">
        <f>Energy!P173</f>
        <v>9088.9734000000062</v>
      </c>
      <c r="Q282" s="238">
        <f>Energy!Q173</f>
        <v>13426.546999999995</v>
      </c>
      <c r="R282" s="240">
        <f>Energy!R173</f>
        <v>11959</v>
      </c>
      <c r="S282" s="238">
        <f>Energy!S173</f>
        <v>13394</v>
      </c>
      <c r="T282" s="238">
        <f>Energy!T173</f>
        <v>14736</v>
      </c>
      <c r="U282" s="238">
        <f>Energy!U173</f>
        <v>13610</v>
      </c>
      <c r="V282" s="238">
        <f>Energy!V173</f>
        <v>25353</v>
      </c>
      <c r="W282" s="238">
        <f>Energy!W173</f>
        <v>40089</v>
      </c>
      <c r="X282" s="238">
        <f>Energy!X173</f>
        <v>53699</v>
      </c>
      <c r="Y282" s="240">
        <f>Energy!Y173</f>
        <v>0</v>
      </c>
      <c r="Z282" s="238">
        <f>Energy!Z173</f>
        <v>0</v>
      </c>
      <c r="AA282" s="238">
        <f>Energy!AA173</f>
        <v>0</v>
      </c>
      <c r="AB282" s="238">
        <f>Energy!AB173</f>
        <v>0</v>
      </c>
      <c r="AC282" s="238">
        <f>Energy!AC173</f>
        <v>0</v>
      </c>
      <c r="AD282" s="238">
        <f>Energy!AD173</f>
        <v>0</v>
      </c>
      <c r="AE282" s="238">
        <f>Energy!AE173</f>
        <v>0</v>
      </c>
      <c r="AF282" s="240">
        <f>Energy!AF173</f>
        <v>0</v>
      </c>
      <c r="AG282" s="238">
        <f>Energy!AG173</f>
        <v>0</v>
      </c>
      <c r="AH282" s="238">
        <f>Energy!AJ173</f>
        <v>0</v>
      </c>
      <c r="AI282" s="238">
        <f>Energy!AI173</f>
        <v>0</v>
      </c>
      <c r="AJ282" s="238">
        <f>Energy!AJ173</f>
        <v>0</v>
      </c>
      <c r="AK282" s="238">
        <f>Energy!AK173</f>
        <v>0</v>
      </c>
      <c r="AL282" s="238">
        <f>Energy!AL173</f>
        <v>0</v>
      </c>
      <c r="AM282" s="240">
        <f>Energy!AM173</f>
        <v>0</v>
      </c>
      <c r="AN282" s="238">
        <f t="shared" si="1358"/>
        <v>0</v>
      </c>
      <c r="AO282" s="238"/>
      <c r="AP282" s="238">
        <f t="shared" si="1359"/>
        <v>0</v>
      </c>
      <c r="AQ282" s="238">
        <f>Energy!AQ173</f>
        <v>0</v>
      </c>
      <c r="AR282" s="238">
        <f>Energy!AR173</f>
        <v>0</v>
      </c>
      <c r="AS282" s="238">
        <f>Energy!AS173</f>
        <v>0</v>
      </c>
      <c r="AT282" s="240">
        <f>Energy!AT173</f>
        <v>0</v>
      </c>
      <c r="AU282" s="233">
        <v>0</v>
      </c>
      <c r="AV282" s="240"/>
      <c r="AW282" s="240"/>
      <c r="AX282" s="233">
        <v>0</v>
      </c>
      <c r="AY282" s="240"/>
      <c r="AZ282" s="233">
        <v>0</v>
      </c>
      <c r="BA282" s="233">
        <v>0</v>
      </c>
      <c r="BB282" s="233">
        <v>0</v>
      </c>
      <c r="BC282" s="233">
        <v>0</v>
      </c>
      <c r="BD282" s="233">
        <v>0</v>
      </c>
      <c r="BE282" s="233">
        <v>0</v>
      </c>
      <c r="BF282" s="233">
        <v>0</v>
      </c>
      <c r="BG282" s="233">
        <v>0</v>
      </c>
      <c r="BH282" s="233">
        <v>0</v>
      </c>
      <c r="BI282" s="233">
        <v>0</v>
      </c>
      <c r="BJ282" s="233">
        <v>0</v>
      </c>
      <c r="BK282" s="233">
        <v>0</v>
      </c>
      <c r="BL282" s="233">
        <v>0</v>
      </c>
      <c r="BM282" s="233">
        <v>0</v>
      </c>
      <c r="BN282" s="233">
        <v>0</v>
      </c>
      <c r="BO282" s="233">
        <v>0</v>
      </c>
      <c r="BP282" s="233">
        <v>0</v>
      </c>
      <c r="BQ282" s="233">
        <v>0</v>
      </c>
      <c r="BR282" s="233">
        <v>0</v>
      </c>
      <c r="BS282" s="233">
        <v>0</v>
      </c>
      <c r="BT282" s="233">
        <v>0</v>
      </c>
      <c r="BU282" s="233">
        <v>0</v>
      </c>
      <c r="BV282" s="233">
        <v>0</v>
      </c>
      <c r="BW282" s="233">
        <v>0</v>
      </c>
      <c r="BX282" s="233">
        <v>0</v>
      </c>
      <c r="BY282" s="233">
        <v>0</v>
      </c>
      <c r="BZ282" s="233">
        <v>0</v>
      </c>
      <c r="CA282" s="233">
        <v>0</v>
      </c>
      <c r="CB282" s="233">
        <v>0</v>
      </c>
      <c r="CC282" s="233">
        <v>0</v>
      </c>
      <c r="CD282" s="233">
        <v>0</v>
      </c>
      <c r="CE282" s="233">
        <v>0</v>
      </c>
      <c r="CF282" s="233">
        <v>0</v>
      </c>
      <c r="CG282" s="233">
        <v>0</v>
      </c>
      <c r="CH282" s="233">
        <v>0</v>
      </c>
      <c r="CI282" s="233">
        <v>0</v>
      </c>
      <c r="CJ282" s="233">
        <v>0</v>
      </c>
      <c r="CK282" s="233">
        <v>0</v>
      </c>
      <c r="CL282" s="233">
        <v>0</v>
      </c>
      <c r="CM282" s="233">
        <v>0</v>
      </c>
      <c r="CN282" s="233">
        <v>0</v>
      </c>
      <c r="CO282" s="233">
        <v>0</v>
      </c>
    </row>
    <row r="283" spans="1:93" s="92" customFormat="1" ht="13" x14ac:dyDescent="0.3">
      <c r="A283" s="164" t="str">
        <f>Language!AA276</f>
        <v>Rio Canoas</v>
      </c>
      <c r="B283" s="235">
        <f>Energy!B174</f>
        <v>-367</v>
      </c>
      <c r="C283" s="235">
        <f>Energy!C174</f>
        <v>-811</v>
      </c>
      <c r="D283" s="235">
        <f>Energy!D174</f>
        <v>-1721</v>
      </c>
      <c r="E283" s="236">
        <f>Energy!E174</f>
        <v>1683</v>
      </c>
      <c r="F283" s="235">
        <f>Energy!F174</f>
        <v>-434</v>
      </c>
      <c r="G283" s="235">
        <f>Energy!G174</f>
        <v>-471</v>
      </c>
      <c r="H283" s="235">
        <f>Energy!H174</f>
        <v>-312</v>
      </c>
      <c r="I283" s="236">
        <f>Energy!I174</f>
        <v>-554</v>
      </c>
      <c r="J283" s="235">
        <f>Energy!J174</f>
        <v>-547</v>
      </c>
      <c r="K283" s="235">
        <f>Energy!K174</f>
        <v>-477</v>
      </c>
      <c r="L283" s="238">
        <f>Energy!L174</f>
        <v>-19.245620000001509</v>
      </c>
      <c r="M283" s="247">
        <f>Energy!M174</f>
        <v>26517.02562</v>
      </c>
      <c r="N283" s="238">
        <f>Energy!N174</f>
        <v>203424</v>
      </c>
      <c r="O283" s="238">
        <f>Energy!O174</f>
        <v>3587.4947300000022</v>
      </c>
      <c r="P283" s="238">
        <f>Energy!P174</f>
        <v>-1385.8941743299911</v>
      </c>
      <c r="Q283" s="238">
        <f>Energy!Q174</f>
        <v>3604.3994443299889</v>
      </c>
      <c r="R283" s="240">
        <f>Energy!R174</f>
        <v>55313</v>
      </c>
      <c r="S283" s="238">
        <f>Energy!S174</f>
        <v>-4410</v>
      </c>
      <c r="T283" s="238">
        <f>Energy!T174</f>
        <v>2028</v>
      </c>
      <c r="U283" s="238">
        <f>Energy!U174</f>
        <v>5234</v>
      </c>
      <c r="V283" s="238">
        <f>Energy!V174</f>
        <v>50903</v>
      </c>
      <c r="W283" s="238">
        <f>Energy!W174</f>
        <v>52931</v>
      </c>
      <c r="X283" s="238">
        <f>Energy!X174</f>
        <v>58165</v>
      </c>
      <c r="Y283" s="240">
        <f>Energy!Y174</f>
        <v>0</v>
      </c>
      <c r="Z283" s="238">
        <f>Energy!Z174</f>
        <v>0</v>
      </c>
      <c r="AA283" s="238">
        <f>Energy!AA174</f>
        <v>0</v>
      </c>
      <c r="AB283" s="238">
        <f>Energy!AB174</f>
        <v>0</v>
      </c>
      <c r="AC283" s="238">
        <f>Energy!AC174</f>
        <v>0</v>
      </c>
      <c r="AD283" s="238">
        <f>Energy!AD174</f>
        <v>0</v>
      </c>
      <c r="AE283" s="238">
        <f>Energy!AE174</f>
        <v>0</v>
      </c>
      <c r="AF283" s="240">
        <f>Energy!AF174</f>
        <v>0</v>
      </c>
      <c r="AG283" s="238">
        <f>Energy!AG174</f>
        <v>0</v>
      </c>
      <c r="AH283" s="238">
        <f>Energy!AJ174</f>
        <v>0</v>
      </c>
      <c r="AI283" s="238">
        <f>Energy!AI174</f>
        <v>0</v>
      </c>
      <c r="AJ283" s="238">
        <f>Energy!AJ174</f>
        <v>0</v>
      </c>
      <c r="AK283" s="238">
        <f>Energy!AK174</f>
        <v>0</v>
      </c>
      <c r="AL283" s="238">
        <f>Energy!AL174</f>
        <v>0</v>
      </c>
      <c r="AM283" s="240">
        <f>Energy!AM174</f>
        <v>0</v>
      </c>
      <c r="AN283" s="238">
        <f t="shared" si="1358"/>
        <v>0</v>
      </c>
      <c r="AO283" s="238"/>
      <c r="AP283" s="238">
        <f t="shared" si="1359"/>
        <v>0</v>
      </c>
      <c r="AQ283" s="238">
        <f>Energy!AQ174</f>
        <v>0</v>
      </c>
      <c r="AR283" s="238">
        <f>Energy!AR174</f>
        <v>0</v>
      </c>
      <c r="AS283" s="238">
        <f>Energy!AS174</f>
        <v>0</v>
      </c>
      <c r="AT283" s="240">
        <f>Energy!AT174</f>
        <v>0</v>
      </c>
      <c r="AU283" s="233">
        <v>0</v>
      </c>
      <c r="AV283" s="240"/>
      <c r="AW283" s="240"/>
      <c r="AX283" s="233">
        <v>0</v>
      </c>
      <c r="AY283" s="240"/>
      <c r="AZ283" s="233">
        <v>0</v>
      </c>
      <c r="BA283" s="233">
        <v>0</v>
      </c>
      <c r="BB283" s="233">
        <v>0</v>
      </c>
      <c r="BC283" s="233">
        <v>0</v>
      </c>
      <c r="BD283" s="233">
        <v>0</v>
      </c>
      <c r="BE283" s="233">
        <v>0</v>
      </c>
      <c r="BF283" s="233">
        <v>0</v>
      </c>
      <c r="BG283" s="233">
        <v>0</v>
      </c>
      <c r="BH283" s="233">
        <v>0</v>
      </c>
      <c r="BI283" s="233">
        <v>0</v>
      </c>
      <c r="BJ283" s="233">
        <v>0</v>
      </c>
      <c r="BK283" s="233">
        <v>0</v>
      </c>
      <c r="BL283" s="233">
        <v>0</v>
      </c>
      <c r="BM283" s="233">
        <v>0</v>
      </c>
      <c r="BN283" s="233">
        <v>0</v>
      </c>
      <c r="BO283" s="233">
        <v>0</v>
      </c>
      <c r="BP283" s="233">
        <v>0</v>
      </c>
      <c r="BQ283" s="233">
        <v>0</v>
      </c>
      <c r="BR283" s="233">
        <v>0</v>
      </c>
      <c r="BS283" s="233">
        <v>0</v>
      </c>
      <c r="BT283" s="233">
        <v>0</v>
      </c>
      <c r="BU283" s="233">
        <v>0</v>
      </c>
      <c r="BV283" s="233">
        <v>0</v>
      </c>
      <c r="BW283" s="233">
        <v>0</v>
      </c>
      <c r="BX283" s="233">
        <v>0</v>
      </c>
      <c r="BY283" s="233">
        <v>0</v>
      </c>
      <c r="BZ283" s="233">
        <v>0</v>
      </c>
      <c r="CA283" s="233">
        <v>0</v>
      </c>
      <c r="CB283" s="233">
        <v>0</v>
      </c>
      <c r="CC283" s="233">
        <v>0</v>
      </c>
      <c r="CD283" s="233">
        <v>0</v>
      </c>
      <c r="CE283" s="233">
        <v>0</v>
      </c>
      <c r="CF283" s="233">
        <v>0</v>
      </c>
      <c r="CG283" s="233">
        <v>0</v>
      </c>
      <c r="CH283" s="233">
        <v>0</v>
      </c>
      <c r="CI283" s="233">
        <v>0</v>
      </c>
      <c r="CJ283" s="233">
        <v>0</v>
      </c>
      <c r="CK283" s="233">
        <v>0</v>
      </c>
      <c r="CL283" s="233">
        <v>0</v>
      </c>
      <c r="CM283" s="233">
        <v>0</v>
      </c>
      <c r="CN283" s="233">
        <v>0</v>
      </c>
      <c r="CO283" s="233">
        <v>0</v>
      </c>
    </row>
    <row r="284" spans="1:93" s="92" customFormat="1" x14ac:dyDescent="0.25">
      <c r="A284" s="164" t="str">
        <f>Language!AA277</f>
        <v>Tijoá</v>
      </c>
      <c r="B284" s="235"/>
      <c r="C284" s="235"/>
      <c r="D284" s="235"/>
      <c r="E284" s="236"/>
      <c r="F284" s="235"/>
      <c r="G284" s="235"/>
      <c r="H284" s="235"/>
      <c r="I284" s="236"/>
      <c r="J284" s="235"/>
      <c r="K284" s="235"/>
      <c r="L284" s="238"/>
      <c r="M284" s="247"/>
      <c r="N284" s="238"/>
      <c r="O284" s="238"/>
      <c r="P284" s="238"/>
      <c r="Q284" s="238"/>
      <c r="R284" s="240">
        <f>Energy!R175</f>
        <v>-762</v>
      </c>
      <c r="S284" s="238">
        <f>Energy!S175</f>
        <v>2271</v>
      </c>
      <c r="T284" s="238">
        <f>Energy!T175</f>
        <v>6613</v>
      </c>
      <c r="U284" s="238">
        <f>Energy!U175</f>
        <v>256</v>
      </c>
      <c r="V284" s="238">
        <f>Energy!V175</f>
        <v>1509</v>
      </c>
      <c r="W284" s="238">
        <f>Energy!W175</f>
        <v>8122</v>
      </c>
      <c r="X284" s="238">
        <f>Energy!X175</f>
        <v>8378</v>
      </c>
      <c r="Y284" s="240">
        <f>Energy!Y175</f>
        <v>2182</v>
      </c>
      <c r="Z284" s="238">
        <f>Energy!Z175</f>
        <v>2012</v>
      </c>
      <c r="AA284" s="238">
        <f>Energy!AA175</f>
        <v>-60</v>
      </c>
      <c r="AB284" s="238">
        <f>Energy!AB175</f>
        <v>1974</v>
      </c>
      <c r="AC284" s="238">
        <f>Energy!AC175</f>
        <v>4194</v>
      </c>
      <c r="AD284" s="238">
        <f>Energy!AD175</f>
        <v>4134</v>
      </c>
      <c r="AE284" s="238">
        <f>Energy!AE175</f>
        <v>6108</v>
      </c>
      <c r="AF284" s="240">
        <f>Energy!AF175</f>
        <v>1967</v>
      </c>
      <c r="AG284" s="238">
        <f>Energy!AG175</f>
        <v>2573</v>
      </c>
      <c r="AH284" s="238">
        <f>Energy!AJ175</f>
        <v>4540</v>
      </c>
      <c r="AI284" s="238">
        <f>Energy!AI175</f>
        <v>7753</v>
      </c>
      <c r="AJ284" s="238">
        <f>Energy!AJ175</f>
        <v>4540</v>
      </c>
      <c r="AK284" s="238">
        <f>Energy!AK175</f>
        <v>11531</v>
      </c>
      <c r="AL284" s="238">
        <f>Energy!AL175</f>
        <v>15028</v>
      </c>
      <c r="AM284" s="240">
        <f>Energy!AM175</f>
        <v>2286</v>
      </c>
      <c r="AN284" s="238">
        <f t="shared" si="1358"/>
        <v>2195</v>
      </c>
      <c r="AO284" s="238"/>
      <c r="AP284" s="238">
        <f t="shared" si="1359"/>
        <v>9346.7300441235457</v>
      </c>
      <c r="AQ284" s="238">
        <f>Energy!AQ175</f>
        <v>4481</v>
      </c>
      <c r="AR284" s="238">
        <f>Energy!AR175</f>
        <v>15456</v>
      </c>
      <c r="AS284" s="238">
        <f>Energy!AS175</f>
        <v>24802.730044123546</v>
      </c>
      <c r="AT284" s="240">
        <f>Energy!AT175</f>
        <v>10743</v>
      </c>
      <c r="AU284" s="240">
        <f>Energy!AU175</f>
        <v>11174</v>
      </c>
      <c r="AV284" s="240">
        <f>Energy!AV175</f>
        <v>12014</v>
      </c>
      <c r="AW284" s="240">
        <f>Energy!AW175</f>
        <v>10262</v>
      </c>
      <c r="AX284" s="240">
        <f>Energy!AX175</f>
        <v>21917</v>
      </c>
      <c r="AY284" s="240">
        <f>Energy!AY175</f>
        <v>33931</v>
      </c>
      <c r="AZ284" s="240">
        <f>Energy!AZ175</f>
        <v>44193</v>
      </c>
      <c r="BA284" s="240">
        <f>Energy!BA175</f>
        <v>12015</v>
      </c>
      <c r="BB284" s="240">
        <f>Energy!BB175</f>
        <v>12380</v>
      </c>
      <c r="BC284" s="240">
        <f>Energy!BC175</f>
        <v>13730</v>
      </c>
      <c r="BD284" s="240">
        <f>Energy!BD175</f>
        <v>12197</v>
      </c>
      <c r="BE284" s="240">
        <f>Energy!BE175</f>
        <v>24395</v>
      </c>
      <c r="BF284" s="240">
        <f>Energy!BF175</f>
        <v>38125</v>
      </c>
      <c r="BG284" s="240">
        <f>Energy!BG175</f>
        <v>50322</v>
      </c>
      <c r="BH284" s="240">
        <f>Energy!BH175</f>
        <v>13172</v>
      </c>
      <c r="BI284" s="240">
        <f>Energy!BI175</f>
        <v>12347</v>
      </c>
      <c r="BJ284" s="240">
        <f>Energy!BJ175</f>
        <v>15207</v>
      </c>
      <c r="BK284" s="240">
        <f>Energy!BK175</f>
        <v>13510</v>
      </c>
      <c r="BL284" s="240">
        <f>Energy!BL175</f>
        <v>25519</v>
      </c>
      <c r="BM284" s="240">
        <f>Energy!BM175</f>
        <v>40726</v>
      </c>
      <c r="BN284" s="240">
        <f>Energy!BN175</f>
        <v>54236</v>
      </c>
      <c r="BO284" s="240">
        <f>Energy!BO175</f>
        <v>14267</v>
      </c>
      <c r="BP284" s="240">
        <f>Energy!BP175</f>
        <v>14465</v>
      </c>
      <c r="BQ284" s="240">
        <f>Energy!BQ175</f>
        <v>17619</v>
      </c>
      <c r="BR284" s="240">
        <f>Energy!BR175</f>
        <v>15777</v>
      </c>
      <c r="BS284" s="240">
        <f>Energy!BS175</f>
        <v>29546</v>
      </c>
      <c r="BT284" s="240">
        <f>Energy!BT175</f>
        <v>47165</v>
      </c>
      <c r="BU284" s="240">
        <f>Energy!BU175</f>
        <v>62942</v>
      </c>
      <c r="BV284" s="240">
        <f>Energy!BV175</f>
        <v>17827</v>
      </c>
      <c r="BW284" s="240">
        <f>Energy!BW175</f>
        <v>17321</v>
      </c>
      <c r="BX284" s="240">
        <f>Energy!BX175</f>
        <v>17790</v>
      </c>
      <c r="BY284" s="240">
        <f>Energy!BY175</f>
        <v>15865</v>
      </c>
      <c r="BZ284" s="240">
        <f>Energy!BZ175</f>
        <v>35148</v>
      </c>
      <c r="CA284" s="240">
        <f>Energy!CA175</f>
        <v>52938</v>
      </c>
      <c r="CB284" s="240">
        <f>Energy!CB175</f>
        <v>68803</v>
      </c>
      <c r="CC284" s="240">
        <f>Energy!CC175</f>
        <v>17041</v>
      </c>
      <c r="CD284" s="240">
        <f>Energy!CD175</f>
        <v>16834</v>
      </c>
      <c r="CE284" s="240">
        <f>Energy!CE175</f>
        <v>17502</v>
      </c>
      <c r="CF284" s="240">
        <f>Energy!CF175</f>
        <v>16571</v>
      </c>
      <c r="CG284" s="240">
        <f>Energy!CG175</f>
        <v>33875</v>
      </c>
      <c r="CH284" s="240">
        <f>Energy!CH175</f>
        <v>51377</v>
      </c>
      <c r="CI284" s="240">
        <f>Energy!CI175</f>
        <v>67948</v>
      </c>
      <c r="CJ284" s="240">
        <v>17946</v>
      </c>
      <c r="CK284" s="240">
        <f>Energy!CK175</f>
        <v>18092</v>
      </c>
      <c r="CL284" s="240">
        <f>Energy!CL175</f>
        <v>0</v>
      </c>
      <c r="CM284" s="240">
        <f>Energy!CM175</f>
        <v>0</v>
      </c>
      <c r="CN284" s="240">
        <f>Energy!CN175</f>
        <v>36038</v>
      </c>
      <c r="CO284" s="240">
        <f>Energy!CO175</f>
        <v>0</v>
      </c>
    </row>
    <row r="285" spans="1:93" s="92" customFormat="1" x14ac:dyDescent="0.25">
      <c r="A285" s="164" t="str">
        <f>Language!AA278</f>
        <v>Outros</v>
      </c>
      <c r="B285" s="235">
        <f>Energy!B176</f>
        <v>-22</v>
      </c>
      <c r="C285" s="235">
        <f>Energy!C176</f>
        <v>-85</v>
      </c>
      <c r="D285" s="235">
        <f>Energy!D176</f>
        <v>104</v>
      </c>
      <c r="E285" s="236">
        <f>Energy!E176</f>
        <v>-7</v>
      </c>
      <c r="F285" s="235">
        <f>Energy!F176</f>
        <v>0</v>
      </c>
      <c r="G285" s="235">
        <f>Energy!G176</f>
        <v>-2</v>
      </c>
      <c r="H285" s="235">
        <f>Energy!H176</f>
        <v>-63</v>
      </c>
      <c r="I285" s="236">
        <f>Energy!I176</f>
        <v>-264</v>
      </c>
      <c r="J285" s="235">
        <f>Energy!J176</f>
        <v>13111</v>
      </c>
      <c r="K285" s="235">
        <f>Energy!K176</f>
        <v>-362</v>
      </c>
      <c r="L285" s="238">
        <f>Energy!L176</f>
        <v>-8091</v>
      </c>
      <c r="M285" s="247">
        <f>Energy!M176</f>
        <v>324</v>
      </c>
      <c r="N285" s="238">
        <f>Energy!N176</f>
        <v>-227</v>
      </c>
      <c r="O285" s="238">
        <f>Energy!O176</f>
        <v>-422</v>
      </c>
      <c r="P285" s="238">
        <f>Energy!P176</f>
        <v>-396.99999112202204</v>
      </c>
      <c r="Q285" s="238">
        <f>Energy!Q176</f>
        <v>-1138.000008877978</v>
      </c>
      <c r="R285" s="240">
        <f>Energy!R176</f>
        <v>-688</v>
      </c>
      <c r="S285" s="238">
        <f>Energy!S176</f>
        <v>8718</v>
      </c>
      <c r="T285" s="238">
        <f>Energy!T176</f>
        <v>2364</v>
      </c>
      <c r="U285" s="238">
        <f>Energy!U176</f>
        <v>621</v>
      </c>
      <c r="V285" s="238">
        <f>Energy!V176</f>
        <v>2183</v>
      </c>
      <c r="W285" s="238">
        <f>Energy!W176</f>
        <v>4547</v>
      </c>
      <c r="X285" s="238">
        <f>Energy!X176</f>
        <v>5168</v>
      </c>
      <c r="Y285" s="240">
        <f>Energy!Y176</f>
        <v>0</v>
      </c>
      <c r="Z285" s="238">
        <f>Energy!Z176</f>
        <v>0</v>
      </c>
      <c r="AA285" s="238">
        <f>Energy!AA176</f>
        <v>1340</v>
      </c>
      <c r="AB285" s="238">
        <f>Energy!AB176</f>
        <v>473</v>
      </c>
      <c r="AC285" s="238">
        <f>Energy!AC176</f>
        <v>0</v>
      </c>
      <c r="AD285" s="238">
        <f>Energy!AD176</f>
        <v>1340</v>
      </c>
      <c r="AE285" s="238">
        <f>Energy!AE176</f>
        <v>1813</v>
      </c>
      <c r="AF285" s="240">
        <f>Energy!AF176</f>
        <v>486</v>
      </c>
      <c r="AG285" s="238">
        <f>Energy!AG176</f>
        <v>486</v>
      </c>
      <c r="AH285" s="238">
        <f>Energy!AJ176</f>
        <v>972</v>
      </c>
      <c r="AI285" s="238">
        <f>Energy!AI176</f>
        <v>7569</v>
      </c>
      <c r="AJ285" s="238">
        <f>Energy!AJ176</f>
        <v>972</v>
      </c>
      <c r="AK285" s="238">
        <f>Energy!AK176</f>
        <v>-3331</v>
      </c>
      <c r="AL285" s="238">
        <f>Energy!AL176</f>
        <v>746</v>
      </c>
      <c r="AM285" s="240">
        <f>Energy!AM176</f>
        <v>690</v>
      </c>
      <c r="AN285" s="238">
        <f t="shared" si="1358"/>
        <v>196</v>
      </c>
      <c r="AO285" s="238"/>
      <c r="AP285" s="238">
        <f t="shared" si="1359"/>
        <v>-35.730044123546122</v>
      </c>
      <c r="AQ285" s="238">
        <f>Energy!AQ176</f>
        <v>886</v>
      </c>
      <c r="AR285" s="238">
        <f>Energy!AR176</f>
        <v>1469</v>
      </c>
      <c r="AS285" s="238">
        <f>Energy!AS176</f>
        <v>1433.2699558764539</v>
      </c>
      <c r="AT285" s="240">
        <f>Energy!AT176</f>
        <v>61.999999999999773</v>
      </c>
      <c r="AU285" s="240">
        <f>Energy!AU176</f>
        <v>167</v>
      </c>
      <c r="AV285" s="240">
        <f>Energy!AV176</f>
        <v>555</v>
      </c>
      <c r="AW285" s="240">
        <f>Energy!AW176</f>
        <v>322</v>
      </c>
      <c r="AX285" s="240">
        <f>Energy!AX176</f>
        <v>228.99999999999955</v>
      </c>
      <c r="AY285" s="240">
        <f>Energy!AY176</f>
        <v>784</v>
      </c>
      <c r="AZ285" s="240">
        <f>Energy!AZ176</f>
        <v>1106</v>
      </c>
      <c r="BA285" s="240">
        <f>Energy!BA176</f>
        <v>-236</v>
      </c>
      <c r="BB285" s="240">
        <f>Energy!BB176</f>
        <v>7</v>
      </c>
      <c r="BC285" s="240">
        <f>Energy!BC176</f>
        <v>136</v>
      </c>
      <c r="BD285" s="240">
        <f>Energy!BD176</f>
        <v>-28</v>
      </c>
      <c r="BE285" s="240">
        <f>Energy!BE176</f>
        <v>-229</v>
      </c>
      <c r="BF285" s="240">
        <f>Energy!BF176</f>
        <v>-93</v>
      </c>
      <c r="BG285" s="240">
        <f>Energy!BG176</f>
        <v>-121</v>
      </c>
      <c r="BH285" s="240">
        <f>Energy!BH176</f>
        <v>-24</v>
      </c>
      <c r="BI285" s="240">
        <f>Energy!BI176</f>
        <v>-44</v>
      </c>
      <c r="BJ285" s="240">
        <f>Energy!BJ176</f>
        <v>-51</v>
      </c>
      <c r="BK285" s="240">
        <f>Energy!BK176</f>
        <v>-52</v>
      </c>
      <c r="BL285" s="240">
        <f>Energy!BL176</f>
        <v>-68</v>
      </c>
      <c r="BM285" s="240">
        <f>Energy!BM176</f>
        <v>-119</v>
      </c>
      <c r="BN285" s="240">
        <f>Energy!BN176</f>
        <v>-171</v>
      </c>
      <c r="BO285" s="240">
        <f>Energy!BO176</f>
        <v>-124</v>
      </c>
      <c r="BP285" s="240">
        <f>Energy!BP176</f>
        <v>-126</v>
      </c>
      <c r="BQ285" s="240">
        <f>Energy!BQ176</f>
        <v>-179</v>
      </c>
      <c r="BR285" s="240">
        <f>Energy!BR176</f>
        <v>-12</v>
      </c>
      <c r="BS285" s="240">
        <f>Energy!BS176</f>
        <v>-261</v>
      </c>
      <c r="BT285" s="240">
        <f>Energy!BT176</f>
        <v>-451</v>
      </c>
      <c r="BU285" s="240">
        <f>Energy!BU176</f>
        <v>-453</v>
      </c>
      <c r="BV285" s="240">
        <f>Energy!BV176</f>
        <v>-65</v>
      </c>
      <c r="BW285" s="240">
        <f>Energy!BW176</f>
        <v>-21</v>
      </c>
      <c r="BX285" s="240">
        <f>Energy!BX176</f>
        <v>-42</v>
      </c>
      <c r="BY285" s="240">
        <f>Energy!BY176</f>
        <v>-14</v>
      </c>
      <c r="BZ285" s="240">
        <f>Energy!BZ176</f>
        <v>-86</v>
      </c>
      <c r="CA285" s="240">
        <f>Energy!CA176</f>
        <v>-128</v>
      </c>
      <c r="CB285" s="240">
        <f>Energy!CB176</f>
        <v>-142</v>
      </c>
      <c r="CC285" s="240">
        <f>Energy!CC176</f>
        <v>-202</v>
      </c>
      <c r="CD285" s="240">
        <f>Energy!CD176</f>
        <v>-21</v>
      </c>
      <c r="CE285" s="240">
        <f>Energy!CE176</f>
        <v>-29</v>
      </c>
      <c r="CF285" s="240">
        <f>Energy!CF176</f>
        <v>-191</v>
      </c>
      <c r="CG285" s="240">
        <f>Energy!CG176</f>
        <v>-223</v>
      </c>
      <c r="CH285" s="240">
        <f>Energy!CH176</f>
        <v>-252</v>
      </c>
      <c r="CI285" s="240">
        <f>Energy!CI176</f>
        <v>-443</v>
      </c>
      <c r="CJ285" s="240">
        <v>-1792</v>
      </c>
      <c r="CK285" s="240">
        <f>Energy!CK176</f>
        <v>-1167</v>
      </c>
      <c r="CL285" s="240">
        <f>Energy!CL176</f>
        <v>0</v>
      </c>
      <c r="CM285" s="240">
        <f>Energy!CM176</f>
        <v>0</v>
      </c>
      <c r="CN285" s="240">
        <f>Energy!CN176</f>
        <v>-2959</v>
      </c>
      <c r="CO285" s="240">
        <f>Energy!CO176</f>
        <v>0</v>
      </c>
    </row>
    <row r="286" spans="1:93" s="100" customFormat="1" ht="13" x14ac:dyDescent="0.3">
      <c r="A286" s="160" t="str">
        <f>Language!AA279</f>
        <v>Portos</v>
      </c>
      <c r="B286" s="231" t="e">
        <f>SUM(B287,B288,B289)</f>
        <v>#REF!</v>
      </c>
      <c r="C286" s="231" t="e">
        <f t="shared" ref="C286:K286" si="1495">SUM(C287,C288,C289)</f>
        <v>#REF!</v>
      </c>
      <c r="D286" s="231" t="e">
        <f t="shared" si="1495"/>
        <v>#REF!</v>
      </c>
      <c r="E286" s="232" t="e">
        <f t="shared" si="1495"/>
        <v>#REF!</v>
      </c>
      <c r="F286" s="231" t="e">
        <f t="shared" si="1495"/>
        <v>#REF!</v>
      </c>
      <c r="G286" s="231" t="e">
        <f t="shared" si="1495"/>
        <v>#REF!</v>
      </c>
      <c r="H286" s="231" t="e">
        <f t="shared" si="1495"/>
        <v>#REF!</v>
      </c>
      <c r="I286" s="232" t="e">
        <f t="shared" si="1495"/>
        <v>#REF!</v>
      </c>
      <c r="J286" s="231" t="e">
        <f t="shared" si="1495"/>
        <v>#REF!</v>
      </c>
      <c r="K286" s="231" t="e">
        <f t="shared" si="1495"/>
        <v>#REF!</v>
      </c>
      <c r="L286" s="234" t="e">
        <f>SUM(L287,L288,L289)</f>
        <v>#REF!</v>
      </c>
      <c r="M286" s="245" t="e">
        <f t="shared" ref="M286:N286" si="1496">SUM(M287,M288,M289)</f>
        <v>#REF!</v>
      </c>
      <c r="N286" s="234" t="e">
        <f t="shared" si="1496"/>
        <v>#REF!</v>
      </c>
      <c r="O286" s="234" t="e">
        <f t="shared" ref="O286" si="1497">SUM(O287,O288,O289)</f>
        <v>#REF!</v>
      </c>
      <c r="P286" s="234" t="e">
        <f t="shared" ref="P286" si="1498">SUM(P287,P288,P289)</f>
        <v>#REF!</v>
      </c>
      <c r="Q286" s="234" t="e">
        <f t="shared" ref="Q286:R286" si="1499">SUM(Q287,Q288,Q289)</f>
        <v>#REF!</v>
      </c>
      <c r="R286" s="246" t="e">
        <f t="shared" si="1499"/>
        <v>#REF!</v>
      </c>
      <c r="S286" s="234" t="e">
        <f t="shared" ref="S286:Y286" si="1500">SUM(S287,S288,S289)</f>
        <v>#REF!</v>
      </c>
      <c r="T286" s="234" t="e">
        <f t="shared" si="1500"/>
        <v>#REF!</v>
      </c>
      <c r="U286" s="234" t="e">
        <f t="shared" si="1500"/>
        <v>#REF!</v>
      </c>
      <c r="V286" s="234" t="e">
        <f t="shared" si="1500"/>
        <v>#REF!</v>
      </c>
      <c r="W286" s="234" t="e">
        <f t="shared" si="1500"/>
        <v>#REF!</v>
      </c>
      <c r="X286" s="234" t="e">
        <f t="shared" si="1500"/>
        <v>#REF!</v>
      </c>
      <c r="Y286" s="246" t="e">
        <f t="shared" si="1500"/>
        <v>#REF!</v>
      </c>
      <c r="Z286" s="234" t="e">
        <f t="shared" ref="Z286:AB286" si="1501">SUM(Z287,Z288,Z289)</f>
        <v>#REF!</v>
      </c>
      <c r="AA286" s="234" t="e">
        <f t="shared" si="1501"/>
        <v>#REF!</v>
      </c>
      <c r="AB286" s="234" t="e">
        <f t="shared" si="1501"/>
        <v>#REF!</v>
      </c>
      <c r="AC286" s="234" t="e">
        <f t="shared" ref="AC286:AD286" si="1502">SUM(AC287,AC288,AC289)</f>
        <v>#REF!</v>
      </c>
      <c r="AD286" s="234" t="e">
        <f t="shared" si="1502"/>
        <v>#REF!</v>
      </c>
      <c r="AE286" s="234" t="e">
        <f t="shared" ref="AE286" si="1503">SUM(AE287,AE288,AE289)</f>
        <v>#REF!</v>
      </c>
      <c r="AF286" s="246" t="e">
        <f t="shared" ref="AF286:AJ286" si="1504">SUM(AF287,AF288,AF289)</f>
        <v>#REF!</v>
      </c>
      <c r="AG286" s="234" t="e">
        <f t="shared" si="1504"/>
        <v>#REF!</v>
      </c>
      <c r="AH286" s="234" t="e">
        <f t="shared" ref="AH286:AI286" si="1505">SUM(AH287,AH288,AH289)</f>
        <v>#REF!</v>
      </c>
      <c r="AI286" s="234" t="e">
        <f t="shared" si="1505"/>
        <v>#REF!</v>
      </c>
      <c r="AJ286" s="234" t="e">
        <f t="shared" si="1504"/>
        <v>#REF!</v>
      </c>
      <c r="AK286" s="234" t="e">
        <f t="shared" ref="AK286:AL286" si="1506">SUM(AK287,AK288,AK289)</f>
        <v>#REF!</v>
      </c>
      <c r="AL286" s="234" t="e">
        <f t="shared" si="1506"/>
        <v>#REF!</v>
      </c>
      <c r="AM286" s="246" t="e">
        <f t="shared" ref="AM286:AQ286" si="1507">SUM(AM287,AM288,AM289)</f>
        <v>#REF!</v>
      </c>
      <c r="AN286" s="234" t="e">
        <f t="shared" si="1358"/>
        <v>#REF!</v>
      </c>
      <c r="AO286" s="234"/>
      <c r="AP286" s="234" t="e">
        <f t="shared" si="1359"/>
        <v>#REF!</v>
      </c>
      <c r="AQ286" s="234" t="e">
        <f t="shared" si="1507"/>
        <v>#REF!</v>
      </c>
      <c r="AR286" s="234" t="e">
        <f t="shared" ref="AR286" si="1508">SUM(AR287,AR288,AR289)</f>
        <v>#REF!</v>
      </c>
      <c r="AS286" s="234"/>
      <c r="AT286" s="246"/>
      <c r="AU286" s="233">
        <v>0</v>
      </c>
      <c r="AV286" s="246"/>
      <c r="AW286" s="246"/>
      <c r="AX286" s="233">
        <v>0</v>
      </c>
      <c r="AY286" s="246"/>
      <c r="AZ286" s="233">
        <v>0</v>
      </c>
      <c r="BA286" s="233">
        <v>0</v>
      </c>
      <c r="BB286" s="233">
        <v>0</v>
      </c>
      <c r="BC286" s="233">
        <v>0</v>
      </c>
      <c r="BD286" s="233">
        <v>0</v>
      </c>
      <c r="BE286" s="233">
        <v>0</v>
      </c>
      <c r="BF286" s="233">
        <v>0</v>
      </c>
      <c r="BG286" s="233">
        <v>0</v>
      </c>
      <c r="BH286" s="233">
        <v>0</v>
      </c>
      <c r="BI286" s="233">
        <v>0</v>
      </c>
      <c r="BJ286" s="233">
        <v>0</v>
      </c>
      <c r="BK286" s="233">
        <v>0</v>
      </c>
      <c r="BL286" s="233">
        <v>0</v>
      </c>
      <c r="BM286" s="233">
        <v>0</v>
      </c>
      <c r="BN286" s="233">
        <v>0</v>
      </c>
      <c r="BO286" s="233">
        <v>0</v>
      </c>
      <c r="BP286" s="233">
        <v>0</v>
      </c>
      <c r="BQ286" s="233">
        <v>0</v>
      </c>
      <c r="BR286" s="233">
        <v>0</v>
      </c>
      <c r="BS286" s="233">
        <v>0</v>
      </c>
      <c r="BT286" s="233">
        <v>0</v>
      </c>
      <c r="BU286" s="233">
        <v>0</v>
      </c>
      <c r="BV286" s="233">
        <v>0</v>
      </c>
      <c r="BW286" s="233">
        <v>0</v>
      </c>
      <c r="BX286" s="233">
        <v>0</v>
      </c>
      <c r="BY286" s="233">
        <v>0</v>
      </c>
      <c r="BZ286" s="233">
        <v>0</v>
      </c>
      <c r="CA286" s="233">
        <v>0</v>
      </c>
      <c r="CB286" s="233">
        <v>0</v>
      </c>
      <c r="CC286" s="233">
        <v>0</v>
      </c>
      <c r="CD286" s="233">
        <v>0</v>
      </c>
      <c r="CE286" s="233">
        <v>0</v>
      </c>
      <c r="CF286" s="233">
        <v>0</v>
      </c>
      <c r="CG286" s="233">
        <v>0</v>
      </c>
      <c r="CH286" s="233">
        <v>0</v>
      </c>
      <c r="CI286" s="233">
        <v>0</v>
      </c>
      <c r="CJ286" s="233">
        <v>0</v>
      </c>
      <c r="CK286" s="233">
        <v>0</v>
      </c>
      <c r="CL286" s="233">
        <v>0</v>
      </c>
      <c r="CM286" s="233">
        <v>0</v>
      </c>
      <c r="CN286" s="233">
        <v>0</v>
      </c>
      <c r="CO286" s="233">
        <v>0</v>
      </c>
    </row>
    <row r="287" spans="1:93" s="92" customFormat="1" ht="13" x14ac:dyDescent="0.3">
      <c r="A287" s="164" t="str">
        <f>Language!AA280</f>
        <v>Portonave</v>
      </c>
      <c r="B287" s="235" t="e">
        <f>#REF!</f>
        <v>#REF!</v>
      </c>
      <c r="C287" s="235" t="e">
        <f>#REF!</f>
        <v>#REF!</v>
      </c>
      <c r="D287" s="235" t="e">
        <f>#REF!</f>
        <v>#REF!</v>
      </c>
      <c r="E287" s="236" t="e">
        <f>#REF!</f>
        <v>#REF!</v>
      </c>
      <c r="F287" s="235" t="e">
        <f>#REF!</f>
        <v>#REF!</v>
      </c>
      <c r="G287" s="235" t="e">
        <f>#REF!</f>
        <v>#REF!</v>
      </c>
      <c r="H287" s="235" t="e">
        <f>#REF!</f>
        <v>#REF!</v>
      </c>
      <c r="I287" s="236" t="e">
        <f>#REF!</f>
        <v>#REF!</v>
      </c>
      <c r="J287" s="235" t="e">
        <f>#REF!</f>
        <v>#REF!</v>
      </c>
      <c r="K287" s="235" t="e">
        <f>#REF!</f>
        <v>#REF!</v>
      </c>
      <c r="L287" s="238" t="e">
        <f>#REF!</f>
        <v>#REF!</v>
      </c>
      <c r="M287" s="247" t="e">
        <f>#REF!</f>
        <v>#REF!</v>
      </c>
      <c r="N287" s="238" t="e">
        <f>#REF!</f>
        <v>#REF!</v>
      </c>
      <c r="O287" s="238" t="e">
        <f>#REF!</f>
        <v>#REF!</v>
      </c>
      <c r="P287" s="238" t="e">
        <f>#REF!</f>
        <v>#REF!</v>
      </c>
      <c r="Q287" s="238" t="e">
        <f>#REF!</f>
        <v>#REF!</v>
      </c>
      <c r="R287" s="240" t="e">
        <f>#REF!</f>
        <v>#REF!</v>
      </c>
      <c r="S287" s="238" t="e">
        <f>#REF!</f>
        <v>#REF!</v>
      </c>
      <c r="T287" s="238" t="e">
        <f>#REF!</f>
        <v>#REF!</v>
      </c>
      <c r="U287" s="238" t="e">
        <f>#REF!</f>
        <v>#REF!</v>
      </c>
      <c r="V287" s="238" t="e">
        <f>#REF!</f>
        <v>#REF!</v>
      </c>
      <c r="W287" s="238" t="e">
        <f>#REF!</f>
        <v>#REF!</v>
      </c>
      <c r="X287" s="238" t="e">
        <f>#REF!</f>
        <v>#REF!</v>
      </c>
      <c r="Y287" s="240" t="e">
        <f>#REF!</f>
        <v>#REF!</v>
      </c>
      <c r="Z287" s="238" t="e">
        <f>#REF!</f>
        <v>#REF!</v>
      </c>
      <c r="AA287" s="238" t="e">
        <f>#REF!</f>
        <v>#REF!</v>
      </c>
      <c r="AB287" s="238" t="e">
        <f>#REF!</f>
        <v>#REF!</v>
      </c>
      <c r="AC287" s="238" t="e">
        <f>#REF!</f>
        <v>#REF!</v>
      </c>
      <c r="AD287" s="238" t="e">
        <f>#REF!</f>
        <v>#REF!</v>
      </c>
      <c r="AE287" s="238" t="e">
        <f>#REF!</f>
        <v>#REF!</v>
      </c>
      <c r="AF287" s="240" t="e">
        <f>#REF!</f>
        <v>#REF!</v>
      </c>
      <c r="AG287" s="238" t="e">
        <f>#REF!</f>
        <v>#REF!</v>
      </c>
      <c r="AH287" s="238" t="e">
        <f>#REF!</f>
        <v>#REF!</v>
      </c>
      <c r="AI287" s="238" t="e">
        <f>#REF!</f>
        <v>#REF!</v>
      </c>
      <c r="AJ287" s="238" t="e">
        <f>#REF!</f>
        <v>#REF!</v>
      </c>
      <c r="AK287" s="238" t="e">
        <f>#REF!</f>
        <v>#REF!</v>
      </c>
      <c r="AL287" s="238" t="e">
        <f>#REF!</f>
        <v>#REF!</v>
      </c>
      <c r="AM287" s="240" t="e">
        <f>#REF!</f>
        <v>#REF!</v>
      </c>
      <c r="AN287" s="238" t="e">
        <f t="shared" si="1358"/>
        <v>#REF!</v>
      </c>
      <c r="AO287" s="238"/>
      <c r="AP287" s="238" t="e">
        <f t="shared" si="1359"/>
        <v>#REF!</v>
      </c>
      <c r="AQ287" s="238" t="e">
        <f>#REF!</f>
        <v>#REF!</v>
      </c>
      <c r="AR287" s="238" t="e">
        <f>#REF!</f>
        <v>#REF!</v>
      </c>
      <c r="AS287" s="238"/>
      <c r="AT287" s="240"/>
      <c r="AU287" s="233">
        <v>0</v>
      </c>
      <c r="AV287" s="240"/>
      <c r="AW287" s="240"/>
      <c r="AX287" s="233">
        <v>0</v>
      </c>
      <c r="AY287" s="240"/>
      <c r="AZ287" s="233">
        <v>0</v>
      </c>
      <c r="BA287" s="233">
        <v>0</v>
      </c>
      <c r="BB287" s="233">
        <v>0</v>
      </c>
      <c r="BC287" s="233">
        <v>0</v>
      </c>
      <c r="BD287" s="233">
        <v>0</v>
      </c>
      <c r="BE287" s="233">
        <v>0</v>
      </c>
      <c r="BF287" s="233">
        <v>0</v>
      </c>
      <c r="BG287" s="233">
        <v>0</v>
      </c>
      <c r="BH287" s="233">
        <v>0</v>
      </c>
      <c r="BI287" s="233">
        <v>0</v>
      </c>
      <c r="BJ287" s="233">
        <v>0</v>
      </c>
      <c r="BK287" s="233">
        <v>0</v>
      </c>
      <c r="BL287" s="233">
        <v>0</v>
      </c>
      <c r="BM287" s="233">
        <v>0</v>
      </c>
      <c r="BN287" s="233">
        <v>0</v>
      </c>
      <c r="BO287" s="233">
        <v>0</v>
      </c>
      <c r="BP287" s="233">
        <v>0</v>
      </c>
      <c r="BQ287" s="233">
        <v>0</v>
      </c>
      <c r="BR287" s="233">
        <v>0</v>
      </c>
      <c r="BS287" s="233">
        <v>0</v>
      </c>
      <c r="BT287" s="233">
        <v>0</v>
      </c>
      <c r="BU287" s="233">
        <v>0</v>
      </c>
      <c r="BV287" s="233">
        <v>0</v>
      </c>
      <c r="BW287" s="233">
        <v>0</v>
      </c>
      <c r="BX287" s="233">
        <v>0</v>
      </c>
      <c r="BY287" s="233">
        <v>0</v>
      </c>
      <c r="BZ287" s="233">
        <v>0</v>
      </c>
      <c r="CA287" s="233">
        <v>0</v>
      </c>
      <c r="CB287" s="233">
        <v>0</v>
      </c>
      <c r="CC287" s="233">
        <v>0</v>
      </c>
      <c r="CD287" s="233">
        <v>0</v>
      </c>
      <c r="CE287" s="233">
        <v>0</v>
      </c>
      <c r="CF287" s="233">
        <v>0</v>
      </c>
      <c r="CG287" s="233">
        <v>0</v>
      </c>
      <c r="CH287" s="233">
        <v>0</v>
      </c>
      <c r="CI287" s="233">
        <v>0</v>
      </c>
      <c r="CJ287" s="233">
        <v>0</v>
      </c>
      <c r="CK287" s="233">
        <v>0</v>
      </c>
      <c r="CL287" s="233">
        <v>0</v>
      </c>
      <c r="CM287" s="233">
        <v>0</v>
      </c>
      <c r="CN287" s="233">
        <v>0</v>
      </c>
      <c r="CO287" s="233">
        <v>0</v>
      </c>
    </row>
    <row r="288" spans="1:93" s="92" customFormat="1" ht="13" x14ac:dyDescent="0.3">
      <c r="A288" s="164" t="str">
        <f>Language!AA281</f>
        <v>Iceport</v>
      </c>
      <c r="B288" s="235" t="e">
        <f>#REF!</f>
        <v>#REF!</v>
      </c>
      <c r="C288" s="235" t="e">
        <f>#REF!</f>
        <v>#REF!</v>
      </c>
      <c r="D288" s="235" t="e">
        <f>#REF!</f>
        <v>#REF!</v>
      </c>
      <c r="E288" s="236" t="e">
        <f>#REF!</f>
        <v>#REF!</v>
      </c>
      <c r="F288" s="235" t="e">
        <f>#REF!</f>
        <v>#REF!</v>
      </c>
      <c r="G288" s="235" t="e">
        <f>#REF!</f>
        <v>#REF!</v>
      </c>
      <c r="H288" s="235" t="e">
        <f>#REF!</f>
        <v>#REF!</v>
      </c>
      <c r="I288" s="236" t="e">
        <f>#REF!</f>
        <v>#REF!</v>
      </c>
      <c r="J288" s="235" t="e">
        <f>#REF!</f>
        <v>#REF!</v>
      </c>
      <c r="K288" s="235" t="e">
        <f>#REF!</f>
        <v>#REF!</v>
      </c>
      <c r="L288" s="238" t="e">
        <f>#REF!</f>
        <v>#REF!</v>
      </c>
      <c r="M288" s="247" t="e">
        <f>#REF!</f>
        <v>#REF!</v>
      </c>
      <c r="N288" s="238" t="e">
        <f>#REF!</f>
        <v>#REF!</v>
      </c>
      <c r="O288" s="238" t="e">
        <f>#REF!</f>
        <v>#REF!</v>
      </c>
      <c r="P288" s="238" t="e">
        <f>#REF!</f>
        <v>#REF!</v>
      </c>
      <c r="Q288" s="238" t="e">
        <f>#REF!</f>
        <v>#REF!</v>
      </c>
      <c r="R288" s="240" t="e">
        <f>#REF!</f>
        <v>#REF!</v>
      </c>
      <c r="S288" s="238" t="e">
        <f>#REF!</f>
        <v>#REF!</v>
      </c>
      <c r="T288" s="238" t="e">
        <f>#REF!</f>
        <v>#REF!</v>
      </c>
      <c r="U288" s="238" t="e">
        <f>#REF!</f>
        <v>#REF!</v>
      </c>
      <c r="V288" s="238" t="e">
        <f>#REF!</f>
        <v>#REF!</v>
      </c>
      <c r="W288" s="238" t="e">
        <f>#REF!</f>
        <v>#REF!</v>
      </c>
      <c r="X288" s="238" t="e">
        <f>#REF!</f>
        <v>#REF!</v>
      </c>
      <c r="Y288" s="240" t="e">
        <f>#REF!</f>
        <v>#REF!</v>
      </c>
      <c r="Z288" s="238" t="e">
        <f>#REF!</f>
        <v>#REF!</v>
      </c>
      <c r="AA288" s="238" t="e">
        <f>#REF!</f>
        <v>#REF!</v>
      </c>
      <c r="AB288" s="238" t="e">
        <f>#REF!</f>
        <v>#REF!</v>
      </c>
      <c r="AC288" s="238" t="e">
        <f>#REF!</f>
        <v>#REF!</v>
      </c>
      <c r="AD288" s="238" t="e">
        <f>#REF!</f>
        <v>#REF!</v>
      </c>
      <c r="AE288" s="238" t="e">
        <f>#REF!</f>
        <v>#REF!</v>
      </c>
      <c r="AF288" s="240" t="e">
        <f>#REF!</f>
        <v>#REF!</v>
      </c>
      <c r="AG288" s="238" t="e">
        <f>#REF!</f>
        <v>#REF!</v>
      </c>
      <c r="AH288" s="238" t="e">
        <f>#REF!</f>
        <v>#REF!</v>
      </c>
      <c r="AI288" s="238" t="e">
        <f>#REF!</f>
        <v>#REF!</v>
      </c>
      <c r="AJ288" s="238" t="e">
        <f>#REF!</f>
        <v>#REF!</v>
      </c>
      <c r="AK288" s="238" t="e">
        <f>#REF!</f>
        <v>#REF!</v>
      </c>
      <c r="AL288" s="238" t="e">
        <f>#REF!</f>
        <v>#REF!</v>
      </c>
      <c r="AM288" s="240" t="e">
        <f>#REF!</f>
        <v>#REF!</v>
      </c>
      <c r="AN288" s="238" t="e">
        <f t="shared" si="1358"/>
        <v>#REF!</v>
      </c>
      <c r="AO288" s="238"/>
      <c r="AP288" s="238" t="e">
        <f t="shared" si="1359"/>
        <v>#REF!</v>
      </c>
      <c r="AQ288" s="238" t="e">
        <f>#REF!</f>
        <v>#REF!</v>
      </c>
      <c r="AR288" s="238" t="e">
        <f>#REF!</f>
        <v>#REF!</v>
      </c>
      <c r="AS288" s="238"/>
      <c r="AT288" s="240"/>
      <c r="AU288" s="233">
        <v>0</v>
      </c>
      <c r="AV288" s="240"/>
      <c r="AW288" s="240"/>
      <c r="AX288" s="233">
        <v>0</v>
      </c>
      <c r="AY288" s="240"/>
      <c r="AZ288" s="233">
        <v>0</v>
      </c>
      <c r="BA288" s="233">
        <v>0</v>
      </c>
      <c r="BB288" s="233">
        <v>0</v>
      </c>
      <c r="BC288" s="233">
        <v>0</v>
      </c>
      <c r="BD288" s="233">
        <v>0</v>
      </c>
      <c r="BE288" s="233">
        <v>0</v>
      </c>
      <c r="BF288" s="233">
        <v>0</v>
      </c>
      <c r="BG288" s="233">
        <v>0</v>
      </c>
      <c r="BH288" s="233">
        <v>0</v>
      </c>
      <c r="BI288" s="233">
        <v>0</v>
      </c>
      <c r="BJ288" s="233">
        <v>0</v>
      </c>
      <c r="BK288" s="233">
        <v>0</v>
      </c>
      <c r="BL288" s="233">
        <v>0</v>
      </c>
      <c r="BM288" s="233">
        <v>0</v>
      </c>
      <c r="BN288" s="233">
        <v>0</v>
      </c>
      <c r="BO288" s="233">
        <v>0</v>
      </c>
      <c r="BP288" s="233">
        <v>0</v>
      </c>
      <c r="BQ288" s="233">
        <v>0</v>
      </c>
      <c r="BR288" s="233">
        <v>0</v>
      </c>
      <c r="BS288" s="233">
        <v>0</v>
      </c>
      <c r="BT288" s="233">
        <v>0</v>
      </c>
      <c r="BU288" s="233">
        <v>0</v>
      </c>
      <c r="BV288" s="233">
        <v>0</v>
      </c>
      <c r="BW288" s="233">
        <v>0</v>
      </c>
      <c r="BX288" s="233">
        <v>0</v>
      </c>
      <c r="BY288" s="233">
        <v>0</v>
      </c>
      <c r="BZ288" s="233">
        <v>0</v>
      </c>
      <c r="CA288" s="233">
        <v>0</v>
      </c>
      <c r="CB288" s="233">
        <v>0</v>
      </c>
      <c r="CC288" s="233">
        <v>0</v>
      </c>
      <c r="CD288" s="233">
        <v>0</v>
      </c>
      <c r="CE288" s="233">
        <v>0</v>
      </c>
      <c r="CF288" s="233">
        <v>0</v>
      </c>
      <c r="CG288" s="233">
        <v>0</v>
      </c>
      <c r="CH288" s="233">
        <v>0</v>
      </c>
      <c r="CI288" s="233">
        <v>0</v>
      </c>
      <c r="CJ288" s="233">
        <v>0</v>
      </c>
      <c r="CK288" s="233">
        <v>0</v>
      </c>
      <c r="CL288" s="233">
        <v>0</v>
      </c>
      <c r="CM288" s="233">
        <v>0</v>
      </c>
      <c r="CN288" s="233">
        <v>0</v>
      </c>
      <c r="CO288" s="233">
        <v>0</v>
      </c>
    </row>
    <row r="289" spans="1:93" s="92" customFormat="1" ht="13" x14ac:dyDescent="0.3">
      <c r="A289" s="164" t="str">
        <f>Language!AA282</f>
        <v>Outros</v>
      </c>
      <c r="B289" s="235" t="e">
        <f>#REF!</f>
        <v>#REF!</v>
      </c>
      <c r="C289" s="235" t="e">
        <f>#REF!</f>
        <v>#REF!</v>
      </c>
      <c r="D289" s="235" t="e">
        <f>#REF!</f>
        <v>#REF!</v>
      </c>
      <c r="E289" s="236" t="e">
        <f>#REF!</f>
        <v>#REF!</v>
      </c>
      <c r="F289" s="235" t="e">
        <f>#REF!</f>
        <v>#REF!</v>
      </c>
      <c r="G289" s="235" t="e">
        <f>#REF!</f>
        <v>#REF!</v>
      </c>
      <c r="H289" s="235" t="e">
        <f>#REF!</f>
        <v>#REF!</v>
      </c>
      <c r="I289" s="236" t="e">
        <f>#REF!</f>
        <v>#REF!</v>
      </c>
      <c r="J289" s="235" t="e">
        <f>#REF!</f>
        <v>#REF!</v>
      </c>
      <c r="K289" s="235" t="e">
        <f>#REF!</f>
        <v>#REF!</v>
      </c>
      <c r="L289" s="238" t="e">
        <f>#REF!</f>
        <v>#REF!</v>
      </c>
      <c r="M289" s="247" t="e">
        <f>#REF!</f>
        <v>#REF!</v>
      </c>
      <c r="N289" s="238" t="e">
        <f>#REF!</f>
        <v>#REF!</v>
      </c>
      <c r="O289" s="238" t="e">
        <f>#REF!</f>
        <v>#REF!</v>
      </c>
      <c r="P289" s="238" t="e">
        <f>#REF!</f>
        <v>#REF!</v>
      </c>
      <c r="Q289" s="238" t="e">
        <f>#REF!</f>
        <v>#REF!</v>
      </c>
      <c r="R289" s="240" t="e">
        <f>#REF!</f>
        <v>#REF!</v>
      </c>
      <c r="S289" s="238" t="e">
        <f>#REF!</f>
        <v>#REF!</v>
      </c>
      <c r="T289" s="238" t="e">
        <f>#REF!</f>
        <v>#REF!</v>
      </c>
      <c r="U289" s="238" t="e">
        <f>#REF!</f>
        <v>#REF!</v>
      </c>
      <c r="V289" s="238" t="e">
        <f>#REF!</f>
        <v>#REF!</v>
      </c>
      <c r="W289" s="238" t="e">
        <f>#REF!</f>
        <v>#REF!</v>
      </c>
      <c r="X289" s="238" t="e">
        <f>#REF!</f>
        <v>#REF!</v>
      </c>
      <c r="Y289" s="240" t="e">
        <f>#REF!</f>
        <v>#REF!</v>
      </c>
      <c r="Z289" s="238" t="e">
        <f>#REF!</f>
        <v>#REF!</v>
      </c>
      <c r="AA289" s="238" t="e">
        <f>#REF!</f>
        <v>#REF!</v>
      </c>
      <c r="AB289" s="238" t="e">
        <f>#REF!</f>
        <v>#REF!</v>
      </c>
      <c r="AC289" s="238" t="e">
        <f>#REF!</f>
        <v>#REF!</v>
      </c>
      <c r="AD289" s="238" t="e">
        <f>#REF!</f>
        <v>#REF!</v>
      </c>
      <c r="AE289" s="238" t="e">
        <f>#REF!</f>
        <v>#REF!</v>
      </c>
      <c r="AF289" s="240">
        <v>-3</v>
      </c>
      <c r="AG289" s="238" t="e">
        <f>#REF!</f>
        <v>#REF!</v>
      </c>
      <c r="AH289" s="238" t="e">
        <f>#REF!</f>
        <v>#REF!</v>
      </c>
      <c r="AI289" s="238" t="e">
        <f>#REF!</f>
        <v>#REF!</v>
      </c>
      <c r="AJ289" s="238" t="e">
        <f>#REF!</f>
        <v>#REF!</v>
      </c>
      <c r="AK289" s="238" t="e">
        <f>#REF!</f>
        <v>#REF!</v>
      </c>
      <c r="AL289" s="238" t="e">
        <f>#REF!</f>
        <v>#REF!</v>
      </c>
      <c r="AM289" s="240" t="e">
        <f>#REF!</f>
        <v>#REF!</v>
      </c>
      <c r="AN289" s="238" t="e">
        <f t="shared" si="1358"/>
        <v>#REF!</v>
      </c>
      <c r="AO289" s="238"/>
      <c r="AP289" s="238" t="e">
        <f t="shared" si="1359"/>
        <v>#REF!</v>
      </c>
      <c r="AQ289" s="238" t="e">
        <f>#REF!</f>
        <v>#REF!</v>
      </c>
      <c r="AR289" s="238" t="e">
        <f>#REF!</f>
        <v>#REF!</v>
      </c>
      <c r="AS289" s="238"/>
      <c r="AT289" s="240"/>
      <c r="AU289" s="233">
        <v>0</v>
      </c>
      <c r="AV289" s="240"/>
      <c r="AW289" s="240"/>
      <c r="AX289" s="233">
        <v>0</v>
      </c>
      <c r="AY289" s="240"/>
      <c r="AZ289" s="233">
        <v>0</v>
      </c>
      <c r="BA289" s="233">
        <v>0</v>
      </c>
      <c r="BB289" s="233">
        <v>0</v>
      </c>
      <c r="BC289" s="233">
        <v>0</v>
      </c>
      <c r="BD289" s="233">
        <v>0</v>
      </c>
      <c r="BE289" s="233">
        <v>0</v>
      </c>
      <c r="BF289" s="233">
        <v>0</v>
      </c>
      <c r="BG289" s="233">
        <v>0</v>
      </c>
      <c r="BH289" s="233">
        <v>0</v>
      </c>
      <c r="BI289" s="233">
        <v>0</v>
      </c>
      <c r="BJ289" s="233">
        <v>0</v>
      </c>
      <c r="BK289" s="233">
        <v>0</v>
      </c>
      <c r="BL289" s="233">
        <v>0</v>
      </c>
      <c r="BM289" s="233">
        <v>0</v>
      </c>
      <c r="BN289" s="233">
        <v>0</v>
      </c>
      <c r="BO289" s="233">
        <v>0</v>
      </c>
      <c r="BP289" s="233">
        <v>0</v>
      </c>
      <c r="BQ289" s="233">
        <v>0</v>
      </c>
      <c r="BR289" s="233">
        <v>0</v>
      </c>
      <c r="BS289" s="233">
        <v>0</v>
      </c>
      <c r="BT289" s="233">
        <v>0</v>
      </c>
      <c r="BU289" s="233">
        <v>0</v>
      </c>
      <c r="BV289" s="233">
        <v>0</v>
      </c>
      <c r="BW289" s="233">
        <v>0</v>
      </c>
      <c r="BX289" s="233">
        <v>0</v>
      </c>
      <c r="BY289" s="233">
        <v>0</v>
      </c>
      <c r="BZ289" s="233">
        <v>0</v>
      </c>
      <c r="CA289" s="233">
        <v>0</v>
      </c>
      <c r="CB289" s="233">
        <v>0</v>
      </c>
      <c r="CC289" s="233">
        <v>0</v>
      </c>
      <c r="CD289" s="233">
        <v>0</v>
      </c>
      <c r="CE289" s="233">
        <v>0</v>
      </c>
      <c r="CF289" s="233">
        <v>0</v>
      </c>
      <c r="CG289" s="233">
        <v>0</v>
      </c>
      <c r="CH289" s="233">
        <v>0</v>
      </c>
      <c r="CI289" s="233">
        <v>0</v>
      </c>
      <c r="CJ289" s="233">
        <v>0</v>
      </c>
      <c r="CK289" s="233">
        <v>0</v>
      </c>
      <c r="CL289" s="233">
        <v>0</v>
      </c>
      <c r="CM289" s="233">
        <v>0</v>
      </c>
      <c r="CN289" s="233">
        <v>0</v>
      </c>
      <c r="CO289" s="233">
        <v>0</v>
      </c>
    </row>
    <row r="290" spans="1:93" s="100" customFormat="1" ht="13" x14ac:dyDescent="0.3">
      <c r="A290" s="160" t="str">
        <f>Language!AA283</f>
        <v>Cabotagem</v>
      </c>
      <c r="B290" s="108">
        <v>-5299</v>
      </c>
      <c r="C290" s="108">
        <v>-11420</v>
      </c>
      <c r="D290" s="108">
        <v>-16802</v>
      </c>
      <c r="E290" s="106">
        <v>-7202</v>
      </c>
      <c r="F290" s="108">
        <v>-13116</v>
      </c>
      <c r="G290" s="108">
        <v>-14157</v>
      </c>
      <c r="H290" s="108">
        <v>-12388</v>
      </c>
      <c r="I290" s="106">
        <v>-8625</v>
      </c>
      <c r="J290" s="108">
        <v>-13435</v>
      </c>
      <c r="K290" s="108">
        <v>-13128</v>
      </c>
      <c r="L290" s="108">
        <v>-10031</v>
      </c>
      <c r="M290" s="106">
        <v>-20072</v>
      </c>
      <c r="N290" s="108">
        <v>-11453</v>
      </c>
      <c r="O290" s="108">
        <v>-24092</v>
      </c>
      <c r="P290" s="108">
        <v>-29439</v>
      </c>
      <c r="Q290" s="108">
        <v>-10053</v>
      </c>
      <c r="R290" s="107">
        <v>0</v>
      </c>
      <c r="S290" s="108">
        <v>0</v>
      </c>
      <c r="T290" s="165">
        <v>0</v>
      </c>
      <c r="U290" s="238">
        <v>0</v>
      </c>
      <c r="V290" s="238">
        <v>0</v>
      </c>
      <c r="W290" s="238">
        <v>0</v>
      </c>
      <c r="X290" s="238">
        <v>0</v>
      </c>
      <c r="Y290" s="107">
        <v>0</v>
      </c>
      <c r="Z290" s="108">
        <v>0</v>
      </c>
      <c r="AA290" s="165">
        <v>0</v>
      </c>
      <c r="AB290" s="238">
        <v>0</v>
      </c>
      <c r="AC290" s="238">
        <v>0</v>
      </c>
      <c r="AD290" s="238">
        <v>0</v>
      </c>
      <c r="AE290" s="238">
        <v>0</v>
      </c>
      <c r="AF290" s="107">
        <v>0</v>
      </c>
      <c r="AG290" s="108">
        <v>0</v>
      </c>
      <c r="AH290" s="108">
        <v>0</v>
      </c>
      <c r="AI290" s="238">
        <v>0</v>
      </c>
      <c r="AJ290" s="238">
        <v>0</v>
      </c>
      <c r="AK290" s="238">
        <v>0</v>
      </c>
      <c r="AL290" s="238">
        <v>0</v>
      </c>
      <c r="AM290" s="107">
        <v>0</v>
      </c>
      <c r="AN290" s="108">
        <f t="shared" si="1358"/>
        <v>0</v>
      </c>
      <c r="AO290" s="108"/>
      <c r="AP290" s="108">
        <f t="shared" si="1359"/>
        <v>0</v>
      </c>
      <c r="AQ290" s="238">
        <v>0</v>
      </c>
      <c r="AR290" s="238"/>
      <c r="AS290" s="238"/>
      <c r="AT290" s="107"/>
      <c r="AU290" s="233">
        <v>0</v>
      </c>
      <c r="AV290" s="107"/>
      <c r="AW290" s="107"/>
      <c r="AX290" s="233">
        <v>0</v>
      </c>
      <c r="AY290" s="107"/>
      <c r="AZ290" s="233">
        <v>0</v>
      </c>
      <c r="BA290" s="233">
        <v>0</v>
      </c>
      <c r="BB290" s="233">
        <v>0</v>
      </c>
      <c r="BC290" s="233">
        <v>0</v>
      </c>
      <c r="BD290" s="233">
        <v>0</v>
      </c>
      <c r="BE290" s="233">
        <v>0</v>
      </c>
      <c r="BF290" s="233">
        <v>0</v>
      </c>
      <c r="BG290" s="233">
        <v>0</v>
      </c>
      <c r="BH290" s="233">
        <v>0</v>
      </c>
      <c r="BI290" s="233">
        <v>0</v>
      </c>
      <c r="BJ290" s="233">
        <v>0</v>
      </c>
      <c r="BK290" s="233">
        <v>0</v>
      </c>
      <c r="BL290" s="233">
        <v>0</v>
      </c>
      <c r="BM290" s="233">
        <v>0</v>
      </c>
      <c r="BN290" s="233">
        <v>0</v>
      </c>
      <c r="BO290" s="233">
        <v>0</v>
      </c>
      <c r="BP290" s="233">
        <v>0</v>
      </c>
      <c r="BQ290" s="233">
        <v>0</v>
      </c>
      <c r="BR290" s="233">
        <v>0</v>
      </c>
      <c r="BS290" s="233">
        <v>0</v>
      </c>
      <c r="BT290" s="233">
        <v>0</v>
      </c>
      <c r="BU290" s="233">
        <v>0</v>
      </c>
      <c r="BV290" s="233">
        <v>0</v>
      </c>
      <c r="BW290" s="233">
        <v>0</v>
      </c>
      <c r="BX290" s="233">
        <v>0</v>
      </c>
      <c r="BY290" s="233">
        <v>0</v>
      </c>
      <c r="BZ290" s="233">
        <v>0</v>
      </c>
      <c r="CA290" s="233">
        <v>0</v>
      </c>
      <c r="CB290" s="233">
        <v>0</v>
      </c>
      <c r="CC290" s="233">
        <v>0</v>
      </c>
      <c r="CD290" s="233">
        <v>0</v>
      </c>
      <c r="CE290" s="233">
        <v>0</v>
      </c>
      <c r="CF290" s="233">
        <v>0</v>
      </c>
      <c r="CG290" s="233">
        <v>0</v>
      </c>
      <c r="CH290" s="233">
        <v>0</v>
      </c>
      <c r="CI290" s="233">
        <v>0</v>
      </c>
      <c r="CJ290" s="233">
        <v>0</v>
      </c>
      <c r="CK290" s="233">
        <v>0</v>
      </c>
      <c r="CL290" s="233">
        <v>0</v>
      </c>
      <c r="CM290" s="233">
        <v>0</v>
      </c>
      <c r="CN290" s="233">
        <v>0</v>
      </c>
      <c r="CO290" s="233">
        <v>0</v>
      </c>
    </row>
    <row r="291" spans="1:93" s="100" customFormat="1" ht="13" x14ac:dyDescent="0.3">
      <c r="A291" s="160" t="str">
        <f>Language!AA284</f>
        <v>Aeroportos</v>
      </c>
      <c r="B291" s="231" t="e">
        <f>#REF!</f>
        <v>#REF!</v>
      </c>
      <c r="C291" s="231" t="e">
        <f>#REF!</f>
        <v>#REF!</v>
      </c>
      <c r="D291" s="231" t="e">
        <f>#REF!</f>
        <v>#REF!</v>
      </c>
      <c r="E291" s="232" t="e">
        <f>#REF!</f>
        <v>#REF!</v>
      </c>
      <c r="F291" s="231" t="e">
        <f>#REF!</f>
        <v>#REF!</v>
      </c>
      <c r="G291" s="231" t="e">
        <f>#REF!</f>
        <v>#REF!</v>
      </c>
      <c r="H291" s="231" t="e">
        <f>#REF!</f>
        <v>#REF!</v>
      </c>
      <c r="I291" s="232" t="e">
        <f>#REF!</f>
        <v>#REF!</v>
      </c>
      <c r="J291" s="231" t="e">
        <f>#REF!</f>
        <v>#REF!</v>
      </c>
      <c r="K291" s="231" t="e">
        <f>#REF!</f>
        <v>#REF!</v>
      </c>
      <c r="L291" s="231" t="e">
        <f>#REF!</f>
        <v>#REF!</v>
      </c>
      <c r="M291" s="232" t="e">
        <f>#REF!</f>
        <v>#REF!</v>
      </c>
      <c r="N291" s="231" t="e">
        <f>#REF!</f>
        <v>#REF!</v>
      </c>
      <c r="O291" s="231" t="e">
        <f>#REF!</f>
        <v>#REF!</v>
      </c>
      <c r="P291" s="231" t="e">
        <f>#REF!</f>
        <v>#REF!</v>
      </c>
      <c r="Q291" s="231" t="e">
        <f>#REF!</f>
        <v>#REF!</v>
      </c>
      <c r="R291" s="233" t="e">
        <f>#REF!</f>
        <v>#REF!</v>
      </c>
      <c r="S291" s="231" t="e">
        <f>#REF!</f>
        <v>#REF!</v>
      </c>
      <c r="T291" s="234" t="e">
        <f>#REF!</f>
        <v>#REF!</v>
      </c>
      <c r="U291" s="234" t="e">
        <f>#REF!</f>
        <v>#REF!</v>
      </c>
      <c r="V291" s="234" t="e">
        <f>#REF!</f>
        <v>#REF!</v>
      </c>
      <c r="W291" s="234" t="e">
        <f>#REF!</f>
        <v>#REF!</v>
      </c>
      <c r="X291" s="234" t="e">
        <f>#REF!</f>
        <v>#REF!</v>
      </c>
      <c r="Y291" s="233" t="e">
        <f>#REF!</f>
        <v>#REF!</v>
      </c>
      <c r="Z291" s="231" t="e">
        <f>#REF!</f>
        <v>#REF!</v>
      </c>
      <c r="AA291" s="234" t="e">
        <f>#REF!</f>
        <v>#REF!</v>
      </c>
      <c r="AB291" s="234" t="e">
        <f>#REF!</f>
        <v>#REF!</v>
      </c>
      <c r="AC291" s="234" t="e">
        <f>#REF!</f>
        <v>#REF!</v>
      </c>
      <c r="AD291" s="234" t="e">
        <f>#REF!</f>
        <v>#REF!</v>
      </c>
      <c r="AE291" s="234" t="e">
        <f>#REF!</f>
        <v>#REF!</v>
      </c>
      <c r="AF291" s="233" t="e">
        <f>#REF!</f>
        <v>#REF!</v>
      </c>
      <c r="AG291" s="231">
        <v>8243.9999999999927</v>
      </c>
      <c r="AH291" s="231" t="e">
        <f>#REF!</f>
        <v>#REF!</v>
      </c>
      <c r="AI291" s="234" t="e">
        <f>#REF!</f>
        <v>#REF!</v>
      </c>
      <c r="AJ291" s="234" t="e">
        <f>#REF!</f>
        <v>#REF!</v>
      </c>
      <c r="AK291" s="234">
        <v>0</v>
      </c>
      <c r="AL291" s="234">
        <v>0</v>
      </c>
      <c r="AM291" s="233">
        <v>0</v>
      </c>
      <c r="AN291" s="231">
        <f t="shared" si="1358"/>
        <v>0</v>
      </c>
      <c r="AO291" s="231"/>
      <c r="AP291" s="231">
        <f t="shared" si="1359"/>
        <v>0</v>
      </c>
      <c r="AQ291" s="234">
        <v>0</v>
      </c>
      <c r="AR291" s="234"/>
      <c r="AS291" s="234"/>
      <c r="AT291" s="233"/>
      <c r="AU291" s="233">
        <v>0</v>
      </c>
      <c r="AV291" s="233"/>
      <c r="AW291" s="233"/>
      <c r="AX291" s="233">
        <v>0</v>
      </c>
      <c r="AY291" s="233"/>
      <c r="AZ291" s="233">
        <v>0</v>
      </c>
      <c r="BA291" s="233">
        <v>0</v>
      </c>
      <c r="BB291" s="233">
        <v>0</v>
      </c>
      <c r="BC291" s="233">
        <v>0</v>
      </c>
      <c r="BD291" s="233">
        <v>0</v>
      </c>
      <c r="BE291" s="233">
        <v>0</v>
      </c>
      <c r="BF291" s="233">
        <v>0</v>
      </c>
      <c r="BG291" s="233">
        <v>0</v>
      </c>
      <c r="BH291" s="233">
        <v>0</v>
      </c>
      <c r="BI291" s="233">
        <v>0</v>
      </c>
      <c r="BJ291" s="233">
        <v>0</v>
      </c>
      <c r="BK291" s="233">
        <v>0</v>
      </c>
      <c r="BL291" s="233">
        <v>0</v>
      </c>
      <c r="BM291" s="233">
        <v>0</v>
      </c>
      <c r="BN291" s="233">
        <v>0</v>
      </c>
      <c r="BO291" s="233">
        <v>0</v>
      </c>
      <c r="BP291" s="233">
        <v>0</v>
      </c>
      <c r="BQ291" s="233">
        <v>0</v>
      </c>
      <c r="BR291" s="233">
        <v>0</v>
      </c>
      <c r="BS291" s="233">
        <v>0</v>
      </c>
      <c r="BT291" s="233">
        <v>0</v>
      </c>
      <c r="BU291" s="233">
        <v>0</v>
      </c>
      <c r="BV291" s="233">
        <v>0</v>
      </c>
      <c r="BW291" s="233">
        <v>0</v>
      </c>
      <c r="BX291" s="233">
        <v>0</v>
      </c>
      <c r="BY291" s="233">
        <v>0</v>
      </c>
      <c r="BZ291" s="233">
        <v>0</v>
      </c>
      <c r="CA291" s="233">
        <v>0</v>
      </c>
      <c r="CB291" s="233">
        <v>0</v>
      </c>
      <c r="CC291" s="233">
        <v>0</v>
      </c>
      <c r="CD291" s="233">
        <v>0</v>
      </c>
      <c r="CE291" s="233">
        <v>0</v>
      </c>
      <c r="CF291" s="233">
        <v>0</v>
      </c>
      <c r="CG291" s="233">
        <v>0</v>
      </c>
      <c r="CH291" s="233">
        <v>0</v>
      </c>
      <c r="CI291" s="233">
        <v>0</v>
      </c>
      <c r="CJ291" s="233">
        <v>0</v>
      </c>
      <c r="CK291" s="233">
        <v>0</v>
      </c>
      <c r="CL291" s="233">
        <v>0</v>
      </c>
      <c r="CM291" s="233">
        <v>0</v>
      </c>
      <c r="CN291" s="233">
        <v>0</v>
      </c>
      <c r="CO291" s="233">
        <v>0</v>
      </c>
    </row>
    <row r="292" spans="1:93" s="100" customFormat="1" ht="13" x14ac:dyDescent="0.3">
      <c r="A292" s="160" t="str">
        <f>Language!AA285</f>
        <v>Holding e Outros Investimentos</v>
      </c>
      <c r="B292" s="231">
        <v>-6419</v>
      </c>
      <c r="C292" s="231">
        <v>-6103</v>
      </c>
      <c r="D292" s="231">
        <v>-6332</v>
      </c>
      <c r="E292" s="232">
        <v>-6262</v>
      </c>
      <c r="F292" s="231">
        <v>-2568</v>
      </c>
      <c r="G292" s="231">
        <v>-7365</v>
      </c>
      <c r="H292" s="231">
        <v>-6408</v>
      </c>
      <c r="I292" s="232">
        <v>-5717</v>
      </c>
      <c r="J292" s="231">
        <v>-4656.7670118249998</v>
      </c>
      <c r="K292" s="231">
        <v>-10588.582188175</v>
      </c>
      <c r="L292" s="234">
        <v>-6301.3277999999991</v>
      </c>
      <c r="M292" s="245">
        <v>-5103</v>
      </c>
      <c r="N292" s="234">
        <v>-3238</v>
      </c>
      <c r="O292" s="234">
        <v>1292</v>
      </c>
      <c r="P292" s="234">
        <v>7349</v>
      </c>
      <c r="Q292" s="234">
        <v>-17137</v>
      </c>
      <c r="R292" s="234">
        <v>-5398</v>
      </c>
      <c r="S292" s="234">
        <v>-4047</v>
      </c>
      <c r="T292" s="234">
        <v>-2371</v>
      </c>
      <c r="U292" s="234">
        <v>-11816</v>
      </c>
      <c r="V292" s="234">
        <v>191182</v>
      </c>
      <c r="W292" s="234">
        <v>-11816</v>
      </c>
      <c r="X292" s="234">
        <v>191182</v>
      </c>
      <c r="Y292" s="234">
        <v>-5958</v>
      </c>
      <c r="Z292" s="234">
        <v>8937</v>
      </c>
      <c r="AA292" s="234">
        <v>-1878</v>
      </c>
      <c r="AB292" s="234">
        <v>1101</v>
      </c>
      <c r="AC292" s="234">
        <v>2979</v>
      </c>
      <c r="AD292" s="234">
        <v>1101</v>
      </c>
      <c r="AE292" s="234">
        <v>-2681</v>
      </c>
      <c r="AF292" s="234">
        <v>-4650</v>
      </c>
      <c r="AG292" s="234">
        <v>-4091</v>
      </c>
      <c r="AH292" s="234">
        <v>-8741</v>
      </c>
      <c r="AI292" s="234">
        <v>-15733</v>
      </c>
      <c r="AJ292" s="234">
        <v>-8741</v>
      </c>
      <c r="AK292" s="234">
        <v>-15733</v>
      </c>
      <c r="AL292" s="234">
        <v>946823</v>
      </c>
      <c r="AM292" s="234">
        <v>-5814</v>
      </c>
      <c r="AN292" s="231">
        <v>-8755</v>
      </c>
      <c r="AO292" s="231">
        <v>-41654</v>
      </c>
      <c r="AP292" s="231">
        <v>28856</v>
      </c>
      <c r="AQ292" s="234">
        <v>-14569</v>
      </c>
      <c r="AR292" s="234">
        <v>-56223</v>
      </c>
      <c r="AS292" s="234">
        <v>-27367</v>
      </c>
      <c r="AT292" s="234">
        <f>'Parent Company'!AT35</f>
        <v>-5644</v>
      </c>
      <c r="AU292" s="234">
        <f>'Parent Company'!AU35</f>
        <v>-11841</v>
      </c>
      <c r="AV292" s="234">
        <f>'Parent Company'!AV35</f>
        <v>-4061</v>
      </c>
      <c r="AW292" s="234">
        <f>'Parent Company'!AW35</f>
        <v>-34194</v>
      </c>
      <c r="AX292" s="234">
        <f>'Parent Company'!AX35</f>
        <v>-17500</v>
      </c>
      <c r="AY292" s="234">
        <f>'Parent Company'!AY35</f>
        <v>-24187</v>
      </c>
      <c r="AZ292" s="234">
        <f>'Parent Company'!AZ35</f>
        <v>-32773</v>
      </c>
      <c r="BA292" s="234">
        <f>'Parent Company'!BA35</f>
        <v>-4749</v>
      </c>
      <c r="BB292" s="234">
        <f>'Parent Company'!BB35</f>
        <v>-3627</v>
      </c>
      <c r="BC292" s="234">
        <f>'Parent Company'!BC35</f>
        <v>-4915</v>
      </c>
      <c r="BD292" s="234">
        <f>'Parent Company'!BD35</f>
        <v>-8222</v>
      </c>
      <c r="BE292" s="234">
        <f>'Parent Company'!BE35</f>
        <v>-8376</v>
      </c>
      <c r="BF292" s="234">
        <f>'Parent Company'!BF35</f>
        <v>-13291</v>
      </c>
      <c r="BG292" s="234">
        <f>'Parent Company'!BG35</f>
        <v>-21513</v>
      </c>
      <c r="BH292" s="234" t="e">
        <f>'Parent Company'!BH35</f>
        <v>#REF!</v>
      </c>
      <c r="BI292" s="234" t="e">
        <f>'Parent Company'!BI35</f>
        <v>#REF!</v>
      </c>
      <c r="BJ292" s="234">
        <f>'Parent Company'!BJ35</f>
        <v>-5515</v>
      </c>
      <c r="BK292" s="234">
        <f>'Parent Company'!BK35</f>
        <v>-9997</v>
      </c>
      <c r="BL292" s="234">
        <f>'Parent Company'!BL35</f>
        <v>-12387</v>
      </c>
      <c r="BM292" s="234">
        <f>'Parent Company'!BM35</f>
        <v>-17902</v>
      </c>
      <c r="BN292" s="234">
        <f>'Parent Company'!BN35</f>
        <v>-27899</v>
      </c>
      <c r="BO292" s="234">
        <f>'Parent Company'!BO35</f>
        <v>-5639</v>
      </c>
      <c r="BP292" s="234">
        <f>'Parent Company'!BP35</f>
        <v>-5627</v>
      </c>
      <c r="BQ292" s="234">
        <f>'Parent Company'!BQ35</f>
        <v>-4469</v>
      </c>
      <c r="BR292" s="234">
        <f>'Parent Company'!BR35</f>
        <v>-12020</v>
      </c>
      <c r="BS292" s="234">
        <f>'Parent Company'!BS35</f>
        <v>-11266</v>
      </c>
      <c r="BT292" s="234">
        <f>'Parent Company'!BT35</f>
        <v>-15735</v>
      </c>
      <c r="BU292" s="234">
        <f>'Parent Company'!BU35</f>
        <v>-27756</v>
      </c>
      <c r="BV292" s="234">
        <f>'Parent Company'!BV35</f>
        <v>-6370</v>
      </c>
      <c r="BW292" s="234">
        <f>'Parent Company'!BW35</f>
        <v>-4370</v>
      </c>
      <c r="BX292" s="234">
        <f>'Parent Company'!BX35</f>
        <v>-6327</v>
      </c>
      <c r="BY292" s="234">
        <f>'Parent Company'!BY35</f>
        <v>-13627</v>
      </c>
      <c r="BZ292" s="234">
        <f>'Parent Company'!BZ35</f>
        <v>-10740</v>
      </c>
      <c r="CA292" s="234">
        <f>'Parent Company'!CA35</f>
        <v>-17067</v>
      </c>
      <c r="CB292" s="234">
        <f>'Parent Company'!CB35</f>
        <v>-39227</v>
      </c>
      <c r="CC292" s="234">
        <f>'Parent Company'!CC35</f>
        <v>-6969.3747299999995</v>
      </c>
      <c r="CD292" s="234">
        <f>'Parent Company'!CD35</f>
        <v>2180.3747299999991</v>
      </c>
      <c r="CE292" s="234">
        <f>'Parent Company'!CE35</f>
        <v>-5289</v>
      </c>
      <c r="CF292" s="234">
        <f>'Parent Company'!CF35</f>
        <v>-7575</v>
      </c>
      <c r="CG292" s="234">
        <f>'Parent Company'!CG35</f>
        <v>-6843</v>
      </c>
      <c r="CH292" s="234">
        <f>'Parent Company'!CH35</f>
        <v>-7414</v>
      </c>
      <c r="CI292" s="234">
        <f>'Parent Company'!CI35</f>
        <v>-37889</v>
      </c>
      <c r="CJ292" s="234">
        <v>-8835.9796599999972</v>
      </c>
      <c r="CK292" s="234">
        <f>'Parent Company'!CK35</f>
        <v>-11400.020340000003</v>
      </c>
      <c r="CL292" s="234">
        <f>'Parent Company'!CL35</f>
        <v>0</v>
      </c>
      <c r="CM292" s="234">
        <f>'Parent Company'!CM35</f>
        <v>0</v>
      </c>
      <c r="CN292" s="234">
        <f>'Parent Company'!CN35</f>
        <v>-20236</v>
      </c>
      <c r="CO292" s="234">
        <f>'Parent Company'!CO35</f>
        <v>0</v>
      </c>
    </row>
    <row r="293" spans="1:93" s="100" customFormat="1" ht="13" x14ac:dyDescent="0.3">
      <c r="A293" s="160" t="str">
        <f>Language!AA286</f>
        <v>Ajustes de Consolidação</v>
      </c>
      <c r="B293" s="231" t="e">
        <f t="shared" ref="B293:J293" si="1509">SUM(B273,B281,B286,B290,B291,B292,-B272)</f>
        <v>#REF!</v>
      </c>
      <c r="C293" s="231" t="e">
        <f t="shared" si="1509"/>
        <v>#REF!</v>
      </c>
      <c r="D293" s="231" t="e">
        <f t="shared" si="1509"/>
        <v>#REF!</v>
      </c>
      <c r="E293" s="232" t="e">
        <f t="shared" si="1509"/>
        <v>#REF!</v>
      </c>
      <c r="F293" s="231" t="e">
        <f t="shared" si="1509"/>
        <v>#REF!</v>
      </c>
      <c r="G293" s="231" t="e">
        <f t="shared" si="1509"/>
        <v>#REF!</v>
      </c>
      <c r="H293" s="231" t="e">
        <f t="shared" si="1509"/>
        <v>#REF!</v>
      </c>
      <c r="I293" s="232" t="e">
        <f t="shared" si="1509"/>
        <v>#REF!</v>
      </c>
      <c r="J293" s="231" t="e">
        <f t="shared" si="1509"/>
        <v>#REF!</v>
      </c>
      <c r="K293" s="231" t="e">
        <f t="shared" ref="K293:V293" si="1510">K272-K273-K281-K286-K290-K291-K292</f>
        <v>#REF!</v>
      </c>
      <c r="L293" s="234" t="e">
        <f t="shared" si="1510"/>
        <v>#REF!</v>
      </c>
      <c r="M293" s="245" t="e">
        <f t="shared" si="1510"/>
        <v>#REF!</v>
      </c>
      <c r="N293" s="234" t="e">
        <f t="shared" si="1510"/>
        <v>#REF!</v>
      </c>
      <c r="O293" s="234" t="e">
        <f t="shared" si="1510"/>
        <v>#REF!</v>
      </c>
      <c r="P293" s="234" t="e">
        <f t="shared" si="1510"/>
        <v>#REF!</v>
      </c>
      <c r="Q293" s="234" t="e">
        <f t="shared" si="1510"/>
        <v>#REF!</v>
      </c>
      <c r="R293" s="246" t="e">
        <f t="shared" si="1510"/>
        <v>#REF!</v>
      </c>
      <c r="S293" s="234" t="e">
        <f t="shared" si="1510"/>
        <v>#REF!</v>
      </c>
      <c r="T293" s="234" t="e">
        <f t="shared" si="1510"/>
        <v>#REF!</v>
      </c>
      <c r="U293" s="234" t="e">
        <f t="shared" si="1510"/>
        <v>#REF!</v>
      </c>
      <c r="V293" s="234" t="e">
        <f t="shared" si="1510"/>
        <v>#REF!</v>
      </c>
      <c r="W293" s="234">
        <v>0</v>
      </c>
      <c r="X293" s="234" t="e">
        <f>X272-X273-X281-X286-X290-X291-X292</f>
        <v>#REF!</v>
      </c>
      <c r="Y293" s="246">
        <v>0</v>
      </c>
      <c r="Z293" s="234">
        <v>0</v>
      </c>
      <c r="AA293" s="234" t="e">
        <f>AA272-AA273-AA281-AA286-AA290-AA291-AA292</f>
        <v>#REF!</v>
      </c>
      <c r="AB293" s="234" t="e">
        <f>AB272-AB273-AB281-AB286-AB290-AB291-AB292</f>
        <v>#REF!</v>
      </c>
      <c r="AC293" s="234">
        <v>0</v>
      </c>
      <c r="AD293" s="234">
        <v>0</v>
      </c>
      <c r="AE293" s="234">
        <v>0</v>
      </c>
      <c r="AF293" s="246">
        <v>0</v>
      </c>
      <c r="AG293" s="234">
        <v>0</v>
      </c>
      <c r="AH293" s="234">
        <v>0</v>
      </c>
      <c r="AI293" s="234" t="e">
        <f>AI272-AI273-AI281-AI286-AI290-AI291-AI292</f>
        <v>#REF!</v>
      </c>
      <c r="AJ293" s="234">
        <v>0</v>
      </c>
      <c r="AK293" s="234">
        <v>0</v>
      </c>
      <c r="AL293" s="234">
        <v>0</v>
      </c>
      <c r="AM293" s="246">
        <v>0</v>
      </c>
      <c r="AN293" s="234">
        <f t="shared" si="1358"/>
        <v>0</v>
      </c>
      <c r="AO293" s="234"/>
      <c r="AP293" s="234">
        <f t="shared" si="1359"/>
        <v>0</v>
      </c>
      <c r="AQ293" s="234">
        <v>0</v>
      </c>
      <c r="AR293" s="234"/>
      <c r="AS293" s="234"/>
      <c r="AT293" s="246"/>
      <c r="AU293" s="246"/>
      <c r="AV293" s="246"/>
      <c r="AW293" s="246"/>
      <c r="AX293" s="246"/>
      <c r="AY293" s="246"/>
      <c r="AZ293" s="233">
        <v>0</v>
      </c>
      <c r="BA293" s="233">
        <v>0</v>
      </c>
      <c r="BB293" s="233">
        <v>0</v>
      </c>
      <c r="BC293" s="233">
        <v>0</v>
      </c>
      <c r="BD293" s="233">
        <v>0</v>
      </c>
      <c r="BE293" s="233">
        <v>0</v>
      </c>
      <c r="BF293" s="233"/>
      <c r="BG293" s="233"/>
      <c r="BH293" s="233"/>
      <c r="BI293" s="233"/>
      <c r="BJ293" s="233"/>
      <c r="BK293" s="233"/>
      <c r="BL293" s="233"/>
      <c r="BM293" s="233"/>
      <c r="BN293" s="233"/>
      <c r="BO293" s="233"/>
      <c r="BP293" s="233"/>
      <c r="BQ293" s="233"/>
      <c r="BR293" s="233"/>
      <c r="BS293" s="233"/>
      <c r="BT293" s="233"/>
      <c r="BU293" s="233"/>
      <c r="BV293" s="233"/>
      <c r="BW293" s="233"/>
      <c r="BX293" s="233"/>
      <c r="BY293" s="233"/>
      <c r="BZ293" s="233"/>
      <c r="CA293" s="233"/>
      <c r="CB293" s="233"/>
      <c r="CC293" s="233"/>
      <c r="CD293" s="233"/>
      <c r="CE293" s="233"/>
      <c r="CF293" s="233"/>
      <c r="CG293" s="233"/>
      <c r="CH293" s="233"/>
      <c r="CI293" s="233"/>
      <c r="CJ293" s="233"/>
      <c r="CK293" s="233"/>
      <c r="CL293" s="233"/>
      <c r="CM293" s="233"/>
      <c r="CN293" s="233"/>
      <c r="CO293" s="233"/>
    </row>
    <row r="294" spans="1:93" s="100" customFormat="1" ht="13" x14ac:dyDescent="0.3">
      <c r="A294" s="142" t="str">
        <f>Language!AA287</f>
        <v>Lucro Líquido</v>
      </c>
      <c r="B294" s="228">
        <f>B119</f>
        <v>8585</v>
      </c>
      <c r="C294" s="228">
        <f t="shared" ref="C294:AM294" si="1511">C121</f>
        <v>-333</v>
      </c>
      <c r="D294" s="228">
        <f t="shared" si="1511"/>
        <v>-14831</v>
      </c>
      <c r="E294" s="229">
        <f t="shared" si="1511"/>
        <v>28941</v>
      </c>
      <c r="F294" s="228">
        <f t="shared" si="1511"/>
        <v>14981</v>
      </c>
      <c r="G294" s="228">
        <f t="shared" si="1511"/>
        <v>-10391</v>
      </c>
      <c r="H294" s="228">
        <f t="shared" si="1511"/>
        <v>-3803</v>
      </c>
      <c r="I294" s="229">
        <f t="shared" si="1511"/>
        <v>8485</v>
      </c>
      <c r="J294" s="228">
        <f t="shared" si="1511"/>
        <v>14732.499509254994</v>
      </c>
      <c r="K294" s="228">
        <f t="shared" si="1511"/>
        <v>-22552.999999999978</v>
      </c>
      <c r="L294" s="228">
        <f t="shared" si="1511"/>
        <v>4549.8274999999994</v>
      </c>
      <c r="M294" s="229">
        <f t="shared" si="1511"/>
        <v>-98978.827500000014</v>
      </c>
      <c r="N294" s="228">
        <f t="shared" si="1511"/>
        <v>167030</v>
      </c>
      <c r="O294" s="228">
        <f t="shared" si="1511"/>
        <v>-35251</v>
      </c>
      <c r="P294" s="228">
        <f t="shared" si="1511"/>
        <v>-1330</v>
      </c>
      <c r="Q294" s="228">
        <f t="shared" si="1511"/>
        <v>-540419</v>
      </c>
      <c r="R294" s="230">
        <f t="shared" si="1511"/>
        <v>88065</v>
      </c>
      <c r="S294" s="228">
        <f t="shared" si="1511"/>
        <v>-70492</v>
      </c>
      <c r="T294" s="244">
        <f t="shared" si="1511"/>
        <v>-9554</v>
      </c>
      <c r="U294" s="244">
        <f t="shared" si="1511"/>
        <v>59667</v>
      </c>
      <c r="V294" s="244">
        <f t="shared" si="1511"/>
        <v>17573</v>
      </c>
      <c r="W294" s="244">
        <f t="shared" si="1511"/>
        <v>8019</v>
      </c>
      <c r="X294" s="244">
        <f t="shared" si="1511"/>
        <v>67686</v>
      </c>
      <c r="Y294" s="230">
        <f t="shared" si="1511"/>
        <v>-25097</v>
      </c>
      <c r="Z294" s="228">
        <f t="shared" si="1511"/>
        <v>-43993</v>
      </c>
      <c r="AA294" s="244">
        <f t="shared" si="1511"/>
        <v>-55407</v>
      </c>
      <c r="AB294" s="244">
        <f t="shared" si="1511"/>
        <v>-194111</v>
      </c>
      <c r="AC294" s="244">
        <f t="shared" si="1511"/>
        <v>-69090</v>
      </c>
      <c r="AD294" s="244">
        <f t="shared" si="1511"/>
        <v>-124497</v>
      </c>
      <c r="AE294" s="244">
        <f t="shared" si="1511"/>
        <v>-318608</v>
      </c>
      <c r="AF294" s="230">
        <f t="shared" si="1511"/>
        <v>-100964</v>
      </c>
      <c r="AG294" s="228">
        <f t="shared" si="1511"/>
        <v>-464415</v>
      </c>
      <c r="AH294" s="228">
        <f t="shared" si="1511"/>
        <v>-218332</v>
      </c>
      <c r="AI294" s="244">
        <f t="shared" si="1511"/>
        <v>777075</v>
      </c>
      <c r="AJ294" s="244">
        <f t="shared" si="1511"/>
        <v>-565379</v>
      </c>
      <c r="AK294" s="244">
        <f t="shared" si="1511"/>
        <v>-783711</v>
      </c>
      <c r="AL294" s="244">
        <f t="shared" si="1511"/>
        <v>-6636</v>
      </c>
      <c r="AM294" s="230">
        <f t="shared" si="1511"/>
        <v>25795</v>
      </c>
      <c r="AN294" s="228">
        <f t="shared" si="1358"/>
        <v>-40598</v>
      </c>
      <c r="AO294" s="228"/>
      <c r="AP294" s="228">
        <f t="shared" si="1359"/>
        <v>-293188</v>
      </c>
      <c r="AQ294" s="244">
        <f t="shared" ref="AQ294:CI294" si="1512">AQ121</f>
        <v>-14803</v>
      </c>
      <c r="AR294" s="244">
        <f t="shared" si="1512"/>
        <v>-71330</v>
      </c>
      <c r="AS294" s="244">
        <f t="shared" si="1512"/>
        <v>-364518</v>
      </c>
      <c r="AT294" s="230">
        <f t="shared" si="1512"/>
        <v>-67225</v>
      </c>
      <c r="AU294" s="230">
        <f t="shared" si="1512"/>
        <v>-85601</v>
      </c>
      <c r="AV294" s="230">
        <f t="shared" si="1512"/>
        <v>-70409</v>
      </c>
      <c r="AW294" s="230">
        <f t="shared" si="1512"/>
        <v>30610</v>
      </c>
      <c r="AX294" s="230">
        <f t="shared" si="1512"/>
        <v>-152826</v>
      </c>
      <c r="AY294" s="230">
        <f t="shared" si="1512"/>
        <v>-223235</v>
      </c>
      <c r="AZ294" s="230">
        <f t="shared" si="1512"/>
        <v>-192625</v>
      </c>
      <c r="BA294" s="230">
        <f t="shared" si="1512"/>
        <v>-14943</v>
      </c>
      <c r="BB294" s="230">
        <f t="shared" si="1512"/>
        <v>1105</v>
      </c>
      <c r="BC294" s="230">
        <f t="shared" si="1512"/>
        <v>-52909</v>
      </c>
      <c r="BD294" s="230">
        <f t="shared" si="1512"/>
        <v>256099</v>
      </c>
      <c r="BE294" s="230">
        <f t="shared" si="1512"/>
        <v>-13838</v>
      </c>
      <c r="BF294" s="230">
        <f t="shared" si="1512"/>
        <v>-66747</v>
      </c>
      <c r="BG294" s="230">
        <f t="shared" si="1512"/>
        <v>189352</v>
      </c>
      <c r="BH294" s="230">
        <f t="shared" si="1512"/>
        <v>-49023</v>
      </c>
      <c r="BI294" s="230">
        <f t="shared" si="1512"/>
        <v>-4972</v>
      </c>
      <c r="BJ294" s="230">
        <f t="shared" si="1512"/>
        <v>88763</v>
      </c>
      <c r="BK294" s="230">
        <f t="shared" si="1512"/>
        <v>-24218</v>
      </c>
      <c r="BL294" s="230">
        <f t="shared" si="1512"/>
        <v>-53995</v>
      </c>
      <c r="BM294" s="230">
        <f t="shared" si="1512"/>
        <v>34768</v>
      </c>
      <c r="BN294" s="230">
        <f t="shared" si="1512"/>
        <v>10552</v>
      </c>
      <c r="BO294" s="230">
        <f t="shared" si="1512"/>
        <v>-32739</v>
      </c>
      <c r="BP294" s="230">
        <f t="shared" si="1512"/>
        <v>110936</v>
      </c>
      <c r="BQ294" s="230">
        <f t="shared" si="1512"/>
        <v>-56712</v>
      </c>
      <c r="BR294" s="230">
        <f t="shared" si="1512"/>
        <v>-13103</v>
      </c>
      <c r="BS294" s="230">
        <f t="shared" si="1512"/>
        <v>78197</v>
      </c>
      <c r="BT294" s="230">
        <f t="shared" si="1512"/>
        <v>21485</v>
      </c>
      <c r="BU294" s="230">
        <f t="shared" si="1512"/>
        <v>8382</v>
      </c>
      <c r="BV294" s="230">
        <f t="shared" si="1512"/>
        <v>-68845</v>
      </c>
      <c r="BW294" s="230">
        <f t="shared" si="1512"/>
        <v>-55028</v>
      </c>
      <c r="BX294" s="230">
        <f t="shared" si="1512"/>
        <v>108223</v>
      </c>
      <c r="BY294" s="230">
        <f t="shared" si="1512"/>
        <v>7629</v>
      </c>
      <c r="BZ294" s="230">
        <f t="shared" si="1512"/>
        <v>-123873</v>
      </c>
      <c r="CA294" s="230">
        <f t="shared" si="1512"/>
        <v>-15650</v>
      </c>
      <c r="CB294" s="230">
        <f t="shared" si="1512"/>
        <v>-8021</v>
      </c>
      <c r="CC294" s="230">
        <f t="shared" si="1512"/>
        <v>5094</v>
      </c>
      <c r="CD294" s="230">
        <f t="shared" si="1512"/>
        <v>9121</v>
      </c>
      <c r="CE294" s="230">
        <f t="shared" si="1512"/>
        <v>46471</v>
      </c>
      <c r="CF294" s="230">
        <f t="shared" si="1512"/>
        <v>-10284</v>
      </c>
      <c r="CG294" s="230">
        <f t="shared" si="1512"/>
        <v>31087</v>
      </c>
      <c r="CH294" s="230">
        <f t="shared" si="1512"/>
        <v>45872</v>
      </c>
      <c r="CI294" s="230">
        <f t="shared" si="1512"/>
        <v>35588</v>
      </c>
      <c r="CJ294" s="230">
        <v>-10308</v>
      </c>
      <c r="CK294" s="230">
        <f t="shared" ref="CK294:CO294" si="1513">CK121</f>
        <v>-36821</v>
      </c>
      <c r="CL294" s="230">
        <f t="shared" si="1513"/>
        <v>0</v>
      </c>
      <c r="CM294" s="230">
        <f t="shared" si="1513"/>
        <v>0</v>
      </c>
      <c r="CN294" s="230">
        <f t="shared" si="1513"/>
        <v>-47129</v>
      </c>
      <c r="CO294" s="230">
        <f t="shared" si="1513"/>
        <v>0</v>
      </c>
    </row>
    <row r="295" spans="1:93" s="100" customFormat="1" ht="13" x14ac:dyDescent="0.3">
      <c r="A295" s="160" t="str">
        <f>Language!AA288</f>
        <v>Concessões Rodoviárias</v>
      </c>
      <c r="B295" s="231">
        <f>SUM(B296:B298)</f>
        <v>27125</v>
      </c>
      <c r="C295" s="231">
        <f t="shared" ref="C295:L295" si="1514">SUM(C296:C298)</f>
        <v>16176</v>
      </c>
      <c r="D295" s="231">
        <f t="shared" si="1514"/>
        <v>20055</v>
      </c>
      <c r="E295" s="232">
        <f t="shared" si="1514"/>
        <v>37484</v>
      </c>
      <c r="F295" s="231">
        <f t="shared" si="1514"/>
        <v>33401</v>
      </c>
      <c r="G295" s="231">
        <f t="shared" si="1514"/>
        <v>21559</v>
      </c>
      <c r="H295" s="231">
        <f t="shared" si="1514"/>
        <v>30673</v>
      </c>
      <c r="I295" s="232">
        <f t="shared" si="1514"/>
        <v>41345</v>
      </c>
      <c r="J295" s="231">
        <f t="shared" si="1514"/>
        <v>48932</v>
      </c>
      <c r="K295" s="231">
        <f t="shared" si="1514"/>
        <v>22354</v>
      </c>
      <c r="L295" s="231">
        <f t="shared" si="1514"/>
        <v>30891</v>
      </c>
      <c r="M295" s="232">
        <f t="shared" ref="M295" si="1515">SUM(M296:M298)</f>
        <v>39769</v>
      </c>
      <c r="N295" s="231">
        <f>SUM(N296:N300)</f>
        <v>36467</v>
      </c>
      <c r="O295" s="231">
        <f t="shared" ref="O295:Q295" si="1516">SUM(O296:O300)</f>
        <v>40698</v>
      </c>
      <c r="P295" s="231">
        <f t="shared" si="1516"/>
        <v>62121</v>
      </c>
      <c r="Q295" s="231">
        <f t="shared" si="1516"/>
        <v>29232</v>
      </c>
      <c r="R295" s="233">
        <f t="shared" ref="R295:W295" si="1517">SUM(R296:R301)</f>
        <v>114863</v>
      </c>
      <c r="S295" s="231">
        <f t="shared" si="1517"/>
        <v>16815</v>
      </c>
      <c r="T295" s="234">
        <f t="shared" si="1517"/>
        <v>44619</v>
      </c>
      <c r="U295" s="234">
        <f t="shared" si="1517"/>
        <v>-37668</v>
      </c>
      <c r="V295" s="234">
        <f t="shared" ref="V295" si="1518">SUM(V296:V301)</f>
        <v>208024</v>
      </c>
      <c r="W295" s="234">
        <f t="shared" si="1517"/>
        <v>176297</v>
      </c>
      <c r="X295" s="234">
        <f>SUM(X296:X301)</f>
        <v>138629</v>
      </c>
      <c r="Y295" s="233">
        <f>SUM(Y296:Y301)</f>
        <v>-1746</v>
      </c>
      <c r="Z295" s="231">
        <f>SUM(Z296:Z301)</f>
        <v>-21268</v>
      </c>
      <c r="AA295" s="234">
        <f t="shared" ref="AA295:AB295" si="1519">SUM(AA296:AA301)</f>
        <v>-13765</v>
      </c>
      <c r="AB295" s="234">
        <f t="shared" si="1519"/>
        <v>-142819</v>
      </c>
      <c r="AC295" s="234">
        <f>SUM(AC296:AC301)</f>
        <v>-23014</v>
      </c>
      <c r="AD295" s="234">
        <f>SUM(AD296:AD301)</f>
        <v>-36779</v>
      </c>
      <c r="AE295" s="234">
        <f t="shared" ref="AE295:AF295" si="1520">SUM(AE296:AE301)</f>
        <v>-179598</v>
      </c>
      <c r="AF295" s="233">
        <f t="shared" si="1520"/>
        <v>-35457</v>
      </c>
      <c r="AG295" s="231">
        <f>SUM(AG296:AG301)</f>
        <v>-61735.999999999985</v>
      </c>
      <c r="AH295" s="231">
        <f>SUM(AH296:AH301)</f>
        <v>-97192.999999999971</v>
      </c>
      <c r="AI295" s="234">
        <f t="shared" ref="AI295" si="1521">SUM(AI296:AI301)</f>
        <v>-102379.77887180785</v>
      </c>
      <c r="AJ295" s="234">
        <f>SUM(AJ296:AJ301)</f>
        <v>-97192.999999999971</v>
      </c>
      <c r="AK295" s="234">
        <f>SUM(AK296:AK301)</f>
        <v>-102379.77887180785</v>
      </c>
      <c r="AL295" s="234">
        <f>SUM(AL296:AL301)</f>
        <v>-358041.99999999994</v>
      </c>
      <c r="AM295" s="233">
        <f>SUM(AM296:AM301)</f>
        <v>21354.444494382027</v>
      </c>
      <c r="AN295" s="231">
        <f t="shared" si="1358"/>
        <v>-31485.297031756141</v>
      </c>
      <c r="AO295" s="231"/>
      <c r="AP295" s="231">
        <f t="shared" si="1359"/>
        <v>-250710.99999999994</v>
      </c>
      <c r="AQ295" s="234">
        <f>SUM(AQ296:AQ301)</f>
        <v>-10130.852537374114</v>
      </c>
      <c r="AR295" s="234">
        <f t="shared" ref="AR295:AY295" si="1522">SUM(AR296:AR302)</f>
        <v>-34026.000000000007</v>
      </c>
      <c r="AS295" s="234">
        <f t="shared" si="1522"/>
        <v>-284736.99999999994</v>
      </c>
      <c r="AT295" s="233">
        <f t="shared" si="1522"/>
        <v>-66184.071660240006</v>
      </c>
      <c r="AU295" s="233">
        <f t="shared" si="1522"/>
        <v>-99905.955979842562</v>
      </c>
      <c r="AV295" s="233">
        <f t="shared" si="1522"/>
        <v>-53691.792100000006</v>
      </c>
      <c r="AW295" s="233">
        <f t="shared" ref="AW295" si="1523">SUM(AW296:AW302)</f>
        <v>42588.111200000028</v>
      </c>
      <c r="AX295" s="233">
        <f t="shared" si="1522"/>
        <v>-165011.97333316802</v>
      </c>
      <c r="AY295" s="233">
        <f t="shared" si="1522"/>
        <v>-218958.76543316801</v>
      </c>
      <c r="AZ295" s="233">
        <f t="shared" ref="AZ295:BA295" si="1524">SUM(AZ296:AZ302)</f>
        <v>-176370.654233168</v>
      </c>
      <c r="BA295" s="233">
        <f t="shared" si="1524"/>
        <v>-13425</v>
      </c>
      <c r="BB295" s="233">
        <f t="shared" ref="BB295:BC295" si="1525">SUM(BB296:BB302)</f>
        <v>-613</v>
      </c>
      <c r="BC295" s="233">
        <f t="shared" si="1525"/>
        <v>-54132</v>
      </c>
      <c r="BD295" s="233">
        <f t="shared" ref="BD295:BE295" si="1526">SUM(BD296:BD302)</f>
        <v>159981</v>
      </c>
      <c r="BE295" s="233">
        <f t="shared" si="1526"/>
        <v>-14038</v>
      </c>
      <c r="BF295" s="233">
        <f t="shared" ref="BF295:BG295" si="1527">SUM(BF296:BF302)</f>
        <v>-68170</v>
      </c>
      <c r="BG295" s="233">
        <f t="shared" si="1527"/>
        <v>91811</v>
      </c>
      <c r="BH295" s="233">
        <f t="shared" ref="BH295:BL295" si="1528">SUM(BH296:BH302)</f>
        <v>-47405</v>
      </c>
      <c r="BI295" s="233">
        <f t="shared" si="1528"/>
        <v>-29045</v>
      </c>
      <c r="BJ295" s="233">
        <f t="shared" si="1528"/>
        <v>81243</v>
      </c>
      <c r="BK295" s="233">
        <f t="shared" si="1528"/>
        <v>-43501</v>
      </c>
      <c r="BL295" s="233">
        <f t="shared" si="1528"/>
        <v>-76450</v>
      </c>
      <c r="BM295" s="233">
        <f t="shared" ref="BM295:BN295" si="1529">SUM(BM296:BM302)</f>
        <v>4793</v>
      </c>
      <c r="BN295" s="233">
        <f t="shared" si="1529"/>
        <v>-38708</v>
      </c>
      <c r="BO295" s="233">
        <f t="shared" ref="BO295:BP295" si="1530">SUM(BO296:BO302)</f>
        <v>-35436</v>
      </c>
      <c r="BP295" s="233">
        <f t="shared" si="1530"/>
        <v>-195728.51533350305</v>
      </c>
      <c r="BQ295" s="233">
        <f t="shared" ref="BQ295:BS295" si="1531">SUM(BQ296:BQ302)</f>
        <v>-64199.757666751524</v>
      </c>
      <c r="BR295" s="233">
        <f t="shared" si="1531"/>
        <v>-24039.757666751524</v>
      </c>
      <c r="BS295" s="233">
        <f t="shared" si="1531"/>
        <v>72802.484666496952</v>
      </c>
      <c r="BT295" s="233">
        <f t="shared" ref="BT295:BU295" si="1532">SUM(BT296:BT302)</f>
        <v>8602.7269997454332</v>
      </c>
      <c r="BU295" s="233">
        <f t="shared" si="1532"/>
        <v>-15437.030667006089</v>
      </c>
      <c r="BV295" s="233">
        <f t="shared" ref="BV295" si="1533">SUM(BV296:BV302)</f>
        <v>-74828.0985792547</v>
      </c>
      <c r="BW295" s="233">
        <f>SUM(BW296:BW302)</f>
        <v>-63959.543956972986</v>
      </c>
      <c r="BX295" s="233">
        <f t="shared" ref="BX295:BZ295" si="1534">SUM(BX296:BX302)</f>
        <v>104402.67873188616</v>
      </c>
      <c r="BY295" s="233">
        <f t="shared" si="1534"/>
        <v>12226.678731886153</v>
      </c>
      <c r="BZ295" s="233">
        <f t="shared" si="1534"/>
        <v>-137307.64253622768</v>
      </c>
      <c r="CA295" s="233">
        <f t="shared" ref="CA295:CB295" si="1535">SUM(CA296:CA302)</f>
        <v>-32904.96380434154</v>
      </c>
      <c r="CB295" s="233">
        <f t="shared" si="1535"/>
        <v>-20678.285072455383</v>
      </c>
      <c r="CC295" s="233">
        <f t="shared" ref="CC295:CD295" si="1536">SUM(CC296:CC302)</f>
        <v>-14692.317476302173</v>
      </c>
      <c r="CD295" s="233">
        <f t="shared" si="1536"/>
        <v>353.56083480570214</v>
      </c>
      <c r="CE295" s="233">
        <f t="shared" ref="CE295:CG295" si="1537">SUM(CE296:CE302)</f>
        <v>39107.756641496468</v>
      </c>
      <c r="CF295" s="233">
        <f t="shared" si="1537"/>
        <v>-60939</v>
      </c>
      <c r="CG295" s="233">
        <f t="shared" si="1537"/>
        <v>-14338.756641496469</v>
      </c>
      <c r="CH295" s="233">
        <f t="shared" ref="CH295:CI295" si="1538">SUM(CH296:CH302)</f>
        <v>24769</v>
      </c>
      <c r="CI295" s="233">
        <f t="shared" si="1538"/>
        <v>-36170</v>
      </c>
      <c r="CJ295" s="233">
        <v>-17531</v>
      </c>
      <c r="CK295" s="233">
        <f t="shared" ref="CK295:CO295" si="1539">SUM(CK296:CK302)</f>
        <v>-40298</v>
      </c>
      <c r="CL295" s="233">
        <f t="shared" si="1539"/>
        <v>0</v>
      </c>
      <c r="CM295" s="233">
        <f t="shared" si="1539"/>
        <v>0</v>
      </c>
      <c r="CN295" s="233">
        <f t="shared" si="1539"/>
        <v>-57829</v>
      </c>
      <c r="CO295" s="233">
        <f t="shared" si="1539"/>
        <v>0</v>
      </c>
    </row>
    <row r="296" spans="1:93" s="92" customFormat="1" x14ac:dyDescent="0.25">
      <c r="A296" s="164" t="str">
        <f>Language!AA289</f>
        <v>Concepa</v>
      </c>
      <c r="B296" s="235">
        <f>'Toll Roads'!B285</f>
        <v>13335</v>
      </c>
      <c r="C296" s="235">
        <f>'Toll Roads'!C285</f>
        <v>5245</v>
      </c>
      <c r="D296" s="235">
        <f>'Toll Roads'!D285</f>
        <v>7864</v>
      </c>
      <c r="E296" s="236">
        <f>'Toll Roads'!E285</f>
        <v>15805</v>
      </c>
      <c r="F296" s="235">
        <f>'Toll Roads'!F285</f>
        <v>17488</v>
      </c>
      <c r="G296" s="235">
        <f>'Toll Roads'!G285</f>
        <v>3247</v>
      </c>
      <c r="H296" s="235">
        <f>'Toll Roads'!H285</f>
        <v>9165</v>
      </c>
      <c r="I296" s="236">
        <f>'Toll Roads'!I285</f>
        <v>16580</v>
      </c>
      <c r="J296" s="235">
        <f>'Toll Roads'!J285</f>
        <v>22508</v>
      </c>
      <c r="K296" s="235">
        <f>'Toll Roads'!K285</f>
        <v>9188</v>
      </c>
      <c r="L296" s="235">
        <f>'Toll Roads'!L285</f>
        <v>10284</v>
      </c>
      <c r="M296" s="236">
        <f>'Toll Roads'!M285</f>
        <v>20720</v>
      </c>
      <c r="N296" s="235">
        <f>'Toll Roads'!N285</f>
        <v>21242</v>
      </c>
      <c r="O296" s="235">
        <f>'Toll Roads'!O285</f>
        <v>8618</v>
      </c>
      <c r="P296" s="235">
        <f>'Toll Roads'!P285</f>
        <v>19176</v>
      </c>
      <c r="Q296" s="235">
        <f>'Toll Roads'!Q285</f>
        <v>35718</v>
      </c>
      <c r="R296" s="237">
        <f>'Toll Roads'!R285</f>
        <v>41402</v>
      </c>
      <c r="S296" s="235">
        <f>'Toll Roads'!S285</f>
        <v>21897</v>
      </c>
      <c r="T296" s="238">
        <f>'Toll Roads'!T285</f>
        <v>15601</v>
      </c>
      <c r="U296" s="238">
        <f>'Toll Roads'!U285</f>
        <v>-17851</v>
      </c>
      <c r="V296" s="238">
        <f>'Toll Roads'!V285</f>
        <v>84285</v>
      </c>
      <c r="W296" s="238">
        <f>'Toll Roads'!W285</f>
        <v>78900</v>
      </c>
      <c r="X296" s="238">
        <f>'Toll Roads'!X285</f>
        <v>61049</v>
      </c>
      <c r="Y296" s="237">
        <f>'Toll Roads'!Y285</f>
        <v>13836</v>
      </c>
      <c r="Z296" s="235">
        <f>'Toll Roads'!Z285</f>
        <v>3678</v>
      </c>
      <c r="AA296" s="238">
        <f>'Toll Roads'!AA285</f>
        <v>9550</v>
      </c>
      <c r="AB296" s="238">
        <f>'Toll Roads'!AB285</f>
        <v>3184</v>
      </c>
      <c r="AC296" s="238">
        <f>'Toll Roads'!AC285</f>
        <v>17514</v>
      </c>
      <c r="AD296" s="238">
        <f>'Toll Roads'!AD285</f>
        <v>27064</v>
      </c>
      <c r="AE296" s="238">
        <f>'Toll Roads'!AE285</f>
        <v>30248</v>
      </c>
      <c r="AF296" s="237">
        <f>'Toll Roads'!AF285</f>
        <v>20982.340641239178</v>
      </c>
      <c r="AG296" s="235">
        <f>'Toll Roads'!AG285</f>
        <v>-6691.1186479437692</v>
      </c>
      <c r="AH296" s="235">
        <f>'Toll Roads'!AJ285</f>
        <v>14291.221993295409</v>
      </c>
      <c r="AI296" s="238">
        <f>'Toll Roads'!AK285</f>
        <v>14834.516691473887</v>
      </c>
      <c r="AJ296" s="238">
        <f>'Toll Roads'!AJ285</f>
        <v>14291.221993295409</v>
      </c>
      <c r="AK296" s="238">
        <f>'Toll Roads'!AK285</f>
        <v>14834.516691473887</v>
      </c>
      <c r="AL296" s="238">
        <f>'Toll Roads'!AL285</f>
        <v>-243437.79027380765</v>
      </c>
      <c r="AM296" s="237">
        <f>'Toll Roads'!AM285</f>
        <v>37309.371980081181</v>
      </c>
      <c r="AN296" s="235">
        <f t="shared" si="1358"/>
        <v>9506.7299587855814</v>
      </c>
      <c r="AO296" s="235"/>
      <c r="AP296" s="235">
        <f t="shared" si="1359"/>
        <v>-2473.5234619233015</v>
      </c>
      <c r="AQ296" s="238">
        <f>'Toll Roads'!AQ285</f>
        <v>46816.101938866763</v>
      </c>
      <c r="AR296" s="238">
        <f>'Toll Roads'!AR285</f>
        <v>16142.283569970366</v>
      </c>
      <c r="AS296" s="238">
        <f>'Toll Roads'!AS285</f>
        <v>13668.760108047065</v>
      </c>
      <c r="AT296" s="237">
        <f>'Toll Roads'!AT285</f>
        <v>0</v>
      </c>
      <c r="AU296" s="237">
        <f>'Toll Roads'!AU285</f>
        <v>-7164.0543069145524</v>
      </c>
      <c r="AV296" s="237">
        <f>'Toll Roads'!AV285</f>
        <v>-1171</v>
      </c>
      <c r="AW296" s="237">
        <f>'Toll Roads'!AW285</f>
        <v>8341</v>
      </c>
      <c r="AX296" s="237">
        <f>'Toll Roads'!AX285</f>
        <v>-7170</v>
      </c>
      <c r="AY296" s="237">
        <f>'Toll Roads'!AY285</f>
        <v>-8341</v>
      </c>
      <c r="AZ296" s="237">
        <f>'Toll Roads'!AZ285</f>
        <v>0</v>
      </c>
      <c r="BA296" s="237">
        <f>'Toll Roads'!BA285</f>
        <v>0</v>
      </c>
      <c r="BB296" s="237">
        <f>'Toll Roads'!BB285</f>
        <v>0</v>
      </c>
      <c r="BC296" s="237">
        <f>'Toll Roads'!BC285</f>
        <v>0</v>
      </c>
      <c r="BD296" s="237">
        <f>'Toll Roads'!BD285</f>
        <v>0</v>
      </c>
      <c r="BE296" s="237">
        <f>'Toll Roads'!BE285</f>
        <v>0</v>
      </c>
      <c r="BF296" s="237">
        <f>'Toll Roads'!BF285</f>
        <v>0</v>
      </c>
      <c r="BG296" s="237">
        <f>'Toll Roads'!BG285</f>
        <v>0</v>
      </c>
      <c r="BH296" s="237">
        <f>'Toll Roads'!BH285</f>
        <v>0</v>
      </c>
      <c r="BI296" s="237">
        <f>'Toll Roads'!BI285</f>
        <v>0</v>
      </c>
      <c r="BJ296" s="237">
        <f>'Toll Roads'!BJ285</f>
        <v>0</v>
      </c>
      <c r="BK296" s="237">
        <f>'Toll Roads'!BK285</f>
        <v>0</v>
      </c>
      <c r="BL296" s="237">
        <f>'Toll Roads'!BL285</f>
        <v>0</v>
      </c>
      <c r="BM296" s="237">
        <f>'Toll Roads'!BM285</f>
        <v>0</v>
      </c>
      <c r="BN296" s="237">
        <f>'Toll Roads'!BN285</f>
        <v>0</v>
      </c>
      <c r="BO296" s="237">
        <f>'Toll Roads'!BO285</f>
        <v>0</v>
      </c>
      <c r="BP296" s="237">
        <f>'Toll Roads'!BP285</f>
        <v>0</v>
      </c>
      <c r="BQ296" s="237">
        <f>'Toll Roads'!BQ285</f>
        <v>0</v>
      </c>
      <c r="BR296" s="237">
        <f>'Toll Roads'!BR285</f>
        <v>0</v>
      </c>
      <c r="BS296" s="237">
        <f>'Toll Roads'!BS285</f>
        <v>0</v>
      </c>
      <c r="BT296" s="237">
        <f>'Toll Roads'!BT285</f>
        <v>0</v>
      </c>
      <c r="BU296" s="237">
        <f>'Toll Roads'!BU285</f>
        <v>0</v>
      </c>
      <c r="BV296" s="237">
        <f>'Toll Roads'!BV285</f>
        <v>0</v>
      </c>
      <c r="BW296" s="237">
        <f>'Toll Roads'!BW285</f>
        <v>0</v>
      </c>
      <c r="BX296" s="237">
        <f>'Toll Roads'!BX285</f>
        <v>0</v>
      </c>
      <c r="BY296" s="237">
        <f>'Toll Roads'!BY285</f>
        <v>0</v>
      </c>
      <c r="BZ296" s="237">
        <f>'Toll Roads'!BZ285</f>
        <v>0</v>
      </c>
      <c r="CA296" s="237">
        <f>'Toll Roads'!CA285</f>
        <v>0</v>
      </c>
      <c r="CB296" s="237">
        <f>'Toll Roads'!CB285</f>
        <v>0</v>
      </c>
      <c r="CC296" s="237">
        <f>'Toll Roads'!CC285</f>
        <v>0</v>
      </c>
      <c r="CD296" s="237">
        <f>'Toll Roads'!CD285</f>
        <v>0</v>
      </c>
      <c r="CE296" s="237">
        <f>'Toll Roads'!CE285</f>
        <v>0</v>
      </c>
      <c r="CF296" s="237">
        <f>'Toll Roads'!CF285</f>
        <v>0</v>
      </c>
      <c r="CG296" s="237">
        <f>'Toll Roads'!CG285</f>
        <v>0</v>
      </c>
      <c r="CH296" s="237">
        <f>'Toll Roads'!CH285</f>
        <v>0</v>
      </c>
      <c r="CI296" s="237">
        <f>'Toll Roads'!CI285</f>
        <v>0</v>
      </c>
      <c r="CJ296" s="237">
        <v>0</v>
      </c>
      <c r="CK296" s="237">
        <f>'Toll Roads'!CK285</f>
        <v>0</v>
      </c>
      <c r="CL296" s="237">
        <f>'Toll Roads'!CL285</f>
        <v>0</v>
      </c>
      <c r="CM296" s="237">
        <f>'Toll Roads'!CM285</f>
        <v>0</v>
      </c>
      <c r="CN296" s="237">
        <f>'Toll Roads'!CN285</f>
        <v>0</v>
      </c>
      <c r="CO296" s="237">
        <f>'Toll Roads'!CO285</f>
        <v>0</v>
      </c>
    </row>
    <row r="297" spans="1:93" s="92" customFormat="1" x14ac:dyDescent="0.25">
      <c r="A297" s="164" t="str">
        <f>Language!AA290</f>
        <v>Concer</v>
      </c>
      <c r="B297" s="235">
        <f>'Toll Roads'!B286</f>
        <v>6226</v>
      </c>
      <c r="C297" s="235">
        <f>'Toll Roads'!C286</f>
        <v>5101</v>
      </c>
      <c r="D297" s="235">
        <f>'Toll Roads'!D286</f>
        <v>6413</v>
      </c>
      <c r="E297" s="236">
        <f>'Toll Roads'!E286</f>
        <v>12289</v>
      </c>
      <c r="F297" s="235">
        <f>'Toll Roads'!F286</f>
        <v>6498</v>
      </c>
      <c r="G297" s="235">
        <f>'Toll Roads'!G286</f>
        <v>7146</v>
      </c>
      <c r="H297" s="235">
        <f>'Toll Roads'!H286</f>
        <v>9102</v>
      </c>
      <c r="I297" s="236">
        <f>'Toll Roads'!I286</f>
        <v>10790</v>
      </c>
      <c r="J297" s="235">
        <f>'Toll Roads'!J286</f>
        <v>11773</v>
      </c>
      <c r="K297" s="235">
        <f>'Toll Roads'!K286</f>
        <v>4153</v>
      </c>
      <c r="L297" s="235">
        <f>'Toll Roads'!L286</f>
        <v>8800</v>
      </c>
      <c r="M297" s="236">
        <f>'Toll Roads'!M286</f>
        <v>7764</v>
      </c>
      <c r="N297" s="235">
        <f>'Toll Roads'!N286</f>
        <v>4469</v>
      </c>
      <c r="O297" s="235">
        <f>'Toll Roads'!O286</f>
        <v>21860</v>
      </c>
      <c r="P297" s="235">
        <f>'Toll Roads'!P286</f>
        <v>35015</v>
      </c>
      <c r="Q297" s="235">
        <f>'Toll Roads'!Q286</f>
        <v>-20049</v>
      </c>
      <c r="R297" s="237">
        <f>'Toll Roads'!R286</f>
        <v>72943</v>
      </c>
      <c r="S297" s="235">
        <f>'Toll Roads'!S286</f>
        <v>2427</v>
      </c>
      <c r="T297" s="238">
        <f>'Toll Roads'!T286</f>
        <v>15716</v>
      </c>
      <c r="U297" s="238">
        <f>'Toll Roads'!U286</f>
        <v>1667</v>
      </c>
      <c r="V297" s="238">
        <f>'Toll Roads'!V286</f>
        <v>123119</v>
      </c>
      <c r="W297" s="238">
        <f>'Toll Roads'!W286</f>
        <v>91086</v>
      </c>
      <c r="X297" s="238">
        <f>'Toll Roads'!X286</f>
        <v>92753</v>
      </c>
      <c r="Y297" s="237">
        <f>'Toll Roads'!Y286</f>
        <v>-3427</v>
      </c>
      <c r="Z297" s="235">
        <f>'Toll Roads'!Z286</f>
        <v>-7651</v>
      </c>
      <c r="AA297" s="238">
        <f>'Toll Roads'!AA286</f>
        <v>-7870</v>
      </c>
      <c r="AB297" s="238">
        <f>'Toll Roads'!AB286</f>
        <v>-9282</v>
      </c>
      <c r="AC297" s="238">
        <f>'Toll Roads'!AC286</f>
        <v>-11078</v>
      </c>
      <c r="AD297" s="238">
        <f>'Toll Roads'!AD286</f>
        <v>-18948</v>
      </c>
      <c r="AE297" s="238">
        <f>'Toll Roads'!AE286</f>
        <v>-28230</v>
      </c>
      <c r="AF297" s="237">
        <f>'Toll Roads'!AF286</f>
        <v>-10337.176875738052</v>
      </c>
      <c r="AG297" s="235">
        <f>'Toll Roads'!AG286</f>
        <v>-8538.6998775711654</v>
      </c>
      <c r="AH297" s="235">
        <f>'Toll Roads'!AJ286</f>
        <v>-18875.876753309218</v>
      </c>
      <c r="AI297" s="238">
        <f>'Toll Roads'!AK286</f>
        <v>-25820.227586154502</v>
      </c>
      <c r="AJ297" s="238">
        <f>'Toll Roads'!AJ286</f>
        <v>-18875.876753309218</v>
      </c>
      <c r="AK297" s="238">
        <f>'Toll Roads'!AK286</f>
        <v>-25820.227586154502</v>
      </c>
      <c r="AL297" s="238">
        <f>'Toll Roads'!AL286</f>
        <v>-18300.816104657948</v>
      </c>
      <c r="AM297" s="237">
        <f>'Toll Roads'!AM286</f>
        <v>-3643.575275930998</v>
      </c>
      <c r="AN297" s="235">
        <f t="shared" si="1358"/>
        <v>-19530.114961509607</v>
      </c>
      <c r="AO297" s="235"/>
      <c r="AP297" s="235">
        <f t="shared" si="1359"/>
        <v>-9102.7096455521496</v>
      </c>
      <c r="AQ297" s="238">
        <f>'Toll Roads'!AQ286</f>
        <v>-23173.690237440605</v>
      </c>
      <c r="AR297" s="238">
        <f>'Toll Roads'!AR286</f>
        <v>-24374.608441539767</v>
      </c>
      <c r="AS297" s="238">
        <f>'Toll Roads'!AS286</f>
        <v>-33477.318087091917</v>
      </c>
      <c r="AT297" s="237">
        <f>'Toll Roads'!AT286</f>
        <v>-22925.071660239999</v>
      </c>
      <c r="AU297" s="237">
        <f>'Toll Roads'!AU286</f>
        <v>-24231.901672928012</v>
      </c>
      <c r="AV297" s="237">
        <f>'Toll Roads'!AV286</f>
        <v>-27496.792100000006</v>
      </c>
      <c r="AW297" s="237">
        <f>'Toll Roads'!AW286</f>
        <v>-26071.888799999972</v>
      </c>
      <c r="AX297" s="237">
        <f>'Toll Roads'!AX286</f>
        <v>-47156.973333168018</v>
      </c>
      <c r="AY297" s="237">
        <f>'Toll Roads'!AY286</f>
        <v>-74653.76543316801</v>
      </c>
      <c r="AZ297" s="237">
        <f>'Toll Roads'!AZ286</f>
        <v>-100725.65423316798</v>
      </c>
      <c r="BA297" s="237">
        <f>'Toll Roads'!BA286</f>
        <v>-23500</v>
      </c>
      <c r="BB297" s="237">
        <f>'Toll Roads'!BB286</f>
        <v>-22792</v>
      </c>
      <c r="BC297" s="237">
        <f>'Toll Roads'!BC286</f>
        <v>-39633</v>
      </c>
      <c r="BD297" s="237">
        <f>'Toll Roads'!BD286</f>
        <v>-7741</v>
      </c>
      <c r="BE297" s="237">
        <f>'Toll Roads'!BE286</f>
        <v>-46292</v>
      </c>
      <c r="BF297" s="237">
        <f>'Toll Roads'!BF286</f>
        <v>-85925</v>
      </c>
      <c r="BG297" s="237">
        <f>'Toll Roads'!BG286</f>
        <v>-93666</v>
      </c>
      <c r="BH297" s="237">
        <f>'Toll Roads'!BH286</f>
        <v>-38252</v>
      </c>
      <c r="BI297" s="237">
        <f>'Toll Roads'!BI286</f>
        <v>-18325</v>
      </c>
      <c r="BJ297" s="237">
        <f>'Toll Roads'!BJ286</f>
        <v>32897</v>
      </c>
      <c r="BK297" s="237">
        <f>'Toll Roads'!BK286</f>
        <v>-1417</v>
      </c>
      <c r="BL297" s="237">
        <f>'Toll Roads'!BL286</f>
        <v>-56577</v>
      </c>
      <c r="BM297" s="237">
        <f>'Toll Roads'!BM286</f>
        <v>-23680</v>
      </c>
      <c r="BN297" s="237">
        <f>'Toll Roads'!BN286</f>
        <v>-25097</v>
      </c>
      <c r="BO297" s="237">
        <f>'Toll Roads'!BO286</f>
        <v>-4250</v>
      </c>
      <c r="BP297" s="237">
        <f>'Toll Roads'!BP286</f>
        <v>-4798</v>
      </c>
      <c r="BQ297" s="237">
        <f>'Toll Roads'!BQ286</f>
        <v>-349</v>
      </c>
      <c r="BR297" s="237">
        <f>'Toll Roads'!BR286</f>
        <v>227</v>
      </c>
      <c r="BS297" s="237">
        <f>'Toll Roads'!BS286</f>
        <v>-9048</v>
      </c>
      <c r="BT297" s="237">
        <f>'Toll Roads'!BT286</f>
        <v>-9397</v>
      </c>
      <c r="BU297" s="237">
        <f>'Toll Roads'!BU286</f>
        <v>-9170</v>
      </c>
      <c r="BV297" s="237">
        <f>'Toll Roads'!BV286</f>
        <v>-1311</v>
      </c>
      <c r="BW297" s="237">
        <f>'Toll Roads'!BW286</f>
        <v>-2719</v>
      </c>
      <c r="BX297" s="237">
        <f>'Toll Roads'!BX286</f>
        <v>-4284</v>
      </c>
      <c r="BY297" s="237">
        <f>'Toll Roads'!BY286</f>
        <v>-4411</v>
      </c>
      <c r="BZ297" s="237">
        <f>'Toll Roads'!BZ286</f>
        <v>-2550</v>
      </c>
      <c r="CA297" s="237">
        <f>'Toll Roads'!CA286</f>
        <v>-6834</v>
      </c>
      <c r="CB297" s="237">
        <f>'Toll Roads'!CB286</f>
        <v>-11245</v>
      </c>
      <c r="CC297" s="237">
        <f>'Toll Roads'!CC286</f>
        <v>8446</v>
      </c>
      <c r="CD297" s="237">
        <f>'Toll Roads'!CD286</f>
        <v>-325</v>
      </c>
      <c r="CE297" s="237">
        <f>'Toll Roads'!CE286</f>
        <v>-9515</v>
      </c>
      <c r="CF297" s="237">
        <f>'Toll Roads'!CF286</f>
        <v>-76457</v>
      </c>
      <c r="CG297" s="237">
        <f>'Toll Roads'!CG286</f>
        <v>8121</v>
      </c>
      <c r="CH297" s="237">
        <f>'Toll Roads'!CH286</f>
        <v>-1394</v>
      </c>
      <c r="CI297" s="237">
        <f>'Toll Roads'!CI286</f>
        <v>-77851</v>
      </c>
      <c r="CJ297" s="237">
        <v>-2960</v>
      </c>
      <c r="CK297" s="237">
        <f>'Toll Roads'!CK286</f>
        <v>-18670</v>
      </c>
      <c r="CL297" s="237">
        <f>'Toll Roads'!CL286</f>
        <v>0</v>
      </c>
      <c r="CM297" s="237">
        <f>'Toll Roads'!CM286</f>
        <v>0</v>
      </c>
      <c r="CN297" s="237">
        <f>'Toll Roads'!CN286</f>
        <v>-21630</v>
      </c>
      <c r="CO297" s="237">
        <f>'Toll Roads'!CO286</f>
        <v>0</v>
      </c>
    </row>
    <row r="298" spans="1:93" s="92" customFormat="1" x14ac:dyDescent="0.25">
      <c r="A298" s="164" t="str">
        <f>Language!AA291</f>
        <v>Econorte</v>
      </c>
      <c r="B298" s="235">
        <f>'Toll Roads'!B287</f>
        <v>7564</v>
      </c>
      <c r="C298" s="235">
        <f>'Toll Roads'!C287</f>
        <v>5830</v>
      </c>
      <c r="D298" s="235">
        <f>'Toll Roads'!D287</f>
        <v>5778</v>
      </c>
      <c r="E298" s="236">
        <f>'Toll Roads'!E287</f>
        <v>9390</v>
      </c>
      <c r="F298" s="235">
        <f>'Toll Roads'!F287</f>
        <v>9415</v>
      </c>
      <c r="G298" s="235">
        <f>'Toll Roads'!G287</f>
        <v>11166</v>
      </c>
      <c r="H298" s="235">
        <f>'Toll Roads'!H287</f>
        <v>12406</v>
      </c>
      <c r="I298" s="236">
        <f>'Toll Roads'!I287</f>
        <v>13975</v>
      </c>
      <c r="J298" s="235">
        <f>'Toll Roads'!J287</f>
        <v>14651</v>
      </c>
      <c r="K298" s="235">
        <f>'Toll Roads'!K287</f>
        <v>9013</v>
      </c>
      <c r="L298" s="235">
        <f>'Toll Roads'!L287</f>
        <v>11807</v>
      </c>
      <c r="M298" s="236">
        <f>'Toll Roads'!M287</f>
        <v>11285</v>
      </c>
      <c r="N298" s="235">
        <f>'Toll Roads'!N287</f>
        <v>9913</v>
      </c>
      <c r="O298" s="235">
        <f>'Toll Roads'!O287</f>
        <v>7979</v>
      </c>
      <c r="P298" s="235">
        <f>'Toll Roads'!P287</f>
        <v>7621</v>
      </c>
      <c r="Q298" s="235">
        <f>'Toll Roads'!Q287</f>
        <v>9833</v>
      </c>
      <c r="R298" s="237">
        <f>'Toll Roads'!R287</f>
        <v>7503</v>
      </c>
      <c r="S298" s="235">
        <f>'Toll Roads'!S287</f>
        <v>2786</v>
      </c>
      <c r="T298" s="238">
        <f>'Toll Roads'!T287</f>
        <v>5927</v>
      </c>
      <c r="U298" s="238">
        <f>'Toll Roads'!U287</f>
        <v>2523</v>
      </c>
      <c r="V298" s="238">
        <f>'Toll Roads'!V287</f>
        <v>11006</v>
      </c>
      <c r="W298" s="238">
        <f>'Toll Roads'!W287</f>
        <v>16216</v>
      </c>
      <c r="X298" s="238">
        <f>'Toll Roads'!X287</f>
        <v>18739</v>
      </c>
      <c r="Y298" s="237">
        <f>'Toll Roads'!Y287</f>
        <v>1223</v>
      </c>
      <c r="Z298" s="235">
        <f>'Toll Roads'!Z287</f>
        <v>2946</v>
      </c>
      <c r="AA298" s="238">
        <f>'Toll Roads'!AA287</f>
        <v>3995</v>
      </c>
      <c r="AB298" s="238">
        <f>'Toll Roads'!AB287</f>
        <v>1249</v>
      </c>
      <c r="AC298" s="238">
        <f>'Toll Roads'!AC287</f>
        <v>4169</v>
      </c>
      <c r="AD298" s="238">
        <f>'Toll Roads'!AD287</f>
        <v>8164</v>
      </c>
      <c r="AE298" s="238">
        <f>'Toll Roads'!AE287</f>
        <v>9413</v>
      </c>
      <c r="AF298" s="237">
        <f>'Toll Roads'!AF287</f>
        <v>3113.9242104240348</v>
      </c>
      <c r="AG298" s="235">
        <f>'Toll Roads'!AG287</f>
        <v>3672.6783264147962</v>
      </c>
      <c r="AH298" s="235">
        <f>'Toll Roads'!AJ287</f>
        <v>6786.6025368388309</v>
      </c>
      <c r="AI298" s="238">
        <f>'Toll Roads'!AK287</f>
        <v>12546.833505475281</v>
      </c>
      <c r="AJ298" s="238">
        <f>'Toll Roads'!AJ287</f>
        <v>6786.6025368388309</v>
      </c>
      <c r="AK298" s="238">
        <f>'Toll Roads'!AK287</f>
        <v>12546.833505475281</v>
      </c>
      <c r="AL298" s="238">
        <f>'Toll Roads'!AL287</f>
        <v>20415.079432217113</v>
      </c>
      <c r="AM298" s="237">
        <f>'Toll Roads'!AM287</f>
        <v>1665.5569845167847</v>
      </c>
      <c r="AN298" s="235">
        <f t="shared" si="1358"/>
        <v>1076.3702743043905</v>
      </c>
      <c r="AO298" s="235"/>
      <c r="AP298" s="235">
        <f t="shared" si="1359"/>
        <v>-199337.651768746</v>
      </c>
      <c r="AQ298" s="238">
        <f>'Toll Roads'!AQ287</f>
        <v>2741.9272588211752</v>
      </c>
      <c r="AR298" s="238">
        <f>'Toll Roads'!AR287</f>
        <v>9433.8528838348775</v>
      </c>
      <c r="AS298" s="238">
        <f>'Toll Roads'!AS287</f>
        <v>-189903.79888491111</v>
      </c>
      <c r="AT298" s="237">
        <f>'Toll Roads'!AT287</f>
        <v>-2995</v>
      </c>
      <c r="AU298" s="237">
        <f>'Toll Roads'!AU287</f>
        <v>-3907</v>
      </c>
      <c r="AV298" s="237">
        <f>'Toll Roads'!AV287</f>
        <v>16769</v>
      </c>
      <c r="AW298" s="237">
        <f>'Toll Roads'!AW287</f>
        <v>36450</v>
      </c>
      <c r="AX298" s="237">
        <f>'Toll Roads'!AX287</f>
        <v>-6902</v>
      </c>
      <c r="AY298" s="237">
        <f>'Toll Roads'!AY287</f>
        <v>11129</v>
      </c>
      <c r="AZ298" s="237">
        <f>'Toll Roads'!AZ287</f>
        <v>47579</v>
      </c>
      <c r="BA298" s="237">
        <f>'Toll Roads'!BA287</f>
        <v>16807</v>
      </c>
      <c r="BB298" s="237">
        <f>'Toll Roads'!BB287</f>
        <v>39940</v>
      </c>
      <c r="BC298" s="237">
        <f>'Toll Roads'!BC287</f>
        <v>19576</v>
      </c>
      <c r="BD298" s="237">
        <f>'Toll Roads'!BD287</f>
        <v>20391</v>
      </c>
      <c r="BE298" s="237">
        <f>'Toll Roads'!BE287</f>
        <v>56747</v>
      </c>
      <c r="BF298" s="237">
        <f>'Toll Roads'!BF287</f>
        <v>76323</v>
      </c>
      <c r="BG298" s="237">
        <f>'Toll Roads'!BG287</f>
        <v>96714</v>
      </c>
      <c r="BH298" s="237">
        <f>'Toll Roads'!BH287</f>
        <v>19228</v>
      </c>
      <c r="BI298" s="237">
        <f>'Toll Roads'!BI287</f>
        <v>4311</v>
      </c>
      <c r="BJ298" s="237">
        <f>'Toll Roads'!BJ287</f>
        <v>-7381</v>
      </c>
      <c r="BK298" s="237">
        <f>'Toll Roads'!BK287</f>
        <v>-21795</v>
      </c>
      <c r="BL298" s="237">
        <f>'Toll Roads'!BL287</f>
        <v>23539</v>
      </c>
      <c r="BM298" s="237">
        <f>'Toll Roads'!BM287</f>
        <v>16158</v>
      </c>
      <c r="BN298" s="237">
        <f>'Toll Roads'!BN287</f>
        <v>-5637</v>
      </c>
      <c r="BO298" s="237">
        <f>'Toll Roads'!BO287</f>
        <v>-5962</v>
      </c>
      <c r="BP298" s="237">
        <f>'Toll Roads'!BP287</f>
        <v>-1301</v>
      </c>
      <c r="BQ298" s="237">
        <f>'Toll Roads'!BQ287</f>
        <v>-3020</v>
      </c>
      <c r="BR298" s="237">
        <f>'Toll Roads'!BR287</f>
        <v>-1936</v>
      </c>
      <c r="BS298" s="237">
        <f>'Toll Roads'!BS287</f>
        <v>-7263</v>
      </c>
      <c r="BT298" s="237">
        <f>'Toll Roads'!BT287</f>
        <v>-10283</v>
      </c>
      <c r="BU298" s="237">
        <f>'Toll Roads'!BU287</f>
        <v>-12219</v>
      </c>
      <c r="BV298" s="237">
        <f>'Toll Roads'!BV287</f>
        <v>0</v>
      </c>
      <c r="BW298" s="237">
        <f>'Toll Roads'!BW287</f>
        <v>0</v>
      </c>
      <c r="BX298" s="237">
        <f>'Toll Roads'!BX287</f>
        <v>-24</v>
      </c>
      <c r="BY298" s="237">
        <f>'Toll Roads'!BY287</f>
        <v>-7</v>
      </c>
      <c r="BZ298" s="237">
        <f>'Toll Roads'!BZ287</f>
        <v>0</v>
      </c>
      <c r="CA298" s="237">
        <f>'Toll Roads'!CA287</f>
        <v>-24</v>
      </c>
      <c r="CB298" s="237">
        <f>'Toll Roads'!CB287</f>
        <v>-31</v>
      </c>
      <c r="CC298" s="237">
        <f>'Toll Roads'!CC287</f>
        <v>0</v>
      </c>
      <c r="CD298" s="237">
        <f>'Toll Roads'!CD287</f>
        <v>0</v>
      </c>
      <c r="CE298" s="237">
        <f>'Toll Roads'!CE287</f>
        <v>0</v>
      </c>
      <c r="CF298" s="237">
        <f>'Toll Roads'!CF287</f>
        <v>0</v>
      </c>
      <c r="CG298" s="237">
        <f>'Toll Roads'!CG287</f>
        <v>0</v>
      </c>
      <c r="CH298" s="237">
        <f>'Toll Roads'!CH287</f>
        <v>0</v>
      </c>
      <c r="CI298" s="237">
        <f>'Toll Roads'!CI287</f>
        <v>0</v>
      </c>
      <c r="CJ298" s="237">
        <v>0</v>
      </c>
      <c r="CK298" s="237">
        <f>'Toll Roads'!CK287</f>
        <v>0</v>
      </c>
      <c r="CL298" s="237">
        <f>'Toll Roads'!CL287</f>
        <v>0</v>
      </c>
      <c r="CM298" s="237">
        <f>'Toll Roads'!CM287</f>
        <v>0</v>
      </c>
      <c r="CN298" s="237">
        <f>'Toll Roads'!CN287</f>
        <v>0</v>
      </c>
      <c r="CO298" s="237">
        <f>'Toll Roads'!CO287</f>
        <v>0</v>
      </c>
    </row>
    <row r="299" spans="1:93" s="92" customFormat="1" x14ac:dyDescent="0.25">
      <c r="A299" s="164" t="s">
        <v>76</v>
      </c>
      <c r="B299" s="235">
        <v>0</v>
      </c>
      <c r="C299" s="235">
        <v>0</v>
      </c>
      <c r="D299" s="235">
        <v>0</v>
      </c>
      <c r="E299" s="236">
        <v>0</v>
      </c>
      <c r="F299" s="235">
        <v>0</v>
      </c>
      <c r="G299" s="235">
        <v>0</v>
      </c>
      <c r="H299" s="235">
        <v>0</v>
      </c>
      <c r="I299" s="236">
        <v>0</v>
      </c>
      <c r="J299" s="235">
        <v>0</v>
      </c>
      <c r="K299" s="235">
        <v>0</v>
      </c>
      <c r="L299" s="235">
        <v>0</v>
      </c>
      <c r="M299" s="236">
        <v>0</v>
      </c>
      <c r="N299" s="235">
        <f>'Toll Roads'!N288</f>
        <v>0</v>
      </c>
      <c r="O299" s="235">
        <f>'Toll Roads'!O288</f>
        <v>-20</v>
      </c>
      <c r="P299" s="235">
        <f>'Toll Roads'!P288</f>
        <v>-3</v>
      </c>
      <c r="Q299" s="235">
        <f>'Toll Roads'!Q288</f>
        <v>-1</v>
      </c>
      <c r="R299" s="237">
        <f>'Toll Roads'!R288</f>
        <v>0</v>
      </c>
      <c r="S299" s="235">
        <f>'Toll Roads'!S288</f>
        <v>-20</v>
      </c>
      <c r="T299" s="238">
        <f>'Toll Roads'!T288</f>
        <v>-118</v>
      </c>
      <c r="U299" s="238">
        <f>'Toll Roads'!U288</f>
        <v>-88</v>
      </c>
      <c r="V299" s="238">
        <f>'Toll Roads'!V288</f>
        <v>-20</v>
      </c>
      <c r="W299" s="238">
        <f>'Toll Roads'!W288</f>
        <v>-138</v>
      </c>
      <c r="X299" s="238">
        <f>'Toll Roads'!X288</f>
        <v>-226</v>
      </c>
      <c r="Y299" s="237">
        <f>'Toll Roads'!Y288</f>
        <v>-85</v>
      </c>
      <c r="Z299" s="235">
        <f>'Toll Roads'!Z288</f>
        <v>-13</v>
      </c>
      <c r="AA299" s="238">
        <f>'Toll Roads'!AA288</f>
        <v>-415</v>
      </c>
      <c r="AB299" s="238">
        <f>'Toll Roads'!AB288</f>
        <v>-530</v>
      </c>
      <c r="AC299" s="238">
        <f>'Toll Roads'!AC288</f>
        <v>-98</v>
      </c>
      <c r="AD299" s="238">
        <f>'Toll Roads'!AD288</f>
        <v>-513</v>
      </c>
      <c r="AE299" s="238">
        <f>'Toll Roads'!AE288</f>
        <v>-1043</v>
      </c>
      <c r="AF299" s="237">
        <f>'Toll Roads'!AF288</f>
        <v>-7.9152530006201891</v>
      </c>
      <c r="AG299" s="235">
        <f>'Toll Roads'!AG288</f>
        <v>-65.567139415576833</v>
      </c>
      <c r="AH299" s="235">
        <f>'Toll Roads'!AJ288</f>
        <v>-73.482392416197015</v>
      </c>
      <c r="AI299" s="238">
        <f>'Toll Roads'!AK288</f>
        <v>-72.370069765835467</v>
      </c>
      <c r="AJ299" s="238">
        <f>'Toll Roads'!AJ288</f>
        <v>-73.482392416197015</v>
      </c>
      <c r="AK299" s="238">
        <f>'Toll Roads'!AK288</f>
        <v>-72.370069765835467</v>
      </c>
      <c r="AL299" s="238">
        <f>'Toll Roads'!AL288</f>
        <v>-68</v>
      </c>
      <c r="AM299" s="237">
        <f>'Toll Roads'!AM288</f>
        <v>-8.6184269662921356</v>
      </c>
      <c r="AN299" s="235">
        <f t="shared" si="1358"/>
        <v>-81.671187077021756</v>
      </c>
      <c r="AO299" s="235"/>
      <c r="AP299" s="235">
        <f t="shared" si="1359"/>
        <v>-9.5216494032958536</v>
      </c>
      <c r="AQ299" s="238">
        <f>'Toll Roads'!AQ288</f>
        <v>-90.28961404331389</v>
      </c>
      <c r="AR299" s="238">
        <f>'Toll Roads'!AR288</f>
        <v>-89.872750387350521</v>
      </c>
      <c r="AS299" s="238">
        <f>'Toll Roads'!AS288</f>
        <v>-99.394399790646375</v>
      </c>
      <c r="AT299" s="237">
        <f>'Toll Roads'!AT288</f>
        <v>0</v>
      </c>
      <c r="AU299" s="237">
        <f>'Toll Roads'!AU288</f>
        <v>-55</v>
      </c>
      <c r="AV299" s="237">
        <f>'Toll Roads'!AV288</f>
        <v>-5</v>
      </c>
      <c r="AW299" s="237">
        <f>'Toll Roads'!AW288</f>
        <v>60</v>
      </c>
      <c r="AX299" s="237">
        <f>'Toll Roads'!AX288</f>
        <v>-55</v>
      </c>
      <c r="AY299" s="237">
        <f>'Toll Roads'!AY288</f>
        <v>-60</v>
      </c>
      <c r="AZ299" s="237">
        <f>'Toll Roads'!AZ288</f>
        <v>0</v>
      </c>
      <c r="BA299" s="237">
        <f>'Toll Roads'!BA288</f>
        <v>0</v>
      </c>
      <c r="BB299" s="237">
        <f>'Toll Roads'!BB288</f>
        <v>0</v>
      </c>
      <c r="BC299" s="237">
        <f>'Toll Roads'!BC288</f>
        <v>0</v>
      </c>
      <c r="BD299" s="237">
        <f>'Toll Roads'!BD288</f>
        <v>0</v>
      </c>
      <c r="BE299" s="237">
        <f>'Toll Roads'!BE288</f>
        <v>0</v>
      </c>
      <c r="BF299" s="237">
        <f>'Toll Roads'!BF288</f>
        <v>0</v>
      </c>
      <c r="BG299" s="237">
        <f>'Toll Roads'!BG288</f>
        <v>0</v>
      </c>
      <c r="BH299" s="237">
        <f>'Toll Roads'!BH288</f>
        <v>0</v>
      </c>
      <c r="BI299" s="237">
        <f>'Toll Roads'!BI288</f>
        <v>0</v>
      </c>
      <c r="BJ299" s="237">
        <f>'Toll Roads'!BJ288</f>
        <v>0</v>
      </c>
      <c r="BK299" s="237">
        <f>'Toll Roads'!BK288</f>
        <v>0</v>
      </c>
      <c r="BL299" s="237">
        <f>'Toll Roads'!BL288</f>
        <v>0</v>
      </c>
      <c r="BM299" s="237">
        <f>'Toll Roads'!BM288</f>
        <v>0</v>
      </c>
      <c r="BN299" s="237">
        <f>'Toll Roads'!BN288</f>
        <v>0</v>
      </c>
      <c r="BO299" s="237">
        <f>'Toll Roads'!BO288</f>
        <v>0</v>
      </c>
      <c r="BP299" s="237">
        <f>'Toll Roads'!BP288</f>
        <v>0</v>
      </c>
      <c r="BQ299" s="237">
        <f>'Toll Roads'!BQ288</f>
        <v>0</v>
      </c>
      <c r="BR299" s="237">
        <f>'Toll Roads'!BR288</f>
        <v>0</v>
      </c>
      <c r="BS299" s="237">
        <f>'Toll Roads'!BS288</f>
        <v>0</v>
      </c>
      <c r="BT299" s="237">
        <f>'Toll Roads'!BT288</f>
        <v>0</v>
      </c>
      <c r="BU299" s="237">
        <f>'Toll Roads'!BU288</f>
        <v>0</v>
      </c>
      <c r="BV299" s="237">
        <f>'Toll Roads'!BV288</f>
        <v>0</v>
      </c>
      <c r="BW299" s="237">
        <f>'Toll Roads'!BW288</f>
        <v>0</v>
      </c>
      <c r="BX299" s="237">
        <f>'Toll Roads'!BX288</f>
        <v>0</v>
      </c>
      <c r="BY299" s="237">
        <f>'Toll Roads'!BY288</f>
        <v>0</v>
      </c>
      <c r="BZ299" s="237">
        <f>'Toll Roads'!BZ288</f>
        <v>0</v>
      </c>
      <c r="CA299" s="237">
        <f>'Toll Roads'!CA288</f>
        <v>0</v>
      </c>
      <c r="CB299" s="237">
        <f>'Toll Roads'!CB288</f>
        <v>0</v>
      </c>
      <c r="CC299" s="237">
        <f>'Toll Roads'!CC288</f>
        <v>0</v>
      </c>
      <c r="CD299" s="237">
        <f>'Toll Roads'!CD288</f>
        <v>0</v>
      </c>
      <c r="CE299" s="237">
        <f>'Toll Roads'!CE288</f>
        <v>0</v>
      </c>
      <c r="CF299" s="237">
        <f>'Toll Roads'!CF288</f>
        <v>0</v>
      </c>
      <c r="CG299" s="237">
        <f>'Toll Roads'!CG288</f>
        <v>0</v>
      </c>
      <c r="CH299" s="237">
        <f>'Toll Roads'!CH288</f>
        <v>0</v>
      </c>
      <c r="CI299" s="237">
        <f>'Toll Roads'!CI288</f>
        <v>0</v>
      </c>
      <c r="CJ299" s="237">
        <v>0</v>
      </c>
      <c r="CK299" s="237">
        <f>'Toll Roads'!CK288</f>
        <v>0</v>
      </c>
      <c r="CL299" s="237">
        <f>'Toll Roads'!CL288</f>
        <v>0</v>
      </c>
      <c r="CM299" s="237">
        <f>'Toll Roads'!CM288</f>
        <v>0</v>
      </c>
      <c r="CN299" s="237">
        <f>'Toll Roads'!CN288</f>
        <v>0</v>
      </c>
      <c r="CO299" s="237">
        <f>'Toll Roads'!CO288</f>
        <v>0</v>
      </c>
    </row>
    <row r="300" spans="1:93" s="92" customFormat="1" x14ac:dyDescent="0.25">
      <c r="A300" s="164" t="str">
        <f>Language!AA292</f>
        <v>Concebra</v>
      </c>
      <c r="B300" s="235">
        <v>0</v>
      </c>
      <c r="C300" s="235">
        <v>0</v>
      </c>
      <c r="D300" s="235">
        <v>0</v>
      </c>
      <c r="E300" s="236">
        <v>0</v>
      </c>
      <c r="F300" s="235">
        <v>0</v>
      </c>
      <c r="G300" s="235">
        <v>0</v>
      </c>
      <c r="H300" s="235">
        <v>0</v>
      </c>
      <c r="I300" s="236">
        <v>0</v>
      </c>
      <c r="J300" s="235">
        <v>0</v>
      </c>
      <c r="K300" s="235">
        <v>0</v>
      </c>
      <c r="L300" s="235">
        <v>0</v>
      </c>
      <c r="M300" s="236">
        <v>0</v>
      </c>
      <c r="N300" s="235">
        <f>'Toll Roads'!N289</f>
        <v>843</v>
      </c>
      <c r="O300" s="235">
        <f>'Toll Roads'!O289</f>
        <v>2261</v>
      </c>
      <c r="P300" s="235">
        <f>'Toll Roads'!P289</f>
        <v>312</v>
      </c>
      <c r="Q300" s="235">
        <f>'Toll Roads'!Q289</f>
        <v>3731</v>
      </c>
      <c r="R300" s="237">
        <f>'Toll Roads'!R289</f>
        <v>-17090</v>
      </c>
      <c r="S300" s="235">
        <f>'Toll Roads'!S289</f>
        <v>-3500</v>
      </c>
      <c r="T300" s="238">
        <f>'Toll Roads'!T289</f>
        <v>13191</v>
      </c>
      <c r="U300" s="238">
        <f>'Toll Roads'!U289</f>
        <v>-17543</v>
      </c>
      <c r="V300" s="238">
        <f>'Toll Roads'!V289</f>
        <v>-18557</v>
      </c>
      <c r="W300" s="238">
        <f>'Toll Roads'!W289</f>
        <v>-7399</v>
      </c>
      <c r="X300" s="238">
        <f>'Toll Roads'!X289</f>
        <v>-24942</v>
      </c>
      <c r="Y300" s="237">
        <f>'Toll Roads'!Y289</f>
        <v>-8009</v>
      </c>
      <c r="Z300" s="235">
        <f>'Toll Roads'!Z289</f>
        <v>-2742</v>
      </c>
      <c r="AA300" s="238">
        <f>'Toll Roads'!AA289</f>
        <v>-5607</v>
      </c>
      <c r="AB300" s="238">
        <f>'Toll Roads'!AB289</f>
        <v>-145597</v>
      </c>
      <c r="AC300" s="238">
        <f>'Toll Roads'!AC289</f>
        <v>-10751</v>
      </c>
      <c r="AD300" s="238">
        <f>'Toll Roads'!AD289</f>
        <v>-16358</v>
      </c>
      <c r="AE300" s="238">
        <f>'Toll Roads'!AE289</f>
        <v>-161955</v>
      </c>
      <c r="AF300" s="237">
        <f>'Toll Roads'!AF289</f>
        <v>-36899.688090084775</v>
      </c>
      <c r="AG300" s="235">
        <f>'Toll Roads'!AG289</f>
        <v>-36145.274440400462</v>
      </c>
      <c r="AH300" s="235">
        <f>'Toll Roads'!AJ289</f>
        <v>-73044.962530485238</v>
      </c>
      <c r="AI300" s="238">
        <f>'Toll Roads'!AK289</f>
        <v>-77067.033144725661</v>
      </c>
      <c r="AJ300" s="238">
        <f>'Toll Roads'!AJ289</f>
        <v>-73044.962530485238</v>
      </c>
      <c r="AK300" s="238">
        <f>'Toll Roads'!AK289</f>
        <v>-77067.033144725661</v>
      </c>
      <c r="AL300" s="238">
        <f>'Toll Roads'!AL289</f>
        <v>-96824.309219918447</v>
      </c>
      <c r="AM300" s="237">
        <f>'Toll Roads'!AM289</f>
        <v>-14475.42995780944</v>
      </c>
      <c r="AN300" s="235">
        <f t="shared" si="1358"/>
        <v>-17882.554802991686</v>
      </c>
      <c r="AO300" s="235"/>
      <c r="AP300" s="235">
        <f t="shared" si="1359"/>
        <v>-25261.415999595294</v>
      </c>
      <c r="AQ300" s="238">
        <f>'Toll Roads'!AQ289</f>
        <v>-32357.984760801126</v>
      </c>
      <c r="AR300" s="238">
        <f>'Toll Roads'!AR289</f>
        <v>-26398.834325140626</v>
      </c>
      <c r="AS300" s="238">
        <f>'Toll Roads'!AS289</f>
        <v>-51660.25032473592</v>
      </c>
      <c r="AT300" s="237">
        <f>'Toll Roads'!AT289</f>
        <v>-36496</v>
      </c>
      <c r="AU300" s="237">
        <f>'Toll Roads'!AU289</f>
        <v>-49782</v>
      </c>
      <c r="AV300" s="237">
        <f>'Toll Roads'!AV289</f>
        <v>-47326</v>
      </c>
      <c r="AW300" s="237">
        <f>'Toll Roads'!AW289</f>
        <v>45580</v>
      </c>
      <c r="AX300" s="237">
        <f>'Toll Roads'!AX289</f>
        <v>-86278</v>
      </c>
      <c r="AY300" s="237">
        <f>'Toll Roads'!AY289</f>
        <v>-133604</v>
      </c>
      <c r="AZ300" s="237">
        <f>'Toll Roads'!AZ289</f>
        <v>-88024</v>
      </c>
      <c r="BA300" s="237">
        <f>'Toll Roads'!BA289</f>
        <v>5324</v>
      </c>
      <c r="BB300" s="237">
        <f>'Toll Roads'!BB289</f>
        <v>-5782</v>
      </c>
      <c r="BC300" s="237">
        <f>'Toll Roads'!BC289</f>
        <v>-23078</v>
      </c>
      <c r="BD300" s="237">
        <f>'Toll Roads'!BD289</f>
        <v>127543</v>
      </c>
      <c r="BE300" s="237">
        <f>'Toll Roads'!BE289</f>
        <v>-458</v>
      </c>
      <c r="BF300" s="237">
        <f>'Toll Roads'!BF289</f>
        <v>-23536</v>
      </c>
      <c r="BG300" s="237">
        <f>'Toll Roads'!BG289</f>
        <v>104007</v>
      </c>
      <c r="BH300" s="237">
        <f>'Toll Roads'!BH289</f>
        <v>-20142</v>
      </c>
      <c r="BI300" s="237">
        <f>'Toll Roads'!BI289</f>
        <v>-20864</v>
      </c>
      <c r="BJ300" s="237">
        <f>'Toll Roads'!BJ289</f>
        <v>-8456</v>
      </c>
      <c r="BK300" s="237">
        <f>'Toll Roads'!BK289</f>
        <v>-26881</v>
      </c>
      <c r="BL300" s="237">
        <f>'Toll Roads'!BL289</f>
        <v>-41006</v>
      </c>
      <c r="BM300" s="237">
        <f>'Toll Roads'!BM289</f>
        <v>-49462</v>
      </c>
      <c r="BN300" s="237">
        <f>'Toll Roads'!BN289</f>
        <v>-76343</v>
      </c>
      <c r="BO300" s="237">
        <f>'Toll Roads'!BO289</f>
        <v>-29346</v>
      </c>
      <c r="BP300" s="237">
        <f>'Toll Roads'!BP289</f>
        <v>-184287</v>
      </c>
      <c r="BQ300" s="237">
        <f>'Toll Roads'!BQ289</f>
        <v>-62500</v>
      </c>
      <c r="BR300" s="237">
        <f>'Toll Roads'!BR289</f>
        <v>-26493</v>
      </c>
      <c r="BS300" s="237">
        <f>'Toll Roads'!BS289</f>
        <v>90334</v>
      </c>
      <c r="BT300" s="237">
        <f>'Toll Roads'!BT289</f>
        <v>27834</v>
      </c>
      <c r="BU300" s="237">
        <f>'Toll Roads'!BU289</f>
        <v>1341</v>
      </c>
      <c r="BV300" s="237">
        <f>'Toll Roads'!BV289</f>
        <v>-69939</v>
      </c>
      <c r="BW300" s="237">
        <f>'Toll Roads'!BW289</f>
        <v>-57770</v>
      </c>
      <c r="BX300" s="237">
        <f>'Toll Roads'!BX289</f>
        <v>104251</v>
      </c>
      <c r="BY300" s="237">
        <f>'Toll Roads'!BY289</f>
        <v>12415</v>
      </c>
      <c r="BZ300" s="237">
        <f>'Toll Roads'!BZ289</f>
        <v>-127709</v>
      </c>
      <c r="CA300" s="237">
        <f>'Toll Roads'!CA289</f>
        <v>-23458</v>
      </c>
      <c r="CB300" s="237">
        <f>'Toll Roads'!CB289</f>
        <v>-11043</v>
      </c>
      <c r="CC300" s="237">
        <f>'Toll Roads'!CC289</f>
        <v>-22816</v>
      </c>
      <c r="CD300" s="237">
        <f>'Toll Roads'!CD289</f>
        <v>-5189</v>
      </c>
      <c r="CE300" s="237">
        <f>'Toll Roads'!CE289</f>
        <v>44117</v>
      </c>
      <c r="CF300" s="237">
        <f>'Toll Roads'!CF289</f>
        <v>20431</v>
      </c>
      <c r="CG300" s="237">
        <f>'Toll Roads'!CG289</f>
        <v>-28005</v>
      </c>
      <c r="CH300" s="237">
        <f>'Toll Roads'!CH289</f>
        <v>16112</v>
      </c>
      <c r="CI300" s="237">
        <f>'Toll Roads'!CI289</f>
        <v>36543</v>
      </c>
      <c r="CJ300" s="237">
        <v>3202</v>
      </c>
      <c r="CK300" s="237">
        <f>'Toll Roads'!CK289</f>
        <v>-19536</v>
      </c>
      <c r="CL300" s="237">
        <f>'Toll Roads'!CL289</f>
        <v>0</v>
      </c>
      <c r="CM300" s="237">
        <f>'Toll Roads'!CM289</f>
        <v>0</v>
      </c>
      <c r="CN300" s="237">
        <f>'Toll Roads'!CN289</f>
        <v>-16334</v>
      </c>
      <c r="CO300" s="237">
        <f>'Toll Roads'!CO289</f>
        <v>0</v>
      </c>
    </row>
    <row r="301" spans="1:93" s="92" customFormat="1" x14ac:dyDescent="0.25">
      <c r="A301" s="164" t="str">
        <f>Language!AA293</f>
        <v>Transbrasiliana</v>
      </c>
      <c r="B301" s="235">
        <v>0</v>
      </c>
      <c r="C301" s="235">
        <v>0</v>
      </c>
      <c r="D301" s="235">
        <v>0</v>
      </c>
      <c r="E301" s="236">
        <v>0</v>
      </c>
      <c r="F301" s="235">
        <v>0</v>
      </c>
      <c r="G301" s="235">
        <v>0</v>
      </c>
      <c r="H301" s="235">
        <v>0</v>
      </c>
      <c r="I301" s="236">
        <v>0</v>
      </c>
      <c r="J301" s="235">
        <v>0</v>
      </c>
      <c r="K301" s="235">
        <v>0</v>
      </c>
      <c r="L301" s="235">
        <v>0</v>
      </c>
      <c r="M301" s="236">
        <v>0</v>
      </c>
      <c r="N301" s="235">
        <v>0</v>
      </c>
      <c r="O301" s="235">
        <v>0</v>
      </c>
      <c r="P301" s="235">
        <v>0</v>
      </c>
      <c r="Q301" s="235">
        <v>0</v>
      </c>
      <c r="R301" s="237">
        <f>'Toll Roads'!R290</f>
        <v>10105</v>
      </c>
      <c r="S301" s="235">
        <f>'Toll Roads'!S290</f>
        <v>-6775</v>
      </c>
      <c r="T301" s="238">
        <f>'Toll Roads'!T290</f>
        <v>-5698</v>
      </c>
      <c r="U301" s="238">
        <f>'Toll Roads'!U290</f>
        <v>-6376</v>
      </c>
      <c r="V301" s="238">
        <f>'Toll Roads'!V290</f>
        <v>8191</v>
      </c>
      <c r="W301" s="238">
        <f>'Toll Roads'!W290</f>
        <v>-2368</v>
      </c>
      <c r="X301" s="238">
        <f>'Toll Roads'!X290</f>
        <v>-8744</v>
      </c>
      <c r="Y301" s="237">
        <f>'Toll Roads'!Y290</f>
        <v>-5284</v>
      </c>
      <c r="Z301" s="235">
        <f>'Toll Roads'!Z290</f>
        <v>-17486</v>
      </c>
      <c r="AA301" s="238">
        <f>'Toll Roads'!AA290</f>
        <v>-13418</v>
      </c>
      <c r="AB301" s="238">
        <f>'Toll Roads'!AB290</f>
        <v>8157</v>
      </c>
      <c r="AC301" s="238">
        <f>'Toll Roads'!AC290</f>
        <v>-22770</v>
      </c>
      <c r="AD301" s="238">
        <f>'Toll Roads'!AD290</f>
        <v>-36188</v>
      </c>
      <c r="AE301" s="238">
        <f>'Toll Roads'!AE290</f>
        <v>-28031</v>
      </c>
      <c r="AF301" s="237">
        <f>'Toll Roads'!AF290</f>
        <v>-12308.484632839765</v>
      </c>
      <c r="AG301" s="235">
        <f>'Toll Roads'!AG290</f>
        <v>-13968.018221083807</v>
      </c>
      <c r="AH301" s="235">
        <f>'Toll Roads'!AJ290</f>
        <v>-26276.502853923572</v>
      </c>
      <c r="AI301" s="238">
        <f>'Toll Roads'!AK290</f>
        <v>-26801.498268111027</v>
      </c>
      <c r="AJ301" s="238">
        <f>'Toll Roads'!AJ290</f>
        <v>-26276.502853923572</v>
      </c>
      <c r="AK301" s="238">
        <f>'Toll Roads'!AK290</f>
        <v>-26801.498268111027</v>
      </c>
      <c r="AL301" s="238">
        <f>'Toll Roads'!AL290</f>
        <v>-19826.163833833023</v>
      </c>
      <c r="AM301" s="237">
        <f>'Toll Roads'!AM290</f>
        <v>507.1391904907905</v>
      </c>
      <c r="AN301" s="235">
        <f t="shared" si="1358"/>
        <v>-4574.0563132677962</v>
      </c>
      <c r="AO301" s="235"/>
      <c r="AP301" s="235">
        <f t="shared" si="1359"/>
        <v>-13590.903435196396</v>
      </c>
      <c r="AQ301" s="238">
        <f>'Toll Roads'!AQ290</f>
        <v>-4066.9171227770057</v>
      </c>
      <c r="AR301" s="238">
        <f>'Toll Roads'!AR290</f>
        <v>-4984.5292846590019</v>
      </c>
      <c r="AS301" s="238">
        <f>'Toll Roads'!AS290</f>
        <v>-18575.432719855398</v>
      </c>
      <c r="AT301" s="237">
        <f>'Toll Roads'!AT290</f>
        <v>-3768</v>
      </c>
      <c r="AU301" s="237">
        <f>'Toll Roads'!AU290</f>
        <v>-13216</v>
      </c>
      <c r="AV301" s="237">
        <f>'Toll Roads'!AV290</f>
        <v>6136</v>
      </c>
      <c r="AW301" s="237">
        <f>'Toll Roads'!AW290</f>
        <v>-23453</v>
      </c>
      <c r="AX301" s="237">
        <f>'Toll Roads'!AX290</f>
        <v>-16367</v>
      </c>
      <c r="AY301" s="237">
        <f>'Toll Roads'!AY290</f>
        <v>-11747</v>
      </c>
      <c r="AZ301" s="237">
        <f>'Toll Roads'!AZ290</f>
        <v>-35200</v>
      </c>
      <c r="BA301" s="237">
        <f>'Toll Roads'!BA290</f>
        <v>-12056</v>
      </c>
      <c r="BB301" s="237">
        <f>'Toll Roads'!BB290</f>
        <v>-11979</v>
      </c>
      <c r="BC301" s="237">
        <f>'Toll Roads'!BC290</f>
        <v>-10997</v>
      </c>
      <c r="BD301" s="237">
        <f>'Toll Roads'!BD290</f>
        <v>19788</v>
      </c>
      <c r="BE301" s="237">
        <f>'Toll Roads'!BE290</f>
        <v>-24035</v>
      </c>
      <c r="BF301" s="237">
        <f>'Toll Roads'!BF290</f>
        <v>-35032</v>
      </c>
      <c r="BG301" s="237">
        <f>'Toll Roads'!BG290</f>
        <v>-15244</v>
      </c>
      <c r="BH301" s="237">
        <f>'Toll Roads'!BH290</f>
        <v>-8239</v>
      </c>
      <c r="BI301" s="237">
        <f>'Toll Roads'!BI290</f>
        <v>5833</v>
      </c>
      <c r="BJ301" s="237">
        <f>'Toll Roads'!BJ290</f>
        <v>64183</v>
      </c>
      <c r="BK301" s="237">
        <f>'Toll Roads'!BK290</f>
        <v>6592</v>
      </c>
      <c r="BL301" s="237">
        <f>'Toll Roads'!BL290</f>
        <v>-2406</v>
      </c>
      <c r="BM301" s="237">
        <f>'Toll Roads'!BM290</f>
        <v>61777</v>
      </c>
      <c r="BN301" s="237">
        <f>'Toll Roads'!BN290</f>
        <v>68369</v>
      </c>
      <c r="BO301" s="237">
        <f>'Toll Roads'!BO290</f>
        <v>4122</v>
      </c>
      <c r="BP301" s="237">
        <f>'Toll Roads'!BP290</f>
        <v>-5342.5153335030445</v>
      </c>
      <c r="BQ301" s="237">
        <f>'Toll Roads'!BQ290</f>
        <v>1669.2423332484777</v>
      </c>
      <c r="BR301" s="237">
        <f>'Toll Roads'!BR290</f>
        <v>4162.2423332484777</v>
      </c>
      <c r="BS301" s="237">
        <f>'Toll Roads'!BS290</f>
        <v>-1220.5153335030445</v>
      </c>
      <c r="BT301" s="237">
        <f>'Toll Roads'!BT290</f>
        <v>448.7269997454332</v>
      </c>
      <c r="BU301" s="237">
        <f>'Toll Roads'!BU290</f>
        <v>4610.9693329939109</v>
      </c>
      <c r="BV301" s="237">
        <f>'Toll Roads'!BV290</f>
        <v>-3578.0985792547044</v>
      </c>
      <c r="BW301" s="237">
        <f>'Toll Roads'!BW290</f>
        <v>-3470.543956972987</v>
      </c>
      <c r="BX301" s="237">
        <f>'Toll Roads'!BX290</f>
        <v>4459.6787318861543</v>
      </c>
      <c r="BY301" s="237">
        <f>'Toll Roads'!BY290</f>
        <v>4229.6787318861534</v>
      </c>
      <c r="BZ301" s="237">
        <f>'Toll Roads'!BZ290</f>
        <v>-7048.6425362276914</v>
      </c>
      <c r="CA301" s="237">
        <f>'Toll Roads'!CA290</f>
        <v>-2588.9638043415371</v>
      </c>
      <c r="CB301" s="237">
        <f>'Toll Roads'!CB290</f>
        <v>1640.7149275446168</v>
      </c>
      <c r="CC301" s="237">
        <f>'Toll Roads'!CC290</f>
        <v>-322.31747630217211</v>
      </c>
      <c r="CD301" s="237">
        <f>'Toll Roads'!CD290</f>
        <v>5867.5608348057021</v>
      </c>
      <c r="CE301" s="237">
        <f>'Toll Roads'!CE290</f>
        <v>4505.7566414964695</v>
      </c>
      <c r="CF301" s="237">
        <f>'Toll Roads'!CF290</f>
        <v>-4913</v>
      </c>
      <c r="CG301" s="237">
        <f>'Toll Roads'!CG290</f>
        <v>5545.2433585035305</v>
      </c>
      <c r="CH301" s="237">
        <f>'Toll Roads'!CH290</f>
        <v>10051</v>
      </c>
      <c r="CI301" s="237">
        <f>'Toll Roads'!CI290</f>
        <v>5138</v>
      </c>
      <c r="CJ301" s="237">
        <v>-17773</v>
      </c>
      <c r="CK301" s="237">
        <f>'Toll Roads'!CK290</f>
        <v>-2092</v>
      </c>
      <c r="CL301" s="237">
        <f>'Toll Roads'!CL290</f>
        <v>0</v>
      </c>
      <c r="CM301" s="237">
        <f>'Toll Roads'!CM290</f>
        <v>0</v>
      </c>
      <c r="CN301" s="237">
        <f>'Toll Roads'!CN290</f>
        <v>-19865</v>
      </c>
      <c r="CO301" s="237">
        <f>'Toll Roads'!CO290</f>
        <v>0</v>
      </c>
    </row>
    <row r="302" spans="1:93" s="92" customFormat="1" x14ac:dyDescent="0.25">
      <c r="A302" s="715" t="s">
        <v>670</v>
      </c>
      <c r="B302" s="235"/>
      <c r="C302" s="235"/>
      <c r="D302" s="235"/>
      <c r="E302" s="236"/>
      <c r="F302" s="235"/>
      <c r="G302" s="235"/>
      <c r="H302" s="235"/>
      <c r="I302" s="236"/>
      <c r="J302" s="235"/>
      <c r="K302" s="235"/>
      <c r="L302" s="235"/>
      <c r="M302" s="236"/>
      <c r="N302" s="235"/>
      <c r="O302" s="235"/>
      <c r="P302" s="235"/>
      <c r="Q302" s="235"/>
      <c r="R302" s="237"/>
      <c r="S302" s="235"/>
      <c r="T302" s="238"/>
      <c r="U302" s="238"/>
      <c r="V302" s="238"/>
      <c r="W302" s="238"/>
      <c r="X302" s="238"/>
      <c r="Y302" s="237"/>
      <c r="Z302" s="235"/>
      <c r="AA302" s="238"/>
      <c r="AB302" s="238"/>
      <c r="AC302" s="238"/>
      <c r="AD302" s="238"/>
      <c r="AE302" s="238"/>
      <c r="AF302" s="237"/>
      <c r="AG302" s="235"/>
      <c r="AH302" s="235"/>
      <c r="AI302" s="238"/>
      <c r="AJ302" s="238"/>
      <c r="AK302" s="238"/>
      <c r="AL302" s="238"/>
      <c r="AM302" s="237"/>
      <c r="AN302" s="235"/>
      <c r="AO302" s="235"/>
      <c r="AP302" s="235">
        <f t="shared" si="1359"/>
        <v>-935.27403958353352</v>
      </c>
      <c r="AQ302" s="238"/>
      <c r="AR302" s="238">
        <f>'Toll Roads'!AR291</f>
        <v>-3754.2916520785075</v>
      </c>
      <c r="AS302" s="238">
        <f>'Toll Roads'!AS291</f>
        <v>-4689.565691662041</v>
      </c>
      <c r="AT302" s="237">
        <f>'Toll Roads'!AT291</f>
        <v>0</v>
      </c>
      <c r="AU302" s="237">
        <f>'Toll Roads'!AU291</f>
        <v>-1550</v>
      </c>
      <c r="AV302" s="237">
        <f>'Toll Roads'!AV291</f>
        <v>-598</v>
      </c>
      <c r="AW302" s="237">
        <f>'Toll Roads'!AW291</f>
        <v>1682</v>
      </c>
      <c r="AX302" s="237">
        <f>'Toll Roads'!AX291</f>
        <v>-1083</v>
      </c>
      <c r="AY302" s="237">
        <f>'Toll Roads'!AY291</f>
        <v>-1682</v>
      </c>
      <c r="AZ302" s="237">
        <f>'Toll Roads'!AZ291</f>
        <v>0</v>
      </c>
      <c r="BA302" s="237">
        <f>'Toll Roads'!BA291</f>
        <v>0</v>
      </c>
      <c r="BB302" s="237">
        <f>'Toll Roads'!BB291</f>
        <v>0</v>
      </c>
      <c r="BC302" s="237">
        <f>'Toll Roads'!BC291</f>
        <v>0</v>
      </c>
      <c r="BD302" s="237">
        <f>'Toll Roads'!BD291</f>
        <v>0</v>
      </c>
      <c r="BE302" s="237">
        <f>'Toll Roads'!BE291</f>
        <v>0</v>
      </c>
      <c r="BF302" s="237">
        <f>'Toll Roads'!BF291</f>
        <v>0</v>
      </c>
      <c r="BG302" s="237">
        <f>'Toll Roads'!BG291</f>
        <v>0</v>
      </c>
      <c r="BH302" s="237">
        <f>'Toll Roads'!BH291</f>
        <v>0</v>
      </c>
      <c r="BI302" s="237">
        <f>'Toll Roads'!BI291</f>
        <v>0</v>
      </c>
      <c r="BJ302" s="237">
        <f>'Toll Roads'!BJ291</f>
        <v>0</v>
      </c>
      <c r="BK302" s="237">
        <f>'Toll Roads'!BK291</f>
        <v>0</v>
      </c>
      <c r="BL302" s="237">
        <f>'Toll Roads'!BL291</f>
        <v>0</v>
      </c>
      <c r="BM302" s="237">
        <f>'Toll Roads'!BM291</f>
        <v>0</v>
      </c>
      <c r="BN302" s="237">
        <f>'Toll Roads'!BN291</f>
        <v>0</v>
      </c>
      <c r="BO302" s="237">
        <f>'Toll Roads'!BO291</f>
        <v>0</v>
      </c>
      <c r="BP302" s="237">
        <f>'Toll Roads'!BP291</f>
        <v>0</v>
      </c>
      <c r="BQ302" s="237">
        <f>'Toll Roads'!BQ291</f>
        <v>0</v>
      </c>
      <c r="BR302" s="237">
        <f>'Toll Roads'!BR291</f>
        <v>0</v>
      </c>
      <c r="BS302" s="237">
        <f>'Toll Roads'!BS291</f>
        <v>0</v>
      </c>
      <c r="BT302" s="237">
        <f>'Toll Roads'!BT291</f>
        <v>0</v>
      </c>
      <c r="BU302" s="237">
        <f>'Toll Roads'!BU291</f>
        <v>0</v>
      </c>
      <c r="BV302" s="237">
        <f>'Toll Roads'!BV291</f>
        <v>0</v>
      </c>
      <c r="BW302" s="237">
        <f>'Toll Roads'!BW291</f>
        <v>0</v>
      </c>
      <c r="BX302" s="237">
        <f>'Toll Roads'!BX291</f>
        <v>0</v>
      </c>
      <c r="BY302" s="237">
        <f>'Toll Roads'!BY291</f>
        <v>0</v>
      </c>
      <c r="BZ302" s="237">
        <f>'Toll Roads'!BZ291</f>
        <v>0</v>
      </c>
      <c r="CA302" s="237">
        <f>'Toll Roads'!CA291</f>
        <v>0</v>
      </c>
      <c r="CB302" s="237">
        <f>'Toll Roads'!CB291</f>
        <v>0</v>
      </c>
      <c r="CC302" s="237">
        <f>'Toll Roads'!CC291</f>
        <v>0</v>
      </c>
      <c r="CD302" s="237">
        <f>'Toll Roads'!CD291</f>
        <v>0</v>
      </c>
      <c r="CE302" s="237">
        <f>'Toll Roads'!CE291</f>
        <v>0</v>
      </c>
      <c r="CF302" s="237">
        <f>'Toll Roads'!CF291</f>
        <v>0</v>
      </c>
      <c r="CG302" s="237">
        <f>'Toll Roads'!CG291</f>
        <v>0</v>
      </c>
      <c r="CH302" s="237">
        <f>'Toll Roads'!CH291</f>
        <v>0</v>
      </c>
      <c r="CI302" s="237">
        <f>'Toll Roads'!CI291</f>
        <v>0</v>
      </c>
      <c r="CJ302" s="237">
        <v>0</v>
      </c>
      <c r="CK302" s="237">
        <f>'Toll Roads'!CK291</f>
        <v>0</v>
      </c>
      <c r="CL302" s="237">
        <f>'Toll Roads'!CL291</f>
        <v>0</v>
      </c>
      <c r="CM302" s="237">
        <f>'Toll Roads'!CM291</f>
        <v>0</v>
      </c>
      <c r="CN302" s="237">
        <f>'Toll Roads'!CN291</f>
        <v>0</v>
      </c>
      <c r="CO302" s="237">
        <f>'Toll Roads'!CO291</f>
        <v>0</v>
      </c>
    </row>
    <row r="303" spans="1:93" s="100" customFormat="1" ht="13" x14ac:dyDescent="0.3">
      <c r="A303" s="160" t="str">
        <f>Language!AA294</f>
        <v>Energia</v>
      </c>
      <c r="B303" s="231">
        <f>SUM(B304,B305,B307)</f>
        <v>209</v>
      </c>
      <c r="C303" s="231">
        <f t="shared" ref="C303:L303" si="1540">SUM(C304,C305,C307)</f>
        <v>360</v>
      </c>
      <c r="D303" s="231">
        <f t="shared" si="1540"/>
        <v>823</v>
      </c>
      <c r="E303" s="232">
        <f t="shared" si="1540"/>
        <v>6500</v>
      </c>
      <c r="F303" s="231">
        <f t="shared" si="1540"/>
        <v>5111</v>
      </c>
      <c r="G303" s="231">
        <f t="shared" si="1540"/>
        <v>4217</v>
      </c>
      <c r="H303" s="231">
        <f t="shared" si="1540"/>
        <v>4579</v>
      </c>
      <c r="I303" s="232">
        <f t="shared" si="1540"/>
        <v>4308</v>
      </c>
      <c r="J303" s="231">
        <f t="shared" si="1540"/>
        <v>10468</v>
      </c>
      <c r="K303" s="231">
        <f t="shared" si="1540"/>
        <v>4342</v>
      </c>
      <c r="L303" s="231">
        <f t="shared" si="1540"/>
        <v>5954</v>
      </c>
      <c r="M303" s="232">
        <f t="shared" ref="M303:N303" si="1541">SUM(M304,M305,M307)</f>
        <v>30165.997943999988</v>
      </c>
      <c r="N303" s="234">
        <f t="shared" si="1541"/>
        <v>181084</v>
      </c>
      <c r="O303" s="231">
        <f t="shared" ref="O303:Q303" si="1542">SUM(O304,O305,O307)</f>
        <v>-7258.0256699999991</v>
      </c>
      <c r="P303" s="231">
        <f t="shared" si="1542"/>
        <v>-16681.920765452007</v>
      </c>
      <c r="Q303" s="231">
        <f t="shared" si="1542"/>
        <v>-16551.053564547994</v>
      </c>
      <c r="R303" s="233">
        <f t="shared" ref="R303:W303" si="1543">SUM(R304,R305,R306,R307)</f>
        <v>20989</v>
      </c>
      <c r="S303" s="231">
        <f t="shared" si="1543"/>
        <v>-8540</v>
      </c>
      <c r="T303" s="234">
        <f t="shared" si="1543"/>
        <v>-9054</v>
      </c>
      <c r="U303" s="234">
        <f t="shared" si="1543"/>
        <v>1083</v>
      </c>
      <c r="V303" s="234">
        <f t="shared" ref="V303" si="1544">SUM(V304,V305,V306,V307)</f>
        <v>6602</v>
      </c>
      <c r="W303" s="234">
        <f t="shared" si="1543"/>
        <v>-2452</v>
      </c>
      <c r="X303" s="234">
        <f>SUM(X304,X305,X306,X307)</f>
        <v>-1369</v>
      </c>
      <c r="Y303" s="233">
        <f>SUM(Y304,Y305,Y306,Y307)</f>
        <v>1059</v>
      </c>
      <c r="Z303" s="231">
        <f>SUM(Z304,Z305,Z306,Z307)</f>
        <v>706</v>
      </c>
      <c r="AA303" s="234">
        <f t="shared" ref="AA303:AB303" si="1545">SUM(AA304,AA305,AA306,AA307)</f>
        <v>166</v>
      </c>
      <c r="AB303" s="234">
        <f t="shared" si="1545"/>
        <v>2373</v>
      </c>
      <c r="AC303" s="234">
        <f>SUM(AC304,AC305,AC306,AC307)</f>
        <v>1765</v>
      </c>
      <c r="AD303" s="234">
        <f>SUM(AD304,AD305,AD306,AD307)</f>
        <v>1931</v>
      </c>
      <c r="AE303" s="234">
        <f t="shared" ref="AE303:AF303" si="1546">SUM(AE304,AE305,AE306,AE307)</f>
        <v>4304</v>
      </c>
      <c r="AF303" s="233">
        <f t="shared" si="1546"/>
        <v>1499</v>
      </c>
      <c r="AG303" s="231">
        <f>SUM(AG304,AG305,AG306,AG307)</f>
        <v>2173</v>
      </c>
      <c r="AH303" s="231">
        <f>SUM(AH304,AH305,AH306,AH307)</f>
        <v>3672</v>
      </c>
      <c r="AI303" s="234">
        <f t="shared" ref="AI303" si="1547">SUM(AI304,AI305,AI306,AI307)</f>
        <v>14626</v>
      </c>
      <c r="AJ303" s="234">
        <f>SUM(AJ304,AJ305,AJ306,AJ307)</f>
        <v>3672</v>
      </c>
      <c r="AK303" s="234">
        <f>SUM(AK304,AK305,AK306,AK307)</f>
        <v>5744</v>
      </c>
      <c r="AL303" s="234">
        <f>SUM(AL304,AL305,AL306,AL307)</f>
        <v>12622</v>
      </c>
      <c r="AM303" s="233">
        <f>SUM(AM304,AM305,AM306,AM307)</f>
        <v>1934</v>
      </c>
      <c r="AN303" s="231">
        <f t="shared" si="1358"/>
        <v>1344</v>
      </c>
      <c r="AO303" s="231"/>
      <c r="AP303" s="231">
        <f t="shared" si="1359"/>
        <v>6323</v>
      </c>
      <c r="AQ303" s="234">
        <f t="shared" ref="AQ303:AY303" si="1548">SUM(AQ304,AQ305,AQ306,AQ307)</f>
        <v>3278</v>
      </c>
      <c r="AR303" s="234">
        <f t="shared" si="1548"/>
        <v>10880</v>
      </c>
      <c r="AS303" s="234">
        <f t="shared" si="1548"/>
        <v>17203</v>
      </c>
      <c r="AT303" s="233">
        <f t="shared" si="1548"/>
        <v>7155</v>
      </c>
      <c r="AU303" s="233">
        <f t="shared" si="1548"/>
        <v>7501</v>
      </c>
      <c r="AV303" s="233">
        <f t="shared" si="1548"/>
        <v>8456</v>
      </c>
      <c r="AW303" s="233">
        <f t="shared" ref="AW303" si="1549">SUM(AW304,AW305,AW306,AW307)</f>
        <v>6926</v>
      </c>
      <c r="AX303" s="233">
        <f t="shared" si="1548"/>
        <v>14656</v>
      </c>
      <c r="AY303" s="233">
        <f t="shared" si="1548"/>
        <v>23112</v>
      </c>
      <c r="AZ303" s="233">
        <f t="shared" ref="AZ303:BA303" si="1550">SUM(AZ304,AZ305,AZ306,AZ307)</f>
        <v>30038</v>
      </c>
      <c r="BA303" s="233">
        <f t="shared" si="1550"/>
        <v>7600</v>
      </c>
      <c r="BB303" s="233">
        <f t="shared" ref="BB303:BC303" si="1551">SUM(BB304,BB305,BB306,BB307)</f>
        <v>8133</v>
      </c>
      <c r="BC303" s="233">
        <f t="shared" si="1551"/>
        <v>9148</v>
      </c>
      <c r="BD303" s="233">
        <f t="shared" ref="BD303:BE303" si="1552">SUM(BD304,BD305,BD306,BD307)</f>
        <v>7960</v>
      </c>
      <c r="BE303" s="233">
        <f t="shared" si="1552"/>
        <v>15733</v>
      </c>
      <c r="BF303" s="233">
        <f t="shared" ref="BF303:BG303" si="1553">SUM(BF304,BF305,BF306,BF307)</f>
        <v>24881</v>
      </c>
      <c r="BG303" s="233">
        <f t="shared" si="1553"/>
        <v>32841</v>
      </c>
      <c r="BH303" s="233">
        <f t="shared" ref="BH303:BL303" si="1554">SUM(BH304,BH305,BH306,BH307)</f>
        <v>8525</v>
      </c>
      <c r="BI303" s="233">
        <f t="shared" si="1554"/>
        <v>8006</v>
      </c>
      <c r="BJ303" s="233">
        <f t="shared" si="1554"/>
        <v>10003</v>
      </c>
      <c r="BK303" s="233">
        <f t="shared" si="1554"/>
        <v>8733</v>
      </c>
      <c r="BL303" s="233">
        <f t="shared" si="1554"/>
        <v>16531</v>
      </c>
      <c r="BM303" s="233">
        <f t="shared" ref="BM303:BN303" si="1555">SUM(BM304,BM305,BM306,BM307)</f>
        <v>26534</v>
      </c>
      <c r="BN303" s="233">
        <f t="shared" si="1555"/>
        <v>35267</v>
      </c>
      <c r="BO303" s="233">
        <f t="shared" ref="BO303:BP303" si="1556">SUM(BO304,BO305,BO306,BO307)</f>
        <v>9440</v>
      </c>
      <c r="BP303" s="233">
        <f t="shared" si="1556"/>
        <v>9420</v>
      </c>
      <c r="BQ303" s="233">
        <f t="shared" ref="BQ303:BS303" si="1557">SUM(BQ304,BQ305,BQ306,BQ307)</f>
        <v>11738</v>
      </c>
      <c r="BR303" s="233">
        <f t="shared" si="1557"/>
        <v>9416</v>
      </c>
      <c r="BS303" s="233">
        <f t="shared" si="1557"/>
        <v>18849</v>
      </c>
      <c r="BT303" s="233">
        <f t="shared" ref="BT303:BU303" si="1558">SUM(BT304,BT305,BT306,BT307)</f>
        <v>30636</v>
      </c>
      <c r="BU303" s="233">
        <f t="shared" si="1558"/>
        <v>40062</v>
      </c>
      <c r="BV303" s="233">
        <f t="shared" ref="BV303" si="1559">SUM(BV304,BV305,BV306,BV307)</f>
        <v>11656</v>
      </c>
      <c r="BW303" s="233">
        <f>SUM(BW304,BW305,BW306,BW307)</f>
        <v>10958</v>
      </c>
      <c r="BX303" s="233">
        <f t="shared" ref="BX303:BZ303" si="1560">SUM(BX304,BX305,BX306,BX307)</f>
        <v>11667</v>
      </c>
      <c r="BY303" s="233">
        <f t="shared" si="1560"/>
        <v>10092</v>
      </c>
      <c r="BZ303" s="233">
        <f t="shared" si="1560"/>
        <v>22614</v>
      </c>
      <c r="CA303" s="233">
        <f t="shared" ref="CA303:CB303" si="1561">SUM(CA304,CA305,CA306,CA307)</f>
        <v>34281</v>
      </c>
      <c r="CB303" s="233">
        <f t="shared" si="1561"/>
        <v>44373</v>
      </c>
      <c r="CC303" s="233">
        <f t="shared" ref="CC303:CD303" si="1562">SUM(CC304,CC305,CC306,CC307)</f>
        <v>10705</v>
      </c>
      <c r="CD303" s="233">
        <f t="shared" si="1562"/>
        <v>10854</v>
      </c>
      <c r="CE303" s="233">
        <f t="shared" ref="CE303:CG303" si="1563">SUM(CE304,CE305,CE306,CE307)</f>
        <v>11426</v>
      </c>
      <c r="CF303" s="233">
        <f t="shared" si="1563"/>
        <v>10797</v>
      </c>
      <c r="CG303" s="233">
        <f t="shared" si="1563"/>
        <v>21559</v>
      </c>
      <c r="CH303" s="233">
        <f t="shared" ref="CH303:CI303" si="1564">SUM(CH304,CH305,CH306,CH307)</f>
        <v>32985</v>
      </c>
      <c r="CI303" s="233">
        <f t="shared" si="1564"/>
        <v>43782</v>
      </c>
      <c r="CJ303" s="233">
        <v>9664</v>
      </c>
      <c r="CK303" s="233">
        <f t="shared" ref="CK303:CO303" si="1565">SUM(CK304,CK305,CK306,CK307)</f>
        <v>10487</v>
      </c>
      <c r="CL303" s="233">
        <f t="shared" si="1565"/>
        <v>0</v>
      </c>
      <c r="CM303" s="233">
        <f t="shared" si="1565"/>
        <v>0</v>
      </c>
      <c r="CN303" s="233">
        <f t="shared" si="1565"/>
        <v>20151</v>
      </c>
      <c r="CO303" s="233">
        <f t="shared" si="1565"/>
        <v>0</v>
      </c>
    </row>
    <row r="304" spans="1:93" s="92" customFormat="1" x14ac:dyDescent="0.25">
      <c r="A304" s="164" t="str">
        <f>Language!AA295</f>
        <v>Rio Verde</v>
      </c>
      <c r="B304" s="235">
        <f>Energy!B168</f>
        <v>598</v>
      </c>
      <c r="C304" s="235">
        <f>Energy!C168</f>
        <v>1317</v>
      </c>
      <c r="D304" s="235">
        <f>Energy!D168</f>
        <v>2351</v>
      </c>
      <c r="E304" s="236">
        <f>Energy!E168</f>
        <v>3995</v>
      </c>
      <c r="F304" s="235">
        <f>Energy!F168</f>
        <v>4767</v>
      </c>
      <c r="G304" s="235">
        <f>Energy!G168</f>
        <v>4573</v>
      </c>
      <c r="H304" s="235">
        <f>Energy!H168</f>
        <v>4540</v>
      </c>
      <c r="I304" s="236">
        <f>Energy!I168</f>
        <v>5068</v>
      </c>
      <c r="J304" s="235">
        <f>Energy!J168</f>
        <v>-2258</v>
      </c>
      <c r="K304" s="235">
        <f>Energy!K168</f>
        <v>5524</v>
      </c>
      <c r="L304" s="235">
        <f>Energy!L168</f>
        <v>14666.245620000002</v>
      </c>
      <c r="M304" s="236">
        <f>Energy!M168</f>
        <v>7887.9723239999876</v>
      </c>
      <c r="N304" s="235">
        <f>Energy!N168</f>
        <v>1231</v>
      </c>
      <c r="O304" s="235">
        <f>Energy!O168</f>
        <v>7147.4795999999988</v>
      </c>
      <c r="P304" s="235">
        <f>Energy!P168</f>
        <v>2329.9734000000062</v>
      </c>
      <c r="Q304" s="235">
        <f>Energy!Q168</f>
        <v>5724.546999999995</v>
      </c>
      <c r="R304" s="237">
        <f>Energy!R168</f>
        <v>1160</v>
      </c>
      <c r="S304" s="235">
        <f>Energy!S168</f>
        <v>2142</v>
      </c>
      <c r="T304" s="238">
        <f>Energy!T168</f>
        <v>4810</v>
      </c>
      <c r="U304" s="238">
        <f>Energy!U168</f>
        <v>4232</v>
      </c>
      <c r="V304" s="238">
        <f>Energy!V168</f>
        <v>3302</v>
      </c>
      <c r="W304" s="238">
        <f>Energy!W168</f>
        <v>8112</v>
      </c>
      <c r="X304" s="238">
        <f>Energy!X168</f>
        <v>12344</v>
      </c>
      <c r="Y304" s="237">
        <f>Energy!Y168</f>
        <v>0</v>
      </c>
      <c r="Z304" s="235">
        <f>Energy!Z168</f>
        <v>0</v>
      </c>
      <c r="AA304" s="238">
        <f>Energy!AA168</f>
        <v>0</v>
      </c>
      <c r="AB304" s="238">
        <f>Energy!AB168</f>
        <v>0</v>
      </c>
      <c r="AC304" s="238">
        <f>Energy!AC168</f>
        <v>0</v>
      </c>
      <c r="AD304" s="238">
        <f>Energy!AD168</f>
        <v>0</v>
      </c>
      <c r="AE304" s="238">
        <f>Energy!AE168</f>
        <v>0</v>
      </c>
      <c r="AF304" s="237">
        <f>Energy!AF168</f>
        <v>0</v>
      </c>
      <c r="AG304" s="235">
        <f>Energy!AG168</f>
        <v>0</v>
      </c>
      <c r="AH304" s="235">
        <f>Energy!AJ168</f>
        <v>0</v>
      </c>
      <c r="AI304" s="238">
        <f>Energy!AI168</f>
        <v>0</v>
      </c>
      <c r="AJ304" s="238">
        <f>Energy!AJ168</f>
        <v>0</v>
      </c>
      <c r="AK304" s="238">
        <f>Energy!AK168</f>
        <v>0</v>
      </c>
      <c r="AL304" s="238">
        <f>Energy!AL168</f>
        <v>0</v>
      </c>
      <c r="AM304" s="237">
        <f>Energy!AM168</f>
        <v>0</v>
      </c>
      <c r="AN304" s="235">
        <f t="shared" si="1358"/>
        <v>0</v>
      </c>
      <c r="AO304" s="235"/>
      <c r="AP304" s="235">
        <f t="shared" si="1359"/>
        <v>0</v>
      </c>
      <c r="AQ304" s="238">
        <f>Energy!AQ168</f>
        <v>0</v>
      </c>
      <c r="AR304" s="238">
        <f>Energy!AR168</f>
        <v>0</v>
      </c>
      <c r="AS304" s="238">
        <f>Energy!AS168</f>
        <v>0</v>
      </c>
      <c r="AT304" s="237">
        <f>Energy!AT168</f>
        <v>0</v>
      </c>
      <c r="AU304" s="237"/>
      <c r="AV304" s="237"/>
      <c r="AW304" s="237"/>
      <c r="AX304" s="237">
        <v>0</v>
      </c>
      <c r="AY304" s="237">
        <f>Energy!AY168</f>
        <v>0</v>
      </c>
      <c r="AZ304" s="237">
        <f>Energy!AZ168</f>
        <v>0</v>
      </c>
      <c r="BA304" s="237">
        <f>Energy!BA168</f>
        <v>0</v>
      </c>
      <c r="BB304" s="237">
        <f>Energy!BB168</f>
        <v>0</v>
      </c>
      <c r="BC304" s="237">
        <f>Energy!BC168</f>
        <v>0</v>
      </c>
      <c r="BD304" s="237">
        <f>Energy!BD168</f>
        <v>0</v>
      </c>
      <c r="BE304" s="237">
        <f>Energy!BE168</f>
        <v>0</v>
      </c>
      <c r="BF304" s="237">
        <f>Energy!BF168</f>
        <v>0</v>
      </c>
      <c r="BG304" s="237">
        <f>Energy!BG168</f>
        <v>0</v>
      </c>
      <c r="BH304" s="237">
        <f>Energy!BH168</f>
        <v>0</v>
      </c>
      <c r="BI304" s="237">
        <f>Energy!BI168</f>
        <v>0</v>
      </c>
      <c r="BJ304" s="237">
        <f>Energy!BJ168</f>
        <v>0</v>
      </c>
      <c r="BK304" s="237">
        <f>Energy!BK168</f>
        <v>0</v>
      </c>
      <c r="BL304" s="237">
        <f>Energy!BL168</f>
        <v>0</v>
      </c>
      <c r="BM304" s="237">
        <f>Energy!BM168</f>
        <v>0</v>
      </c>
      <c r="BN304" s="237">
        <f>Energy!BN168</f>
        <v>0</v>
      </c>
      <c r="BO304" s="237">
        <f>Energy!BO168</f>
        <v>0</v>
      </c>
      <c r="BP304" s="237">
        <f>Energy!BP168</f>
        <v>0</v>
      </c>
      <c r="BQ304" s="237">
        <f>Energy!BQ168</f>
        <v>0</v>
      </c>
      <c r="BR304" s="237">
        <f>Energy!BR168</f>
        <v>0</v>
      </c>
      <c r="BS304" s="237">
        <f>Energy!BS168</f>
        <v>0</v>
      </c>
      <c r="BT304" s="237">
        <f>Energy!BT168</f>
        <v>0</v>
      </c>
      <c r="BU304" s="237">
        <f>Energy!BU168</f>
        <v>0</v>
      </c>
      <c r="BV304" s="237">
        <f>Energy!BV168</f>
        <v>0</v>
      </c>
      <c r="BW304" s="237">
        <f>Energy!BW168</f>
        <v>0</v>
      </c>
      <c r="BX304" s="237">
        <f>Energy!BX168</f>
        <v>0</v>
      </c>
      <c r="BY304" s="237">
        <f>Energy!BY168</f>
        <v>0</v>
      </c>
      <c r="BZ304" s="237">
        <f>Energy!BZ168</f>
        <v>0</v>
      </c>
      <c r="CA304" s="237">
        <f>Energy!CA168</f>
        <v>0</v>
      </c>
      <c r="CB304" s="237">
        <f>Energy!CB168</f>
        <v>0</v>
      </c>
      <c r="CC304" s="237">
        <f>Energy!CC168</f>
        <v>0</v>
      </c>
      <c r="CD304" s="237">
        <f>Energy!CD168</f>
        <v>0</v>
      </c>
      <c r="CE304" s="237">
        <f>Energy!CE168</f>
        <v>0</v>
      </c>
      <c r="CF304" s="237">
        <f>Energy!CF168</f>
        <v>0</v>
      </c>
      <c r="CG304" s="237">
        <f>Energy!CG168</f>
        <v>0</v>
      </c>
      <c r="CH304" s="237">
        <f>Energy!CH168</f>
        <v>0</v>
      </c>
      <c r="CI304" s="237">
        <f>Energy!CI168</f>
        <v>0</v>
      </c>
      <c r="CJ304" s="237">
        <v>0</v>
      </c>
      <c r="CK304" s="237">
        <f>Energy!CK168</f>
        <v>0</v>
      </c>
      <c r="CL304" s="237">
        <f>Energy!CL168</f>
        <v>0</v>
      </c>
      <c r="CM304" s="237">
        <f>Energy!CM168</f>
        <v>0</v>
      </c>
      <c r="CN304" s="237">
        <f>Energy!CN168</f>
        <v>0</v>
      </c>
      <c r="CO304" s="237">
        <f>Energy!CO168</f>
        <v>0</v>
      </c>
    </row>
    <row r="305" spans="1:93" s="92" customFormat="1" x14ac:dyDescent="0.25">
      <c r="A305" s="164" t="str">
        <f>Language!AA296</f>
        <v>Rio Canoas</v>
      </c>
      <c r="B305" s="235">
        <f>Energy!B169</f>
        <v>-367</v>
      </c>
      <c r="C305" s="235">
        <f>Energy!C169</f>
        <v>-872</v>
      </c>
      <c r="D305" s="235">
        <f>Energy!D169</f>
        <v>-1632</v>
      </c>
      <c r="E305" s="236">
        <f>Energy!E169</f>
        <v>2511</v>
      </c>
      <c r="F305" s="235">
        <f>Energy!F169</f>
        <v>344</v>
      </c>
      <c r="G305" s="235">
        <f>Energy!G169</f>
        <v>-354</v>
      </c>
      <c r="H305" s="235">
        <f>Energy!H169</f>
        <v>102</v>
      </c>
      <c r="I305" s="236">
        <f>Energy!I169</f>
        <v>-496</v>
      </c>
      <c r="J305" s="235">
        <f>Energy!J169</f>
        <v>-385</v>
      </c>
      <c r="K305" s="235">
        <f>Energy!K169</f>
        <v>-347</v>
      </c>
      <c r="L305" s="235">
        <f>Energy!L169</f>
        <v>265.75437999999849</v>
      </c>
      <c r="M305" s="236">
        <f>Energy!M169</f>
        <v>21942.02562</v>
      </c>
      <c r="N305" s="235">
        <f>Energy!N169</f>
        <v>180073</v>
      </c>
      <c r="O305" s="235">
        <f>Energy!O169</f>
        <v>-13937.505269999998</v>
      </c>
      <c r="P305" s="235">
        <f>Energy!P169</f>
        <v>-17551.894174329991</v>
      </c>
      <c r="Q305" s="235">
        <f>Energy!Q169</f>
        <v>-19988.600555670011</v>
      </c>
      <c r="R305" s="237">
        <f>Energy!R169</f>
        <v>22133</v>
      </c>
      <c r="S305" s="235">
        <f>Energy!S169</f>
        <v>-18219</v>
      </c>
      <c r="T305" s="238">
        <f>Energy!T169</f>
        <v>-15379</v>
      </c>
      <c r="U305" s="238">
        <f>Energy!U169</f>
        <v>-6587</v>
      </c>
      <c r="V305" s="238">
        <f>Energy!V169</f>
        <v>3914</v>
      </c>
      <c r="W305" s="238">
        <f>Energy!W169</f>
        <v>-11465</v>
      </c>
      <c r="X305" s="238">
        <f>Energy!X169</f>
        <v>-18052</v>
      </c>
      <c r="Y305" s="237">
        <f>Energy!Y169</f>
        <v>0</v>
      </c>
      <c r="Z305" s="235">
        <f>Energy!Z169</f>
        <v>0</v>
      </c>
      <c r="AA305" s="238">
        <f>Energy!AA169</f>
        <v>0</v>
      </c>
      <c r="AB305" s="238">
        <f>Energy!AB169</f>
        <v>0</v>
      </c>
      <c r="AC305" s="238">
        <f>Energy!AC169</f>
        <v>0</v>
      </c>
      <c r="AD305" s="238">
        <f>Energy!AD169</f>
        <v>0</v>
      </c>
      <c r="AE305" s="238">
        <f>Energy!AE169</f>
        <v>0</v>
      </c>
      <c r="AF305" s="237">
        <f>Energy!AF169</f>
        <v>0</v>
      </c>
      <c r="AG305" s="235">
        <f>Energy!AG169</f>
        <v>0</v>
      </c>
      <c r="AH305" s="235">
        <f>Energy!AJ169</f>
        <v>0</v>
      </c>
      <c r="AI305" s="238">
        <f>Energy!AI169</f>
        <v>0</v>
      </c>
      <c r="AJ305" s="238">
        <f>Energy!AJ169</f>
        <v>0</v>
      </c>
      <c r="AK305" s="238">
        <f>Energy!AK169</f>
        <v>0</v>
      </c>
      <c r="AL305" s="238">
        <f>Energy!AL169</f>
        <v>0</v>
      </c>
      <c r="AM305" s="237">
        <f>Energy!AM169</f>
        <v>0</v>
      </c>
      <c r="AN305" s="235">
        <f t="shared" si="1358"/>
        <v>0</v>
      </c>
      <c r="AO305" s="235"/>
      <c r="AP305" s="235">
        <f t="shared" si="1359"/>
        <v>0</v>
      </c>
      <c r="AQ305" s="238">
        <f>Energy!AQ169</f>
        <v>0</v>
      </c>
      <c r="AR305" s="238">
        <f>Energy!AR169</f>
        <v>0</v>
      </c>
      <c r="AS305" s="238">
        <f>Energy!AS169</f>
        <v>0</v>
      </c>
      <c r="AT305" s="237">
        <f>Energy!AT169</f>
        <v>0</v>
      </c>
      <c r="AU305" s="237"/>
      <c r="AV305" s="237"/>
      <c r="AW305" s="237"/>
      <c r="AX305" s="237">
        <v>0</v>
      </c>
      <c r="AY305" s="237">
        <f>Energy!AY169</f>
        <v>0</v>
      </c>
      <c r="AZ305" s="237">
        <f>Energy!AZ169</f>
        <v>0</v>
      </c>
      <c r="BA305" s="237">
        <f>Energy!BA169</f>
        <v>0</v>
      </c>
      <c r="BB305" s="237">
        <f>Energy!BB169</f>
        <v>0</v>
      </c>
      <c r="BC305" s="237">
        <f>Energy!BC169</f>
        <v>0</v>
      </c>
      <c r="BD305" s="237">
        <f>Energy!BD169</f>
        <v>0</v>
      </c>
      <c r="BE305" s="237">
        <f>Energy!BE169</f>
        <v>0</v>
      </c>
      <c r="BF305" s="237">
        <f>Energy!BF169</f>
        <v>0</v>
      </c>
      <c r="BG305" s="237">
        <f>Energy!BG169</f>
        <v>0</v>
      </c>
      <c r="BH305" s="237">
        <f>Energy!BH169</f>
        <v>0</v>
      </c>
      <c r="BI305" s="237">
        <f>Energy!BI169</f>
        <v>0</v>
      </c>
      <c r="BJ305" s="237">
        <f>Energy!BJ169</f>
        <v>0</v>
      </c>
      <c r="BK305" s="237">
        <f>Energy!BK169</f>
        <v>0</v>
      </c>
      <c r="BL305" s="237">
        <f>Energy!BL169</f>
        <v>0</v>
      </c>
      <c r="BM305" s="237">
        <f>Energy!BM169</f>
        <v>0</v>
      </c>
      <c r="BN305" s="237">
        <f>Energy!BN169</f>
        <v>0</v>
      </c>
      <c r="BO305" s="237">
        <f>Energy!BO169</f>
        <v>0</v>
      </c>
      <c r="BP305" s="237">
        <f>Energy!BP169</f>
        <v>0</v>
      </c>
      <c r="BQ305" s="237">
        <f>Energy!BQ169</f>
        <v>0</v>
      </c>
      <c r="BR305" s="237">
        <f>Energy!BR169</f>
        <v>0</v>
      </c>
      <c r="BS305" s="237">
        <f>Energy!BS169</f>
        <v>0</v>
      </c>
      <c r="BT305" s="237">
        <f>Energy!BT169</f>
        <v>0</v>
      </c>
      <c r="BU305" s="237">
        <f>Energy!BU169</f>
        <v>0</v>
      </c>
      <c r="BV305" s="237">
        <f>Energy!BV169</f>
        <v>0</v>
      </c>
      <c r="BW305" s="237">
        <f>Energy!BW169</f>
        <v>0</v>
      </c>
      <c r="BX305" s="237">
        <f>Energy!BX169</f>
        <v>0</v>
      </c>
      <c r="BY305" s="237">
        <f>Energy!BY169</f>
        <v>0</v>
      </c>
      <c r="BZ305" s="237">
        <f>Energy!BZ169</f>
        <v>0</v>
      </c>
      <c r="CA305" s="237">
        <f>Energy!CA169</f>
        <v>0</v>
      </c>
      <c r="CB305" s="237">
        <f>Energy!CB169</f>
        <v>0</v>
      </c>
      <c r="CC305" s="237">
        <f>Energy!CC169</f>
        <v>0</v>
      </c>
      <c r="CD305" s="237">
        <f>Energy!CD169</f>
        <v>0</v>
      </c>
      <c r="CE305" s="237">
        <f>Energy!CE169</f>
        <v>0</v>
      </c>
      <c r="CF305" s="237">
        <f>Energy!CF169</f>
        <v>0</v>
      </c>
      <c r="CG305" s="237">
        <f>Energy!CG169</f>
        <v>0</v>
      </c>
      <c r="CH305" s="237">
        <f>Energy!CH169</f>
        <v>0</v>
      </c>
      <c r="CI305" s="237">
        <f>Energy!CI169</f>
        <v>0</v>
      </c>
      <c r="CJ305" s="237">
        <v>0</v>
      </c>
      <c r="CK305" s="237">
        <f>Energy!CK169</f>
        <v>0</v>
      </c>
      <c r="CL305" s="237">
        <f>Energy!CL169</f>
        <v>0</v>
      </c>
      <c r="CM305" s="237">
        <f>Energy!CM169</f>
        <v>0</v>
      </c>
      <c r="CN305" s="237">
        <f>Energy!CN169</f>
        <v>0</v>
      </c>
      <c r="CO305" s="237">
        <f>Energy!CO169</f>
        <v>0</v>
      </c>
    </row>
    <row r="306" spans="1:93" s="92" customFormat="1" x14ac:dyDescent="0.25">
      <c r="A306" s="164" t="str">
        <f>Language!AA297</f>
        <v>Tijoá</v>
      </c>
      <c r="B306" s="235"/>
      <c r="C306" s="235"/>
      <c r="D306" s="235"/>
      <c r="E306" s="236"/>
      <c r="F306" s="235"/>
      <c r="G306" s="235"/>
      <c r="H306" s="235"/>
      <c r="I306" s="236"/>
      <c r="J306" s="235"/>
      <c r="K306" s="235"/>
      <c r="L306" s="235"/>
      <c r="M306" s="236"/>
      <c r="N306" s="235"/>
      <c r="O306" s="235"/>
      <c r="P306" s="235"/>
      <c r="Q306" s="235"/>
      <c r="R306" s="237">
        <f>Energy!R170</f>
        <v>-815</v>
      </c>
      <c r="S306" s="235">
        <f>Energy!S170</f>
        <v>1580</v>
      </c>
      <c r="T306" s="238">
        <f>Energy!T170</f>
        <v>5885</v>
      </c>
      <c r="U306" s="238">
        <f>Energy!U170</f>
        <v>264</v>
      </c>
      <c r="V306" s="238">
        <f>Energy!V170</f>
        <v>765</v>
      </c>
      <c r="W306" s="238">
        <f>Energy!W170</f>
        <v>6650</v>
      </c>
      <c r="X306" s="238">
        <f>Energy!X170</f>
        <v>6914</v>
      </c>
      <c r="Y306" s="237">
        <f>Energy!Y170</f>
        <v>1059</v>
      </c>
      <c r="Z306" s="235">
        <f>Energy!Z170</f>
        <v>706</v>
      </c>
      <c r="AA306" s="238">
        <f>Energy!AA170</f>
        <v>-1174</v>
      </c>
      <c r="AB306" s="238">
        <f>Energy!AB170</f>
        <v>1900</v>
      </c>
      <c r="AC306" s="238">
        <f>Energy!AC170</f>
        <v>1765</v>
      </c>
      <c r="AD306" s="238">
        <f>Energy!AD170</f>
        <v>591</v>
      </c>
      <c r="AE306" s="238">
        <f>Energy!AE170</f>
        <v>2491</v>
      </c>
      <c r="AF306" s="237">
        <f>Energy!AF170</f>
        <v>1013</v>
      </c>
      <c r="AG306" s="235">
        <f>Energy!AG170</f>
        <v>1687</v>
      </c>
      <c r="AH306" s="235">
        <f>Energy!AJ170</f>
        <v>2700</v>
      </c>
      <c r="AI306" s="238">
        <f>Energy!AI170</f>
        <v>7116</v>
      </c>
      <c r="AJ306" s="238">
        <f>Energy!AJ170</f>
        <v>2700</v>
      </c>
      <c r="AK306" s="238">
        <f>Energy!AK170</f>
        <v>9179</v>
      </c>
      <c r="AL306" s="238">
        <f>Energy!AL170</f>
        <v>12039</v>
      </c>
      <c r="AM306" s="237">
        <f>Energy!AM170</f>
        <v>1446</v>
      </c>
      <c r="AN306" s="235">
        <f t="shared" si="1358"/>
        <v>1292</v>
      </c>
      <c r="AO306" s="235"/>
      <c r="AP306" s="235">
        <f t="shared" si="1359"/>
        <v>6355.7300441235457</v>
      </c>
      <c r="AQ306" s="238">
        <f>Energy!AQ170</f>
        <v>2738</v>
      </c>
      <c r="AR306" s="238">
        <f>Energy!AR170</f>
        <v>9763</v>
      </c>
      <c r="AS306" s="238">
        <f>Energy!AS170</f>
        <v>16118.730044123546</v>
      </c>
      <c r="AT306" s="237">
        <f>Energy!AT170</f>
        <v>7135</v>
      </c>
      <c r="AU306" s="237">
        <f>Energy!AU170</f>
        <v>7458</v>
      </c>
      <c r="AV306" s="237">
        <f>Energy!AV170</f>
        <v>8074</v>
      </c>
      <c r="AW306" s="237">
        <f>Energy!AW170</f>
        <v>6766</v>
      </c>
      <c r="AX306" s="237">
        <f>Energy!AX170</f>
        <v>14593</v>
      </c>
      <c r="AY306" s="237">
        <f>Energy!AY170</f>
        <v>22667</v>
      </c>
      <c r="AZ306" s="237">
        <f>Energy!AZ170</f>
        <v>29433</v>
      </c>
      <c r="BA306" s="237">
        <f>Energy!BA170</f>
        <v>7828</v>
      </c>
      <c r="BB306" s="237">
        <f>Energy!BB170</f>
        <v>8156</v>
      </c>
      <c r="BC306" s="237">
        <f>Energy!BC170</f>
        <v>9001</v>
      </c>
      <c r="BD306" s="237">
        <f>Energy!BD170</f>
        <v>7980</v>
      </c>
      <c r="BE306" s="237">
        <f>Energy!BE170</f>
        <v>15984</v>
      </c>
      <c r="BF306" s="237">
        <f>Energy!BF170</f>
        <v>24985</v>
      </c>
      <c r="BG306" s="237">
        <f>Energy!BG170</f>
        <v>32965</v>
      </c>
      <c r="BH306" s="237">
        <f>Energy!BH170</f>
        <v>8597</v>
      </c>
      <c r="BI306" s="237">
        <f>Energy!BI170</f>
        <v>7999</v>
      </c>
      <c r="BJ306" s="237">
        <f>Energy!BJ170</f>
        <v>10040</v>
      </c>
      <c r="BK306" s="237">
        <f>Energy!BK170</f>
        <v>8779</v>
      </c>
      <c r="BL306" s="237">
        <f>Energy!BL170</f>
        <v>16596</v>
      </c>
      <c r="BM306" s="237">
        <f>Energy!BM170</f>
        <v>26636</v>
      </c>
      <c r="BN306" s="237">
        <f>Energy!BN170</f>
        <v>35415</v>
      </c>
      <c r="BO306" s="237">
        <f>Energy!BO170</f>
        <v>9550</v>
      </c>
      <c r="BP306" s="237">
        <f>Energy!BP170</f>
        <v>9472</v>
      </c>
      <c r="BQ306" s="237">
        <f>Energy!BQ170</f>
        <v>11728</v>
      </c>
      <c r="BR306" s="237">
        <f>Energy!BR170</f>
        <v>9134</v>
      </c>
      <c r="BS306" s="237">
        <f>Energy!BS170</f>
        <v>19022</v>
      </c>
      <c r="BT306" s="237">
        <f>Energy!BT170</f>
        <v>30750</v>
      </c>
      <c r="BU306" s="237">
        <f>Energy!BU170</f>
        <v>39884</v>
      </c>
      <c r="BV306" s="237">
        <f>Energy!BV170</f>
        <v>11419</v>
      </c>
      <c r="BW306" s="237">
        <f>Energy!BW170</f>
        <v>10660</v>
      </c>
      <c r="BX306" s="237">
        <f>Energy!BX170</f>
        <v>11415</v>
      </c>
      <c r="BY306" s="237">
        <f>Energy!BY170</f>
        <v>9867</v>
      </c>
      <c r="BZ306" s="237">
        <f>Energy!BZ170</f>
        <v>22079</v>
      </c>
      <c r="CA306" s="237">
        <f>Energy!CA170</f>
        <v>33494</v>
      </c>
      <c r="CB306" s="237">
        <f>Energy!CB170</f>
        <v>43361</v>
      </c>
      <c r="CC306" s="237">
        <f>Energy!CC170</f>
        <v>10693</v>
      </c>
      <c r="CD306" s="237">
        <f>Energy!CD170</f>
        <v>10550</v>
      </c>
      <c r="CE306" s="237">
        <f>Energy!CE170</f>
        <v>11133</v>
      </c>
      <c r="CF306" s="237">
        <f>Energy!CF170</f>
        <v>10487</v>
      </c>
      <c r="CG306" s="237">
        <f>Energy!CG170</f>
        <v>21243</v>
      </c>
      <c r="CH306" s="237">
        <f>Energy!CH170</f>
        <v>32376</v>
      </c>
      <c r="CI306" s="237">
        <f>Energy!CI170</f>
        <v>42863</v>
      </c>
      <c r="CJ306" s="237">
        <v>11411</v>
      </c>
      <c r="CK306" s="237">
        <f>Energy!CK170</f>
        <v>11654</v>
      </c>
      <c r="CL306" s="237">
        <f>Energy!CL170</f>
        <v>0</v>
      </c>
      <c r="CM306" s="237">
        <f>Energy!CM170</f>
        <v>0</v>
      </c>
      <c r="CN306" s="237">
        <f>Energy!CN170</f>
        <v>23065</v>
      </c>
      <c r="CO306" s="237">
        <f>Energy!CO170</f>
        <v>0</v>
      </c>
    </row>
    <row r="307" spans="1:93" s="92" customFormat="1" x14ac:dyDescent="0.25">
      <c r="A307" s="164" t="str">
        <f>Language!AA298</f>
        <v>Outros</v>
      </c>
      <c r="B307" s="235">
        <f>Energy!B171</f>
        <v>-22</v>
      </c>
      <c r="C307" s="235">
        <f>Energy!C171</f>
        <v>-85</v>
      </c>
      <c r="D307" s="235">
        <f>Energy!D171</f>
        <v>104</v>
      </c>
      <c r="E307" s="236">
        <f>Energy!E171</f>
        <v>-6</v>
      </c>
      <c r="F307" s="235">
        <f>Energy!F171</f>
        <v>0</v>
      </c>
      <c r="G307" s="235">
        <f>Energy!G171</f>
        <v>-2</v>
      </c>
      <c r="H307" s="235">
        <f>Energy!H171</f>
        <v>-63</v>
      </c>
      <c r="I307" s="236">
        <f>Energy!I171</f>
        <v>-264</v>
      </c>
      <c r="J307" s="235">
        <f>Energy!J171</f>
        <v>13111</v>
      </c>
      <c r="K307" s="235">
        <f>Energy!K171</f>
        <v>-835</v>
      </c>
      <c r="L307" s="235">
        <f>Energy!L171</f>
        <v>-8978</v>
      </c>
      <c r="M307" s="236">
        <f>Energy!M171</f>
        <v>336</v>
      </c>
      <c r="N307" s="235">
        <f>Energy!N171</f>
        <v>-220</v>
      </c>
      <c r="O307" s="235">
        <f>Energy!O171</f>
        <v>-468</v>
      </c>
      <c r="P307" s="235">
        <f>Energy!P171</f>
        <v>-1459.999991122022</v>
      </c>
      <c r="Q307" s="235">
        <f>Energy!Q171</f>
        <v>-2287.000008877978</v>
      </c>
      <c r="R307" s="237">
        <f>Energy!R171</f>
        <v>-1489</v>
      </c>
      <c r="S307" s="235">
        <f>Energy!S171</f>
        <v>5957</v>
      </c>
      <c r="T307" s="238">
        <f>Energy!T171</f>
        <v>-4370</v>
      </c>
      <c r="U307" s="238">
        <f>Energy!U171</f>
        <v>3174</v>
      </c>
      <c r="V307" s="238">
        <f>Energy!V171</f>
        <v>-1379</v>
      </c>
      <c r="W307" s="238">
        <f>Energy!W171</f>
        <v>-5749</v>
      </c>
      <c r="X307" s="238">
        <f>Energy!X171</f>
        <v>-2575</v>
      </c>
      <c r="Y307" s="237">
        <f>Energy!Y171</f>
        <v>0</v>
      </c>
      <c r="Z307" s="235">
        <f>Energy!Z171</f>
        <v>0</v>
      </c>
      <c r="AA307" s="238">
        <f>Energy!AA171</f>
        <v>1340</v>
      </c>
      <c r="AB307" s="238">
        <f>Energy!AB171</f>
        <v>473</v>
      </c>
      <c r="AC307" s="238">
        <f>Energy!AC171</f>
        <v>0</v>
      </c>
      <c r="AD307" s="238">
        <f>Energy!AD171</f>
        <v>1340</v>
      </c>
      <c r="AE307" s="238">
        <f>Energy!AE171</f>
        <v>1813</v>
      </c>
      <c r="AF307" s="237">
        <f>Energy!AF171</f>
        <v>486</v>
      </c>
      <c r="AG307" s="235">
        <f>Energy!AG171</f>
        <v>486</v>
      </c>
      <c r="AH307" s="235">
        <f>Energy!AJ171</f>
        <v>972</v>
      </c>
      <c r="AI307" s="238">
        <f>Energy!AI171</f>
        <v>7510</v>
      </c>
      <c r="AJ307" s="238">
        <f>Energy!AJ171</f>
        <v>972</v>
      </c>
      <c r="AK307" s="238">
        <f>Energy!AK171</f>
        <v>-3435</v>
      </c>
      <c r="AL307" s="238">
        <f>Energy!AL171</f>
        <v>583</v>
      </c>
      <c r="AM307" s="237">
        <f>Energy!AM171</f>
        <v>488</v>
      </c>
      <c r="AN307" s="235">
        <f t="shared" si="1358"/>
        <v>52</v>
      </c>
      <c r="AO307" s="235"/>
      <c r="AP307" s="235">
        <f t="shared" si="1359"/>
        <v>-32.730044123546122</v>
      </c>
      <c r="AQ307" s="238">
        <f>Energy!AQ171</f>
        <v>540</v>
      </c>
      <c r="AR307" s="238">
        <f>Energy!AR171</f>
        <v>1117</v>
      </c>
      <c r="AS307" s="238">
        <f>Energy!AS171</f>
        <v>1084.2699558764539</v>
      </c>
      <c r="AT307" s="237">
        <f>Energy!AT171</f>
        <v>19.999999999999773</v>
      </c>
      <c r="AU307" s="237">
        <f>Energy!AU171</f>
        <v>43</v>
      </c>
      <c r="AV307" s="237">
        <f>Energy!AV171</f>
        <v>382</v>
      </c>
      <c r="AW307" s="237">
        <f>Energy!AW171</f>
        <v>160</v>
      </c>
      <c r="AX307" s="237">
        <f>Energy!AX171</f>
        <v>62.999999999999545</v>
      </c>
      <c r="AY307" s="237">
        <f>Energy!AY171</f>
        <v>445</v>
      </c>
      <c r="AZ307" s="237">
        <f>Energy!AZ171</f>
        <v>605</v>
      </c>
      <c r="BA307" s="237">
        <f>Energy!BA171</f>
        <v>-228</v>
      </c>
      <c r="BB307" s="237">
        <f>Energy!BB171</f>
        <v>-23</v>
      </c>
      <c r="BC307" s="237">
        <f>Energy!BC171</f>
        <v>147</v>
      </c>
      <c r="BD307" s="237">
        <f>Energy!BD171</f>
        <v>-20</v>
      </c>
      <c r="BE307" s="237">
        <f>Energy!BE171</f>
        <v>-251</v>
      </c>
      <c r="BF307" s="237">
        <f>Energy!BF171</f>
        <v>-104</v>
      </c>
      <c r="BG307" s="237">
        <f>Energy!BG171</f>
        <v>-124</v>
      </c>
      <c r="BH307" s="237">
        <f>Energy!BH171</f>
        <v>-72</v>
      </c>
      <c r="BI307" s="237">
        <f>Energy!BI171</f>
        <v>7</v>
      </c>
      <c r="BJ307" s="237">
        <f>Energy!BJ171</f>
        <v>-37</v>
      </c>
      <c r="BK307" s="237">
        <f>Energy!BK171</f>
        <v>-46</v>
      </c>
      <c r="BL307" s="237">
        <f>Energy!BL171</f>
        <v>-65</v>
      </c>
      <c r="BM307" s="237">
        <f>Energy!BM171</f>
        <v>-102</v>
      </c>
      <c r="BN307" s="237">
        <f>Energy!BN171</f>
        <v>-148</v>
      </c>
      <c r="BO307" s="237">
        <f>Energy!BO171</f>
        <v>-110</v>
      </c>
      <c r="BP307" s="237">
        <f>Energy!BP171</f>
        <v>-52</v>
      </c>
      <c r="BQ307" s="237">
        <f>Energy!BQ171</f>
        <v>10</v>
      </c>
      <c r="BR307" s="237">
        <f>Energy!BR171</f>
        <v>282</v>
      </c>
      <c r="BS307" s="237">
        <f>Energy!BS171</f>
        <v>-173</v>
      </c>
      <c r="BT307" s="237">
        <f>Energy!BT171</f>
        <v>-114</v>
      </c>
      <c r="BU307" s="237">
        <f>Energy!BU171</f>
        <v>178</v>
      </c>
      <c r="BV307" s="237">
        <f>Energy!BV171</f>
        <v>237</v>
      </c>
      <c r="BW307" s="237">
        <f>Energy!BW171</f>
        <v>298</v>
      </c>
      <c r="BX307" s="237">
        <f>Energy!BX171</f>
        <v>252</v>
      </c>
      <c r="BY307" s="237">
        <f>Energy!BY171</f>
        <v>225</v>
      </c>
      <c r="BZ307" s="237">
        <f>Energy!BZ171</f>
        <v>535</v>
      </c>
      <c r="CA307" s="237">
        <f>Energy!CA171</f>
        <v>787</v>
      </c>
      <c r="CB307" s="237">
        <f>Energy!CB171</f>
        <v>1012</v>
      </c>
      <c r="CC307" s="237">
        <f>Energy!CC171</f>
        <v>12</v>
      </c>
      <c r="CD307" s="237">
        <f>Energy!CD171</f>
        <v>304</v>
      </c>
      <c r="CE307" s="237">
        <f>Energy!CE171</f>
        <v>293</v>
      </c>
      <c r="CF307" s="237">
        <f>Energy!CF171</f>
        <v>310</v>
      </c>
      <c r="CG307" s="237">
        <f>Energy!CG171</f>
        <v>316</v>
      </c>
      <c r="CH307" s="237">
        <f>Energy!CH171</f>
        <v>609</v>
      </c>
      <c r="CI307" s="237">
        <f>Energy!CI171</f>
        <v>919</v>
      </c>
      <c r="CJ307" s="237">
        <v>-1747</v>
      </c>
      <c r="CK307" s="237">
        <f>Energy!CK171</f>
        <v>-1167</v>
      </c>
      <c r="CL307" s="237">
        <f>Energy!CL171</f>
        <v>0</v>
      </c>
      <c r="CM307" s="237">
        <f>Energy!CM171</f>
        <v>0</v>
      </c>
      <c r="CN307" s="237">
        <f>Energy!CN171</f>
        <v>-2914</v>
      </c>
      <c r="CO307" s="237">
        <f>Energy!CO171</f>
        <v>0</v>
      </c>
    </row>
    <row r="308" spans="1:93" s="100" customFormat="1" ht="13" x14ac:dyDescent="0.3">
      <c r="A308" s="160" t="str">
        <f>Language!AA299</f>
        <v>Portos</v>
      </c>
      <c r="B308" s="231" t="e">
        <f>SUM(B309,B310,B311)</f>
        <v>#REF!</v>
      </c>
      <c r="C308" s="231" t="e">
        <f t="shared" ref="C308:L308" si="1566">SUM(C309,C310,C311)</f>
        <v>#REF!</v>
      </c>
      <c r="D308" s="231" t="e">
        <f t="shared" si="1566"/>
        <v>#REF!</v>
      </c>
      <c r="E308" s="232" t="e">
        <f t="shared" si="1566"/>
        <v>#REF!</v>
      </c>
      <c r="F308" s="231" t="e">
        <f t="shared" si="1566"/>
        <v>#REF!</v>
      </c>
      <c r="G308" s="231" t="e">
        <f t="shared" si="1566"/>
        <v>#REF!</v>
      </c>
      <c r="H308" s="231" t="e">
        <f t="shared" si="1566"/>
        <v>#REF!</v>
      </c>
      <c r="I308" s="232" t="e">
        <f t="shared" si="1566"/>
        <v>#REF!</v>
      </c>
      <c r="J308" s="231" t="e">
        <f t="shared" si="1566"/>
        <v>#REF!</v>
      </c>
      <c r="K308" s="231" t="e">
        <f t="shared" si="1566"/>
        <v>#REF!</v>
      </c>
      <c r="L308" s="231" t="e">
        <f t="shared" si="1566"/>
        <v>#REF!</v>
      </c>
      <c r="M308" s="232" t="e">
        <f t="shared" ref="M308:N308" si="1567">SUM(M309,M310,M311)</f>
        <v>#REF!</v>
      </c>
      <c r="N308" s="231" t="e">
        <f t="shared" si="1567"/>
        <v>#REF!</v>
      </c>
      <c r="O308" s="231" t="e">
        <f t="shared" ref="O308:Q308" si="1568">SUM(O309,O310,O311)</f>
        <v>#REF!</v>
      </c>
      <c r="P308" s="231" t="e">
        <f t="shared" si="1568"/>
        <v>#REF!</v>
      </c>
      <c r="Q308" s="231" t="e">
        <f t="shared" si="1568"/>
        <v>#REF!</v>
      </c>
      <c r="R308" s="233" t="e">
        <f t="shared" ref="R308" si="1569">SUM(R309,R310,R311)</f>
        <v>#REF!</v>
      </c>
      <c r="S308" s="231" t="e">
        <f t="shared" ref="S308:Y308" si="1570">SUM(S309,S310,S311)</f>
        <v>#REF!</v>
      </c>
      <c r="T308" s="234" t="e">
        <f t="shared" si="1570"/>
        <v>#REF!</v>
      </c>
      <c r="U308" s="234" t="e">
        <f t="shared" si="1570"/>
        <v>#REF!</v>
      </c>
      <c r="V308" s="234" t="e">
        <f t="shared" si="1570"/>
        <v>#REF!</v>
      </c>
      <c r="W308" s="234" t="e">
        <f t="shared" si="1570"/>
        <v>#REF!</v>
      </c>
      <c r="X308" s="234" t="e">
        <f t="shared" si="1570"/>
        <v>#REF!</v>
      </c>
      <c r="Y308" s="233" t="e">
        <f t="shared" si="1570"/>
        <v>#REF!</v>
      </c>
      <c r="Z308" s="231" t="e">
        <f t="shared" ref="Z308:AB308" si="1571">SUM(Z309,Z310,Z311)</f>
        <v>#REF!</v>
      </c>
      <c r="AA308" s="234" t="e">
        <f t="shared" si="1571"/>
        <v>#REF!</v>
      </c>
      <c r="AB308" s="234" t="e">
        <f t="shared" si="1571"/>
        <v>#REF!</v>
      </c>
      <c r="AC308" s="234" t="e">
        <f t="shared" ref="AC308:AD308" si="1572">SUM(AC309,AC310,AC311)</f>
        <v>#REF!</v>
      </c>
      <c r="AD308" s="234" t="e">
        <f t="shared" si="1572"/>
        <v>#REF!</v>
      </c>
      <c r="AE308" s="234" t="e">
        <f t="shared" ref="AE308:AJ308" si="1573">SUM(AE309,AE310,AE311)</f>
        <v>#REF!</v>
      </c>
      <c r="AF308" s="233" t="e">
        <f t="shared" si="1573"/>
        <v>#REF!</v>
      </c>
      <c r="AG308" s="231" t="e">
        <f t="shared" si="1573"/>
        <v>#REF!</v>
      </c>
      <c r="AH308" s="231" t="e">
        <f t="shared" ref="AH308:AI308" si="1574">SUM(AH309,AH310,AH311)</f>
        <v>#REF!</v>
      </c>
      <c r="AI308" s="234" t="e">
        <f t="shared" si="1574"/>
        <v>#REF!</v>
      </c>
      <c r="AJ308" s="234" t="e">
        <f t="shared" si="1573"/>
        <v>#REF!</v>
      </c>
      <c r="AK308" s="234" t="e">
        <f t="shared" ref="AK308:AL308" si="1575">SUM(AK309,AK310,AK311)</f>
        <v>#REF!</v>
      </c>
      <c r="AL308" s="234" t="e">
        <f t="shared" si="1575"/>
        <v>#REF!</v>
      </c>
      <c r="AM308" s="233" t="e">
        <f t="shared" ref="AM308:AQ308" si="1576">SUM(AM309,AM310,AM311)</f>
        <v>#REF!</v>
      </c>
      <c r="AN308" s="231" t="e">
        <f t="shared" si="1358"/>
        <v>#REF!</v>
      </c>
      <c r="AO308" s="231"/>
      <c r="AP308" s="231" t="e">
        <f t="shared" si="1359"/>
        <v>#REF!</v>
      </c>
      <c r="AQ308" s="234" t="e">
        <f t="shared" si="1576"/>
        <v>#REF!</v>
      </c>
      <c r="AR308" s="234" t="e">
        <f t="shared" ref="AR308" si="1577">SUM(AR309,AR310,AR311)</f>
        <v>#REF!</v>
      </c>
      <c r="AS308" s="234"/>
      <c r="AT308" s="233"/>
      <c r="AU308" s="233"/>
      <c r="AV308" s="233"/>
      <c r="AW308" s="233"/>
      <c r="AX308" s="233"/>
      <c r="AY308" s="233"/>
      <c r="AZ308" s="233">
        <v>0</v>
      </c>
      <c r="BA308" s="233">
        <v>0</v>
      </c>
      <c r="BB308" s="233">
        <v>0</v>
      </c>
      <c r="BC308" s="233">
        <v>0</v>
      </c>
      <c r="BD308" s="233">
        <v>0</v>
      </c>
      <c r="BE308" s="233">
        <v>0</v>
      </c>
      <c r="BF308" s="233">
        <v>0</v>
      </c>
      <c r="BG308" s="233">
        <v>0</v>
      </c>
      <c r="BH308" s="233">
        <v>0</v>
      </c>
      <c r="BI308" s="233">
        <v>0</v>
      </c>
      <c r="BJ308" s="233">
        <v>0</v>
      </c>
      <c r="BK308" s="233">
        <v>0</v>
      </c>
      <c r="BL308" s="233">
        <v>0</v>
      </c>
      <c r="BM308" s="233">
        <v>0</v>
      </c>
      <c r="BN308" s="233">
        <v>0</v>
      </c>
      <c r="BO308" s="233">
        <v>0</v>
      </c>
      <c r="BP308" s="233">
        <v>0</v>
      </c>
      <c r="BQ308" s="233">
        <v>0</v>
      </c>
      <c r="BR308" s="233">
        <v>0</v>
      </c>
      <c r="BS308" s="233">
        <v>0</v>
      </c>
      <c r="BT308" s="233">
        <v>0</v>
      </c>
      <c r="BU308" s="233">
        <v>0</v>
      </c>
      <c r="BV308" s="233">
        <v>0</v>
      </c>
      <c r="BW308" s="233">
        <v>0</v>
      </c>
      <c r="BX308" s="233">
        <v>0</v>
      </c>
      <c r="BY308" s="233">
        <v>0</v>
      </c>
      <c r="BZ308" s="233">
        <v>0</v>
      </c>
      <c r="CA308" s="233">
        <v>0</v>
      </c>
      <c r="CB308" s="233">
        <v>0</v>
      </c>
      <c r="CC308" s="233">
        <v>0</v>
      </c>
      <c r="CD308" s="233">
        <v>0</v>
      </c>
      <c r="CE308" s="233">
        <v>0</v>
      </c>
      <c r="CF308" s="233">
        <v>0</v>
      </c>
      <c r="CG308" s="233">
        <v>0</v>
      </c>
      <c r="CH308" s="233">
        <v>0</v>
      </c>
      <c r="CI308" s="233">
        <v>0</v>
      </c>
      <c r="CJ308" s="233">
        <v>0</v>
      </c>
      <c r="CK308" s="233">
        <v>0</v>
      </c>
      <c r="CL308" s="233">
        <v>0</v>
      </c>
      <c r="CM308" s="233">
        <v>0</v>
      </c>
      <c r="CN308" s="233">
        <v>0</v>
      </c>
      <c r="CO308" s="233">
        <v>0</v>
      </c>
    </row>
    <row r="309" spans="1:93" s="92" customFormat="1" ht="13" x14ac:dyDescent="0.3">
      <c r="A309" s="164" t="str">
        <f>Language!AA300</f>
        <v>Portonave</v>
      </c>
      <c r="B309" s="235" t="e">
        <f>#REF!</f>
        <v>#REF!</v>
      </c>
      <c r="C309" s="235" t="e">
        <f>#REF!</f>
        <v>#REF!</v>
      </c>
      <c r="D309" s="235" t="e">
        <f>#REF!</f>
        <v>#REF!</v>
      </c>
      <c r="E309" s="236" t="e">
        <f>#REF!</f>
        <v>#REF!</v>
      </c>
      <c r="F309" s="235" t="e">
        <f>#REF!</f>
        <v>#REF!</v>
      </c>
      <c r="G309" s="235" t="e">
        <f>#REF!</f>
        <v>#REF!</v>
      </c>
      <c r="H309" s="235" t="e">
        <f>#REF!</f>
        <v>#REF!</v>
      </c>
      <c r="I309" s="236" t="e">
        <f>#REF!</f>
        <v>#REF!</v>
      </c>
      <c r="J309" s="235" t="e">
        <f>#REF!</f>
        <v>#REF!</v>
      </c>
      <c r="K309" s="235" t="e">
        <f>#REF!</f>
        <v>#REF!</v>
      </c>
      <c r="L309" s="235" t="e">
        <f>#REF!</f>
        <v>#REF!</v>
      </c>
      <c r="M309" s="236" t="e">
        <f>#REF!</f>
        <v>#REF!</v>
      </c>
      <c r="N309" s="235" t="e">
        <f>#REF!</f>
        <v>#REF!</v>
      </c>
      <c r="O309" s="235" t="e">
        <f>#REF!</f>
        <v>#REF!</v>
      </c>
      <c r="P309" s="235" t="e">
        <f>#REF!</f>
        <v>#REF!</v>
      </c>
      <c r="Q309" s="235" t="e">
        <f>#REF!</f>
        <v>#REF!</v>
      </c>
      <c r="R309" s="237" t="e">
        <f>#REF!</f>
        <v>#REF!</v>
      </c>
      <c r="S309" s="235" t="e">
        <f>#REF!</f>
        <v>#REF!</v>
      </c>
      <c r="T309" s="238" t="e">
        <f>#REF!</f>
        <v>#REF!</v>
      </c>
      <c r="U309" s="238" t="e">
        <f>#REF!</f>
        <v>#REF!</v>
      </c>
      <c r="V309" s="238" t="e">
        <f>#REF!</f>
        <v>#REF!</v>
      </c>
      <c r="W309" s="238" t="e">
        <f>#REF!</f>
        <v>#REF!</v>
      </c>
      <c r="X309" s="238" t="e">
        <f>#REF!</f>
        <v>#REF!</v>
      </c>
      <c r="Y309" s="237" t="e">
        <f>#REF!</f>
        <v>#REF!</v>
      </c>
      <c r="Z309" s="235" t="e">
        <f>#REF!</f>
        <v>#REF!</v>
      </c>
      <c r="AA309" s="238" t="e">
        <f>#REF!</f>
        <v>#REF!</v>
      </c>
      <c r="AB309" s="238" t="e">
        <f>#REF!</f>
        <v>#REF!</v>
      </c>
      <c r="AC309" s="238" t="e">
        <f>#REF!</f>
        <v>#REF!</v>
      </c>
      <c r="AD309" s="238" t="e">
        <f>#REF!</f>
        <v>#REF!</v>
      </c>
      <c r="AE309" s="238" t="e">
        <f>#REF!</f>
        <v>#REF!</v>
      </c>
      <c r="AF309" s="237" t="e">
        <f>#REF!</f>
        <v>#REF!</v>
      </c>
      <c r="AG309" s="235" t="e">
        <f>#REF!</f>
        <v>#REF!</v>
      </c>
      <c r="AH309" s="235" t="e">
        <f>#REF!</f>
        <v>#REF!</v>
      </c>
      <c r="AI309" s="238" t="e">
        <f>#REF!</f>
        <v>#REF!</v>
      </c>
      <c r="AJ309" s="238" t="e">
        <f>#REF!</f>
        <v>#REF!</v>
      </c>
      <c r="AK309" s="238" t="e">
        <f>#REF!</f>
        <v>#REF!</v>
      </c>
      <c r="AL309" s="238" t="e">
        <f>#REF!</f>
        <v>#REF!</v>
      </c>
      <c r="AM309" s="237" t="e">
        <f>#REF!</f>
        <v>#REF!</v>
      </c>
      <c r="AN309" s="235" t="e">
        <f t="shared" si="1358"/>
        <v>#REF!</v>
      </c>
      <c r="AO309" s="235"/>
      <c r="AP309" s="235" t="e">
        <f t="shared" si="1359"/>
        <v>#REF!</v>
      </c>
      <c r="AQ309" s="238" t="e">
        <f>#REF!</f>
        <v>#REF!</v>
      </c>
      <c r="AR309" s="238" t="e">
        <f>#REF!</f>
        <v>#REF!</v>
      </c>
      <c r="AS309" s="238"/>
      <c r="AT309" s="237"/>
      <c r="AU309" s="237"/>
      <c r="AV309" s="237"/>
      <c r="AW309" s="237"/>
      <c r="AX309" s="237"/>
      <c r="AY309" s="237"/>
      <c r="AZ309" s="233">
        <v>0</v>
      </c>
      <c r="BA309" s="233">
        <v>0</v>
      </c>
      <c r="BB309" s="233">
        <v>0</v>
      </c>
      <c r="BC309" s="233">
        <v>0</v>
      </c>
      <c r="BD309" s="233">
        <v>0</v>
      </c>
      <c r="BE309" s="233">
        <v>0</v>
      </c>
      <c r="BF309" s="233">
        <v>0</v>
      </c>
      <c r="BG309" s="233">
        <v>0</v>
      </c>
      <c r="BH309" s="233">
        <v>0</v>
      </c>
      <c r="BI309" s="233">
        <v>0</v>
      </c>
      <c r="BJ309" s="233">
        <v>0</v>
      </c>
      <c r="BK309" s="233">
        <v>0</v>
      </c>
      <c r="BL309" s="233">
        <v>0</v>
      </c>
      <c r="BM309" s="233">
        <v>0</v>
      </c>
      <c r="BN309" s="233">
        <v>0</v>
      </c>
      <c r="BO309" s="233">
        <v>0</v>
      </c>
      <c r="BP309" s="233">
        <v>0</v>
      </c>
      <c r="BQ309" s="233">
        <v>0</v>
      </c>
      <c r="BR309" s="233">
        <v>0</v>
      </c>
      <c r="BS309" s="233">
        <v>0</v>
      </c>
      <c r="BT309" s="233">
        <v>0</v>
      </c>
      <c r="BU309" s="233">
        <v>0</v>
      </c>
      <c r="BV309" s="233">
        <v>0</v>
      </c>
      <c r="BW309" s="233">
        <v>0</v>
      </c>
      <c r="BX309" s="233">
        <v>0</v>
      </c>
      <c r="BY309" s="233">
        <v>0</v>
      </c>
      <c r="BZ309" s="233">
        <v>0</v>
      </c>
      <c r="CA309" s="233">
        <v>0</v>
      </c>
      <c r="CB309" s="233">
        <v>0</v>
      </c>
      <c r="CC309" s="233">
        <v>0</v>
      </c>
      <c r="CD309" s="233">
        <v>0</v>
      </c>
      <c r="CE309" s="233">
        <v>0</v>
      </c>
      <c r="CF309" s="233">
        <v>0</v>
      </c>
      <c r="CG309" s="233">
        <v>0</v>
      </c>
      <c r="CH309" s="233">
        <v>0</v>
      </c>
      <c r="CI309" s="233">
        <v>0</v>
      </c>
      <c r="CJ309" s="233">
        <v>0</v>
      </c>
      <c r="CK309" s="233">
        <v>0</v>
      </c>
      <c r="CL309" s="233">
        <v>0</v>
      </c>
      <c r="CM309" s="233">
        <v>0</v>
      </c>
      <c r="CN309" s="233">
        <v>0</v>
      </c>
      <c r="CO309" s="233">
        <v>0</v>
      </c>
    </row>
    <row r="310" spans="1:93" s="92" customFormat="1" ht="13" x14ac:dyDescent="0.3">
      <c r="A310" s="164" t="str">
        <f>Language!AA301</f>
        <v>Iceport</v>
      </c>
      <c r="B310" s="235" t="e">
        <f>#REF!</f>
        <v>#REF!</v>
      </c>
      <c r="C310" s="235" t="e">
        <f>#REF!</f>
        <v>#REF!</v>
      </c>
      <c r="D310" s="235" t="e">
        <f>#REF!</f>
        <v>#REF!</v>
      </c>
      <c r="E310" s="236" t="e">
        <f>#REF!</f>
        <v>#REF!</v>
      </c>
      <c r="F310" s="235" t="e">
        <f>#REF!</f>
        <v>#REF!</v>
      </c>
      <c r="G310" s="235" t="e">
        <f>#REF!</f>
        <v>#REF!</v>
      </c>
      <c r="H310" s="235" t="e">
        <f>#REF!</f>
        <v>#REF!</v>
      </c>
      <c r="I310" s="236" t="e">
        <f>#REF!</f>
        <v>#REF!</v>
      </c>
      <c r="J310" s="235" t="e">
        <f>#REF!</f>
        <v>#REF!</v>
      </c>
      <c r="K310" s="235" t="e">
        <f>#REF!</f>
        <v>#REF!</v>
      </c>
      <c r="L310" s="235" t="e">
        <f>#REF!</f>
        <v>#REF!</v>
      </c>
      <c r="M310" s="236" t="e">
        <f>#REF!</f>
        <v>#REF!</v>
      </c>
      <c r="N310" s="235" t="e">
        <f>#REF!</f>
        <v>#REF!</v>
      </c>
      <c r="O310" s="235" t="e">
        <f>#REF!</f>
        <v>#REF!</v>
      </c>
      <c r="P310" s="235" t="e">
        <f>#REF!</f>
        <v>#REF!</v>
      </c>
      <c r="Q310" s="235" t="e">
        <f>#REF!</f>
        <v>#REF!</v>
      </c>
      <c r="R310" s="237" t="e">
        <f>#REF!</f>
        <v>#REF!</v>
      </c>
      <c r="S310" s="235" t="e">
        <f>#REF!</f>
        <v>#REF!</v>
      </c>
      <c r="T310" s="238" t="e">
        <f>#REF!</f>
        <v>#REF!</v>
      </c>
      <c r="U310" s="238" t="e">
        <f>#REF!</f>
        <v>#REF!</v>
      </c>
      <c r="V310" s="238" t="e">
        <f>#REF!</f>
        <v>#REF!</v>
      </c>
      <c r="W310" s="238" t="e">
        <f>#REF!</f>
        <v>#REF!</v>
      </c>
      <c r="X310" s="238" t="e">
        <f>#REF!</f>
        <v>#REF!</v>
      </c>
      <c r="Y310" s="237" t="e">
        <f>#REF!</f>
        <v>#REF!</v>
      </c>
      <c r="Z310" s="235" t="e">
        <f>#REF!</f>
        <v>#REF!</v>
      </c>
      <c r="AA310" s="238" t="e">
        <f>#REF!</f>
        <v>#REF!</v>
      </c>
      <c r="AB310" s="238" t="e">
        <f>#REF!</f>
        <v>#REF!</v>
      </c>
      <c r="AC310" s="238" t="e">
        <f>#REF!</f>
        <v>#REF!</v>
      </c>
      <c r="AD310" s="238" t="e">
        <f>#REF!</f>
        <v>#REF!</v>
      </c>
      <c r="AE310" s="238" t="e">
        <f>#REF!</f>
        <v>#REF!</v>
      </c>
      <c r="AF310" s="237" t="e">
        <f>#REF!</f>
        <v>#REF!</v>
      </c>
      <c r="AG310" s="235" t="e">
        <f>#REF!</f>
        <v>#REF!</v>
      </c>
      <c r="AH310" s="235" t="e">
        <f>#REF!</f>
        <v>#REF!</v>
      </c>
      <c r="AI310" s="238" t="e">
        <f>#REF!</f>
        <v>#REF!</v>
      </c>
      <c r="AJ310" s="238" t="e">
        <f>#REF!</f>
        <v>#REF!</v>
      </c>
      <c r="AK310" s="238" t="e">
        <f>#REF!</f>
        <v>#REF!</v>
      </c>
      <c r="AL310" s="238" t="e">
        <f>#REF!</f>
        <v>#REF!</v>
      </c>
      <c r="AM310" s="237" t="e">
        <f>#REF!</f>
        <v>#REF!</v>
      </c>
      <c r="AN310" s="235" t="e">
        <f t="shared" si="1358"/>
        <v>#REF!</v>
      </c>
      <c r="AO310" s="235"/>
      <c r="AP310" s="235" t="e">
        <f t="shared" si="1359"/>
        <v>#REF!</v>
      </c>
      <c r="AQ310" s="238" t="e">
        <f>#REF!</f>
        <v>#REF!</v>
      </c>
      <c r="AR310" s="238" t="e">
        <f>#REF!</f>
        <v>#REF!</v>
      </c>
      <c r="AS310" s="238"/>
      <c r="AT310" s="237"/>
      <c r="AU310" s="237"/>
      <c r="AV310" s="237"/>
      <c r="AW310" s="237"/>
      <c r="AX310" s="237"/>
      <c r="AY310" s="237"/>
      <c r="AZ310" s="233">
        <v>0</v>
      </c>
      <c r="BA310" s="233">
        <v>0</v>
      </c>
      <c r="BB310" s="233">
        <v>0</v>
      </c>
      <c r="BC310" s="233">
        <v>0</v>
      </c>
      <c r="BD310" s="233">
        <v>0</v>
      </c>
      <c r="BE310" s="233">
        <v>0</v>
      </c>
      <c r="BF310" s="233">
        <v>0</v>
      </c>
      <c r="BG310" s="233">
        <v>0</v>
      </c>
      <c r="BH310" s="233">
        <v>0</v>
      </c>
      <c r="BI310" s="233">
        <v>0</v>
      </c>
      <c r="BJ310" s="233">
        <v>0</v>
      </c>
      <c r="BK310" s="233">
        <v>0</v>
      </c>
      <c r="BL310" s="233">
        <v>0</v>
      </c>
      <c r="BM310" s="233">
        <v>0</v>
      </c>
      <c r="BN310" s="233">
        <v>0</v>
      </c>
      <c r="BO310" s="233">
        <v>0</v>
      </c>
      <c r="BP310" s="233">
        <v>0</v>
      </c>
      <c r="BQ310" s="233">
        <v>0</v>
      </c>
      <c r="BR310" s="233">
        <v>0</v>
      </c>
      <c r="BS310" s="233">
        <v>0</v>
      </c>
      <c r="BT310" s="233">
        <v>0</v>
      </c>
      <c r="BU310" s="233">
        <v>0</v>
      </c>
      <c r="BV310" s="233">
        <v>0</v>
      </c>
      <c r="BW310" s="233">
        <v>0</v>
      </c>
      <c r="BX310" s="233">
        <v>0</v>
      </c>
      <c r="BY310" s="233">
        <v>0</v>
      </c>
      <c r="BZ310" s="233">
        <v>0</v>
      </c>
      <c r="CA310" s="233">
        <v>0</v>
      </c>
      <c r="CB310" s="233">
        <v>0</v>
      </c>
      <c r="CC310" s="233">
        <v>0</v>
      </c>
      <c r="CD310" s="233">
        <v>0</v>
      </c>
      <c r="CE310" s="233">
        <v>0</v>
      </c>
      <c r="CF310" s="233">
        <v>0</v>
      </c>
      <c r="CG310" s="233">
        <v>0</v>
      </c>
      <c r="CH310" s="233">
        <v>0</v>
      </c>
      <c r="CI310" s="233">
        <v>0</v>
      </c>
      <c r="CJ310" s="233">
        <v>0</v>
      </c>
      <c r="CK310" s="233">
        <v>0</v>
      </c>
      <c r="CL310" s="233">
        <v>0</v>
      </c>
      <c r="CM310" s="233">
        <v>0</v>
      </c>
      <c r="CN310" s="233">
        <v>0</v>
      </c>
      <c r="CO310" s="233">
        <v>0</v>
      </c>
    </row>
    <row r="311" spans="1:93" s="92" customFormat="1" ht="13" x14ac:dyDescent="0.3">
      <c r="A311" s="164" t="str">
        <f>Language!AA302</f>
        <v>Outros</v>
      </c>
      <c r="B311" s="235" t="e">
        <f>#REF!</f>
        <v>#REF!</v>
      </c>
      <c r="C311" s="235" t="e">
        <f>#REF!</f>
        <v>#REF!</v>
      </c>
      <c r="D311" s="235" t="e">
        <f>#REF!</f>
        <v>#REF!</v>
      </c>
      <c r="E311" s="236" t="e">
        <f>#REF!</f>
        <v>#REF!</v>
      </c>
      <c r="F311" s="235" t="e">
        <f>#REF!</f>
        <v>#REF!</v>
      </c>
      <c r="G311" s="235" t="e">
        <f>#REF!</f>
        <v>#REF!</v>
      </c>
      <c r="H311" s="235" t="e">
        <f>#REF!</f>
        <v>#REF!</v>
      </c>
      <c r="I311" s="236" t="e">
        <f>#REF!</f>
        <v>#REF!</v>
      </c>
      <c r="J311" s="235" t="e">
        <f>#REF!</f>
        <v>#REF!</v>
      </c>
      <c r="K311" s="235" t="e">
        <f>#REF!</f>
        <v>#REF!</v>
      </c>
      <c r="L311" s="235" t="e">
        <f>#REF!</f>
        <v>#REF!</v>
      </c>
      <c r="M311" s="236" t="e">
        <f>#REF!</f>
        <v>#REF!</v>
      </c>
      <c r="N311" s="235" t="e">
        <f>#REF!</f>
        <v>#REF!</v>
      </c>
      <c r="O311" s="235" t="e">
        <f>#REF!</f>
        <v>#REF!</v>
      </c>
      <c r="P311" s="235" t="e">
        <f>#REF!</f>
        <v>#REF!</v>
      </c>
      <c r="Q311" s="235" t="e">
        <f>#REF!</f>
        <v>#REF!</v>
      </c>
      <c r="R311" s="237" t="e">
        <f>#REF!</f>
        <v>#REF!</v>
      </c>
      <c r="S311" s="235" t="e">
        <f>#REF!</f>
        <v>#REF!</v>
      </c>
      <c r="T311" s="238" t="e">
        <f>#REF!</f>
        <v>#REF!</v>
      </c>
      <c r="U311" s="238" t="e">
        <f>#REF!</f>
        <v>#REF!</v>
      </c>
      <c r="V311" s="238" t="e">
        <f>#REF!</f>
        <v>#REF!</v>
      </c>
      <c r="W311" s="238" t="e">
        <f>#REF!</f>
        <v>#REF!</v>
      </c>
      <c r="X311" s="238" t="e">
        <f>#REF!</f>
        <v>#REF!</v>
      </c>
      <c r="Y311" s="237" t="e">
        <f>#REF!</f>
        <v>#REF!</v>
      </c>
      <c r="Z311" s="235" t="e">
        <f>#REF!</f>
        <v>#REF!</v>
      </c>
      <c r="AA311" s="238" t="e">
        <f>#REF!</f>
        <v>#REF!</v>
      </c>
      <c r="AB311" s="238" t="e">
        <f>#REF!</f>
        <v>#REF!</v>
      </c>
      <c r="AC311" s="238" t="e">
        <f>#REF!</f>
        <v>#REF!</v>
      </c>
      <c r="AD311" s="238" t="e">
        <f>#REF!</f>
        <v>#REF!</v>
      </c>
      <c r="AE311" s="238" t="e">
        <f>#REF!</f>
        <v>#REF!</v>
      </c>
      <c r="AF311" s="237" t="e">
        <f>#REF!</f>
        <v>#REF!</v>
      </c>
      <c r="AG311" s="235" t="e">
        <f>#REF!</f>
        <v>#REF!</v>
      </c>
      <c r="AH311" s="235" t="e">
        <f>#REF!</f>
        <v>#REF!</v>
      </c>
      <c r="AI311" s="238" t="e">
        <f>#REF!</f>
        <v>#REF!</v>
      </c>
      <c r="AJ311" s="238" t="e">
        <f>#REF!</f>
        <v>#REF!</v>
      </c>
      <c r="AK311" s="238" t="e">
        <f>#REF!</f>
        <v>#REF!</v>
      </c>
      <c r="AL311" s="238" t="e">
        <f>#REF!</f>
        <v>#REF!</v>
      </c>
      <c r="AM311" s="237" t="e">
        <f>#REF!</f>
        <v>#REF!</v>
      </c>
      <c r="AN311" s="235" t="e">
        <f t="shared" si="1358"/>
        <v>#REF!</v>
      </c>
      <c r="AO311" s="235"/>
      <c r="AP311" s="235" t="e">
        <f t="shared" si="1359"/>
        <v>#REF!</v>
      </c>
      <c r="AQ311" s="238" t="e">
        <f>#REF!</f>
        <v>#REF!</v>
      </c>
      <c r="AR311" s="238" t="e">
        <f>#REF!</f>
        <v>#REF!</v>
      </c>
      <c r="AS311" s="238"/>
      <c r="AT311" s="237"/>
      <c r="AU311" s="237"/>
      <c r="AV311" s="237"/>
      <c r="AW311" s="237"/>
      <c r="AX311" s="237"/>
      <c r="AY311" s="237"/>
      <c r="AZ311" s="233">
        <v>0</v>
      </c>
      <c r="BA311" s="233">
        <v>0</v>
      </c>
      <c r="BB311" s="233">
        <v>0</v>
      </c>
      <c r="BC311" s="233">
        <v>0</v>
      </c>
      <c r="BD311" s="233">
        <v>0</v>
      </c>
      <c r="BE311" s="233">
        <v>0</v>
      </c>
      <c r="BF311" s="233">
        <v>0</v>
      </c>
      <c r="BG311" s="233">
        <v>0</v>
      </c>
      <c r="BH311" s="233">
        <v>0</v>
      </c>
      <c r="BI311" s="233">
        <v>0</v>
      </c>
      <c r="BJ311" s="233">
        <v>0</v>
      </c>
      <c r="BK311" s="233">
        <v>0</v>
      </c>
      <c r="BL311" s="233">
        <v>0</v>
      </c>
      <c r="BM311" s="233">
        <v>0</v>
      </c>
      <c r="BN311" s="233">
        <v>0</v>
      </c>
      <c r="BO311" s="233">
        <v>0</v>
      </c>
      <c r="BP311" s="233">
        <v>0</v>
      </c>
      <c r="BQ311" s="233">
        <v>0</v>
      </c>
      <c r="BR311" s="233">
        <v>0</v>
      </c>
      <c r="BS311" s="233">
        <v>0</v>
      </c>
      <c r="BT311" s="233">
        <v>0</v>
      </c>
      <c r="BU311" s="233">
        <v>0</v>
      </c>
      <c r="BV311" s="233">
        <v>0</v>
      </c>
      <c r="BW311" s="233">
        <v>0</v>
      </c>
      <c r="BX311" s="233">
        <v>0</v>
      </c>
      <c r="BY311" s="233">
        <v>0</v>
      </c>
      <c r="BZ311" s="233">
        <v>0</v>
      </c>
      <c r="CA311" s="233">
        <v>0</v>
      </c>
      <c r="CB311" s="233">
        <v>0</v>
      </c>
      <c r="CC311" s="233">
        <v>0</v>
      </c>
      <c r="CD311" s="233">
        <v>0</v>
      </c>
      <c r="CE311" s="233">
        <v>0</v>
      </c>
      <c r="CF311" s="233">
        <v>0</v>
      </c>
      <c r="CG311" s="233">
        <v>0</v>
      </c>
      <c r="CH311" s="233">
        <v>0</v>
      </c>
      <c r="CI311" s="233">
        <v>0</v>
      </c>
      <c r="CJ311" s="233">
        <v>0</v>
      </c>
      <c r="CK311" s="233">
        <v>0</v>
      </c>
      <c r="CL311" s="233">
        <v>0</v>
      </c>
      <c r="CM311" s="233">
        <v>0</v>
      </c>
      <c r="CN311" s="233">
        <v>0</v>
      </c>
      <c r="CO311" s="233">
        <v>0</v>
      </c>
    </row>
    <row r="312" spans="1:93" s="100" customFormat="1" ht="13" x14ac:dyDescent="0.3">
      <c r="A312" s="160" t="str">
        <f>Language!AA303</f>
        <v>Cabotagem</v>
      </c>
      <c r="B312" s="241">
        <v>-5836</v>
      </c>
      <c r="C312" s="241">
        <v>-5674</v>
      </c>
      <c r="D312" s="241">
        <v>-9354</v>
      </c>
      <c r="E312" s="242">
        <v>-8842</v>
      </c>
      <c r="F312" s="241">
        <v>-12361</v>
      </c>
      <c r="G312" s="241">
        <v>-13358</v>
      </c>
      <c r="H312" s="241">
        <v>-13002</v>
      </c>
      <c r="I312" s="242">
        <v>-17579</v>
      </c>
      <c r="J312" s="241">
        <v>-15899</v>
      </c>
      <c r="K312" s="241">
        <v>-17000</v>
      </c>
      <c r="L312" s="241">
        <v>-20966</v>
      </c>
      <c r="M312" s="242">
        <v>-116601</v>
      </c>
      <c r="N312" s="241">
        <v>-22671</v>
      </c>
      <c r="O312" s="241">
        <v>-34084</v>
      </c>
      <c r="P312" s="241">
        <v>-17727</v>
      </c>
      <c r="Q312" s="241">
        <v>100864</v>
      </c>
      <c r="R312" s="243">
        <v>0</v>
      </c>
      <c r="S312" s="241">
        <v>0</v>
      </c>
      <c r="T312" s="238">
        <v>0</v>
      </c>
      <c r="U312" s="238">
        <v>0</v>
      </c>
      <c r="V312" s="238">
        <v>0</v>
      </c>
      <c r="W312" s="238">
        <v>0</v>
      </c>
      <c r="X312" s="238">
        <v>0</v>
      </c>
      <c r="Y312" s="243">
        <v>0</v>
      </c>
      <c r="Z312" s="241">
        <v>0</v>
      </c>
      <c r="AA312" s="238">
        <v>0</v>
      </c>
      <c r="AB312" s="238">
        <v>0</v>
      </c>
      <c r="AC312" s="238">
        <v>0</v>
      </c>
      <c r="AD312" s="238">
        <v>0</v>
      </c>
      <c r="AE312" s="238">
        <v>0</v>
      </c>
      <c r="AF312" s="243">
        <v>0</v>
      </c>
      <c r="AG312" s="241">
        <v>0</v>
      </c>
      <c r="AH312" s="241">
        <v>0</v>
      </c>
      <c r="AI312" s="238">
        <v>0</v>
      </c>
      <c r="AJ312" s="238">
        <v>0</v>
      </c>
      <c r="AK312" s="238">
        <v>0</v>
      </c>
      <c r="AL312" s="238">
        <v>0</v>
      </c>
      <c r="AM312" s="243">
        <v>0</v>
      </c>
      <c r="AN312" s="241">
        <f t="shared" si="1358"/>
        <v>0</v>
      </c>
      <c r="AO312" s="241"/>
      <c r="AP312" s="241">
        <f t="shared" si="1359"/>
        <v>0</v>
      </c>
      <c r="AQ312" s="238">
        <v>0</v>
      </c>
      <c r="AR312" s="238"/>
      <c r="AS312" s="238"/>
      <c r="AT312" s="243"/>
      <c r="AU312" s="243"/>
      <c r="AV312" s="243"/>
      <c r="AW312" s="243"/>
      <c r="AX312" s="243"/>
      <c r="AY312" s="243"/>
      <c r="AZ312" s="233">
        <v>0</v>
      </c>
      <c r="BA312" s="233">
        <v>0</v>
      </c>
      <c r="BB312" s="233">
        <v>0</v>
      </c>
      <c r="BC312" s="233">
        <v>0</v>
      </c>
      <c r="BD312" s="233">
        <v>0</v>
      </c>
      <c r="BE312" s="233">
        <v>0</v>
      </c>
      <c r="BF312" s="233">
        <v>0</v>
      </c>
      <c r="BG312" s="233">
        <v>0</v>
      </c>
      <c r="BH312" s="233">
        <v>0</v>
      </c>
      <c r="BI312" s="233">
        <v>0</v>
      </c>
      <c r="BJ312" s="233">
        <v>0</v>
      </c>
      <c r="BK312" s="233">
        <v>0</v>
      </c>
      <c r="BL312" s="233">
        <v>0</v>
      </c>
      <c r="BM312" s="233">
        <v>0</v>
      </c>
      <c r="BN312" s="233">
        <v>0</v>
      </c>
      <c r="BO312" s="233">
        <v>0</v>
      </c>
      <c r="BP312" s="233">
        <v>0</v>
      </c>
      <c r="BQ312" s="233">
        <v>0</v>
      </c>
      <c r="BR312" s="233">
        <v>0</v>
      </c>
      <c r="BS312" s="233">
        <v>0</v>
      </c>
      <c r="BT312" s="233">
        <v>0</v>
      </c>
      <c r="BU312" s="233">
        <v>0</v>
      </c>
      <c r="BV312" s="233">
        <v>0</v>
      </c>
      <c r="BW312" s="233">
        <v>0</v>
      </c>
      <c r="BX312" s="233">
        <v>0</v>
      </c>
      <c r="BY312" s="233">
        <v>0</v>
      </c>
      <c r="BZ312" s="233">
        <v>0</v>
      </c>
      <c r="CA312" s="233">
        <v>0</v>
      </c>
      <c r="CB312" s="233">
        <v>0</v>
      </c>
      <c r="CC312" s="233">
        <v>0</v>
      </c>
      <c r="CD312" s="233">
        <v>0</v>
      </c>
      <c r="CE312" s="233">
        <v>0</v>
      </c>
      <c r="CF312" s="233">
        <v>0</v>
      </c>
      <c r="CG312" s="233">
        <v>0</v>
      </c>
      <c r="CH312" s="233">
        <v>0</v>
      </c>
      <c r="CI312" s="233">
        <v>0</v>
      </c>
      <c r="CJ312" s="233">
        <v>0</v>
      </c>
      <c r="CK312" s="233">
        <v>0</v>
      </c>
      <c r="CL312" s="233">
        <v>0</v>
      </c>
      <c r="CM312" s="233">
        <v>0</v>
      </c>
      <c r="CN312" s="233">
        <v>0</v>
      </c>
      <c r="CO312" s="233">
        <v>0</v>
      </c>
    </row>
    <row r="313" spans="1:93" s="100" customFormat="1" ht="13" x14ac:dyDescent="0.3">
      <c r="A313" s="160" t="str">
        <f>Language!AA304</f>
        <v>Aeroportos</v>
      </c>
      <c r="B313" s="231" t="e">
        <f>#REF!</f>
        <v>#REF!</v>
      </c>
      <c r="C313" s="231" t="e">
        <f>#REF!</f>
        <v>#REF!</v>
      </c>
      <c r="D313" s="231" t="e">
        <f>#REF!</f>
        <v>#REF!</v>
      </c>
      <c r="E313" s="232" t="e">
        <f>#REF!</f>
        <v>#REF!</v>
      </c>
      <c r="F313" s="231" t="e">
        <f>#REF!</f>
        <v>#REF!</v>
      </c>
      <c r="G313" s="231" t="e">
        <f>#REF!</f>
        <v>#REF!</v>
      </c>
      <c r="H313" s="231" t="e">
        <f>#REF!</f>
        <v>#REF!</v>
      </c>
      <c r="I313" s="232" t="e">
        <f>#REF!</f>
        <v>#REF!</v>
      </c>
      <c r="J313" s="231" t="e">
        <f>#REF!</f>
        <v>#REF!</v>
      </c>
      <c r="K313" s="231" t="e">
        <f>#REF!</f>
        <v>#REF!</v>
      </c>
      <c r="L313" s="231" t="e">
        <f>#REF!</f>
        <v>#REF!</v>
      </c>
      <c r="M313" s="232" t="e">
        <f>#REF!</f>
        <v>#REF!</v>
      </c>
      <c r="N313" s="234" t="e">
        <f>#REF!</f>
        <v>#REF!</v>
      </c>
      <c r="O313" s="234" t="e">
        <f>#REF!</f>
        <v>#REF!</v>
      </c>
      <c r="P313" s="234" t="e">
        <f>#REF!</f>
        <v>#REF!</v>
      </c>
      <c r="Q313" s="234">
        <v>10949</v>
      </c>
      <c r="R313" s="246" t="e">
        <f>#REF!</f>
        <v>#REF!</v>
      </c>
      <c r="S313" s="234" t="e">
        <f>#REF!</f>
        <v>#REF!</v>
      </c>
      <c r="T313" s="234" t="e">
        <f>#REF!</f>
        <v>#REF!</v>
      </c>
      <c r="U313" s="234" t="e">
        <f>#REF!</f>
        <v>#REF!</v>
      </c>
      <c r="V313" s="234" t="e">
        <f>#REF!</f>
        <v>#REF!</v>
      </c>
      <c r="W313" s="234" t="e">
        <f>#REF!</f>
        <v>#REF!</v>
      </c>
      <c r="X313" s="234" t="e">
        <f>#REF!</f>
        <v>#REF!</v>
      </c>
      <c r="Y313" s="246" t="e">
        <f>#REF!</f>
        <v>#REF!</v>
      </c>
      <c r="Z313" s="234" t="e">
        <f>#REF!</f>
        <v>#REF!</v>
      </c>
      <c r="AA313" s="234" t="e">
        <f>#REF!</f>
        <v>#REF!</v>
      </c>
      <c r="AB313" s="234" t="e">
        <f>#REF!</f>
        <v>#REF!</v>
      </c>
      <c r="AC313" s="234" t="e">
        <f>#REF!</f>
        <v>#REF!</v>
      </c>
      <c r="AD313" s="234" t="e">
        <f>#REF!</f>
        <v>#REF!</v>
      </c>
      <c r="AE313" s="234" t="e">
        <f>#REF!</f>
        <v>#REF!</v>
      </c>
      <c r="AF313" s="246" t="e">
        <f>#REF!</f>
        <v>#REF!</v>
      </c>
      <c r="AG313" s="234" t="e">
        <f>#REF!</f>
        <v>#REF!</v>
      </c>
      <c r="AH313" s="234" t="e">
        <f>#REF!</f>
        <v>#REF!</v>
      </c>
      <c r="AI313" s="234" t="e">
        <f>#REF!</f>
        <v>#REF!</v>
      </c>
      <c r="AJ313" s="234" t="e">
        <f>#REF!</f>
        <v>#REF!</v>
      </c>
      <c r="AK313" s="234">
        <v>0</v>
      </c>
      <c r="AL313" s="234">
        <v>0</v>
      </c>
      <c r="AM313" s="246">
        <v>0</v>
      </c>
      <c r="AN313" s="234">
        <f t="shared" si="1358"/>
        <v>0</v>
      </c>
      <c r="AO313" s="234"/>
      <c r="AP313" s="234">
        <f t="shared" si="1359"/>
        <v>0</v>
      </c>
      <c r="AQ313" s="234">
        <v>0</v>
      </c>
      <c r="AR313" s="234"/>
      <c r="AS313" s="234"/>
      <c r="AT313" s="246"/>
      <c r="AU313" s="246"/>
      <c r="AV313" s="246"/>
      <c r="AW313" s="246"/>
      <c r="AX313" s="246"/>
      <c r="AY313" s="246"/>
      <c r="AZ313" s="233">
        <v>0</v>
      </c>
      <c r="BA313" s="233">
        <v>0</v>
      </c>
      <c r="BB313" s="233">
        <v>0</v>
      </c>
      <c r="BC313" s="233">
        <v>0</v>
      </c>
      <c r="BD313" s="233">
        <v>0</v>
      </c>
      <c r="BE313" s="233">
        <v>0</v>
      </c>
      <c r="BF313" s="233">
        <v>0</v>
      </c>
      <c r="BG313" s="233">
        <v>0</v>
      </c>
      <c r="BH313" s="233">
        <v>0</v>
      </c>
      <c r="BI313" s="233">
        <v>0</v>
      </c>
      <c r="BJ313" s="233">
        <v>0</v>
      </c>
      <c r="BK313" s="233">
        <v>0</v>
      </c>
      <c r="BL313" s="233">
        <v>0</v>
      </c>
      <c r="BM313" s="233">
        <v>0</v>
      </c>
      <c r="BN313" s="233">
        <v>0</v>
      </c>
      <c r="BO313" s="233">
        <v>0</v>
      </c>
      <c r="BP313" s="233">
        <v>0</v>
      </c>
      <c r="BQ313" s="233">
        <v>0</v>
      </c>
      <c r="BR313" s="233">
        <v>0</v>
      </c>
      <c r="BS313" s="233">
        <v>0</v>
      </c>
      <c r="BT313" s="233">
        <v>0</v>
      </c>
      <c r="BU313" s="233">
        <v>0</v>
      </c>
      <c r="BV313" s="233">
        <v>0</v>
      </c>
      <c r="BW313" s="233">
        <v>0</v>
      </c>
      <c r="BX313" s="233">
        <v>0</v>
      </c>
      <c r="BY313" s="233">
        <v>0</v>
      </c>
      <c r="BZ313" s="233">
        <v>0</v>
      </c>
      <c r="CA313" s="233">
        <v>0</v>
      </c>
      <c r="CB313" s="233">
        <v>0</v>
      </c>
      <c r="CC313" s="233">
        <v>0</v>
      </c>
      <c r="CD313" s="233">
        <v>0</v>
      </c>
      <c r="CE313" s="233">
        <v>0</v>
      </c>
      <c r="CF313" s="233">
        <v>0</v>
      </c>
      <c r="CG313" s="233">
        <v>0</v>
      </c>
      <c r="CH313" s="233">
        <v>0</v>
      </c>
      <c r="CI313" s="233">
        <v>0</v>
      </c>
      <c r="CJ313" s="233">
        <v>0</v>
      </c>
      <c r="CK313" s="233">
        <v>0</v>
      </c>
      <c r="CL313" s="233">
        <v>0</v>
      </c>
      <c r="CM313" s="233">
        <v>0</v>
      </c>
      <c r="CN313" s="233">
        <v>0</v>
      </c>
      <c r="CO313" s="233">
        <v>0</v>
      </c>
    </row>
    <row r="314" spans="1:93" s="100" customFormat="1" ht="13" x14ac:dyDescent="0.3">
      <c r="A314" s="160" t="s">
        <v>601</v>
      </c>
      <c r="B314" s="231">
        <v>0</v>
      </c>
      <c r="C314" s="231">
        <v>0</v>
      </c>
      <c r="D314" s="231">
        <v>0</v>
      </c>
      <c r="E314" s="232">
        <v>0</v>
      </c>
      <c r="F314" s="231">
        <v>0</v>
      </c>
      <c r="G314" s="231">
        <v>0</v>
      </c>
      <c r="H314" s="231">
        <v>0</v>
      </c>
      <c r="I314" s="232">
        <v>0</v>
      </c>
      <c r="J314" s="231">
        <v>0</v>
      </c>
      <c r="K314" s="231">
        <v>0</v>
      </c>
      <c r="L314" s="231">
        <v>0</v>
      </c>
      <c r="M314" s="232">
        <v>0</v>
      </c>
      <c r="N314" s="234">
        <v>0</v>
      </c>
      <c r="O314" s="234">
        <v>0</v>
      </c>
      <c r="P314" s="234">
        <v>0</v>
      </c>
      <c r="Q314" s="234">
        <v>0</v>
      </c>
      <c r="R314" s="246">
        <v>0</v>
      </c>
      <c r="S314" s="234">
        <v>0</v>
      </c>
      <c r="T314" s="234">
        <v>0</v>
      </c>
      <c r="U314" s="234">
        <v>0</v>
      </c>
      <c r="V314" s="234">
        <v>0</v>
      </c>
      <c r="W314" s="234">
        <v>0</v>
      </c>
      <c r="X314" s="234">
        <v>0</v>
      </c>
      <c r="Y314" s="246">
        <v>0</v>
      </c>
      <c r="Z314" s="234">
        <v>0</v>
      </c>
      <c r="AA314" s="234">
        <v>0</v>
      </c>
      <c r="AB314" s="234">
        <v>0</v>
      </c>
      <c r="AC314" s="234">
        <v>0</v>
      </c>
      <c r="AD314" s="234">
        <v>0</v>
      </c>
      <c r="AE314" s="234">
        <v>0</v>
      </c>
      <c r="AF314" s="246">
        <v>0</v>
      </c>
      <c r="AG314" s="234">
        <v>0</v>
      </c>
      <c r="AH314" s="234">
        <v>0</v>
      </c>
      <c r="AI314" s="234">
        <v>0</v>
      </c>
      <c r="AJ314" s="234">
        <v>0</v>
      </c>
      <c r="AK314" s="234">
        <v>0</v>
      </c>
      <c r="AL314" s="234">
        <v>0</v>
      </c>
      <c r="AM314" s="246">
        <v>0</v>
      </c>
      <c r="AN314" s="234">
        <v>0</v>
      </c>
      <c r="AO314" s="234">
        <v>0</v>
      </c>
      <c r="AP314" s="234">
        <v>0</v>
      </c>
      <c r="AQ314" s="234">
        <v>0</v>
      </c>
      <c r="AR314" s="234"/>
      <c r="AS314" s="234"/>
      <c r="AT314" s="246"/>
      <c r="AU314" s="246"/>
      <c r="AV314" s="246"/>
      <c r="AW314" s="246"/>
      <c r="AX314" s="246"/>
      <c r="AY314" s="246"/>
      <c r="AZ314" s="233">
        <v>0</v>
      </c>
      <c r="BA314" s="233">
        <v>0</v>
      </c>
      <c r="BB314" s="233">
        <v>0</v>
      </c>
      <c r="BC314" s="233">
        <v>0</v>
      </c>
      <c r="BD314" s="233">
        <v>0</v>
      </c>
      <c r="BE314" s="233">
        <v>0</v>
      </c>
      <c r="BF314" s="233">
        <v>0</v>
      </c>
      <c r="BG314" s="233">
        <v>0</v>
      </c>
      <c r="BH314" s="233">
        <v>0</v>
      </c>
      <c r="BI314" s="233">
        <v>0</v>
      </c>
      <c r="BJ314" s="233">
        <v>0</v>
      </c>
      <c r="BK314" s="233">
        <v>0</v>
      </c>
      <c r="BL314" s="233">
        <v>0</v>
      </c>
      <c r="BM314" s="233">
        <v>0</v>
      </c>
      <c r="BN314" s="233">
        <v>0</v>
      </c>
      <c r="BO314" s="233">
        <v>0</v>
      </c>
      <c r="BP314" s="233">
        <v>0</v>
      </c>
      <c r="BQ314" s="233">
        <v>0</v>
      </c>
      <c r="BR314" s="233">
        <v>0</v>
      </c>
      <c r="BS314" s="233">
        <v>0</v>
      </c>
      <c r="BT314" s="233">
        <v>0</v>
      </c>
      <c r="BU314" s="233">
        <v>0</v>
      </c>
      <c r="BV314" s="233">
        <v>0</v>
      </c>
      <c r="BW314" s="233">
        <v>0</v>
      </c>
      <c r="BX314" s="233">
        <v>0</v>
      </c>
      <c r="BY314" s="233">
        <v>0</v>
      </c>
      <c r="BZ314" s="233">
        <v>0</v>
      </c>
      <c r="CA314" s="233">
        <v>0</v>
      </c>
      <c r="CB314" s="233">
        <v>0</v>
      </c>
      <c r="CC314" s="233">
        <v>0</v>
      </c>
      <c r="CD314" s="233">
        <v>0</v>
      </c>
      <c r="CE314" s="233">
        <v>0</v>
      </c>
      <c r="CF314" s="233">
        <v>0</v>
      </c>
      <c r="CG314" s="233">
        <v>0</v>
      </c>
      <c r="CH314" s="233">
        <v>0</v>
      </c>
      <c r="CI314" s="233">
        <v>0</v>
      </c>
      <c r="CJ314" s="233">
        <v>0</v>
      </c>
      <c r="CK314" s="233">
        <v>0</v>
      </c>
      <c r="CL314" s="233">
        <v>0</v>
      </c>
      <c r="CM314" s="233">
        <v>0</v>
      </c>
      <c r="CN314" s="233">
        <v>0</v>
      </c>
      <c r="CO314" s="233">
        <v>0</v>
      </c>
    </row>
    <row r="315" spans="1:93" s="100" customFormat="1" ht="13" x14ac:dyDescent="0.3">
      <c r="A315" s="249" t="str">
        <f>Language!AA305</f>
        <v>Holding, Outros e Ajustes de Consolidação</v>
      </c>
      <c r="B315" s="250" t="e">
        <f>B294-SUM(B295,B303,B308,B312,B313)</f>
        <v>#REF!</v>
      </c>
      <c r="C315" s="250" t="e">
        <f t="shared" ref="C315:L315" si="1578">C294-SUM(C295,C303,C308,C312,C313)</f>
        <v>#REF!</v>
      </c>
      <c r="D315" s="250" t="e">
        <f t="shared" si="1578"/>
        <v>#REF!</v>
      </c>
      <c r="E315" s="251" t="e">
        <f t="shared" si="1578"/>
        <v>#REF!</v>
      </c>
      <c r="F315" s="250" t="e">
        <f t="shared" si="1578"/>
        <v>#REF!</v>
      </c>
      <c r="G315" s="250" t="e">
        <f t="shared" si="1578"/>
        <v>#REF!</v>
      </c>
      <c r="H315" s="250" t="e">
        <f t="shared" si="1578"/>
        <v>#REF!</v>
      </c>
      <c r="I315" s="251" t="e">
        <f t="shared" si="1578"/>
        <v>#REF!</v>
      </c>
      <c r="J315" s="250" t="e">
        <f t="shared" si="1578"/>
        <v>#REF!</v>
      </c>
      <c r="K315" s="250" t="e">
        <f t="shared" si="1578"/>
        <v>#REF!</v>
      </c>
      <c r="L315" s="250" t="e">
        <f t="shared" si="1578"/>
        <v>#REF!</v>
      </c>
      <c r="M315" s="251" t="e">
        <f t="shared" ref="M315" si="1579">M294-SUM(M295,M303,M308,M312,M313)</f>
        <v>#REF!</v>
      </c>
      <c r="N315" s="252" t="e">
        <f t="shared" ref="N315:T315" si="1580">N294-SUM(N295,N303,N308,N312,N313,N314)</f>
        <v>#REF!</v>
      </c>
      <c r="O315" s="252" t="e">
        <f t="shared" si="1580"/>
        <v>#REF!</v>
      </c>
      <c r="P315" s="252" t="e">
        <f t="shared" si="1580"/>
        <v>#REF!</v>
      </c>
      <c r="Q315" s="252" t="e">
        <f t="shared" si="1580"/>
        <v>#REF!</v>
      </c>
      <c r="R315" s="253" t="e">
        <f t="shared" si="1580"/>
        <v>#REF!</v>
      </c>
      <c r="S315" s="252" t="e">
        <f t="shared" si="1580"/>
        <v>#REF!</v>
      </c>
      <c r="T315" s="252" t="e">
        <f t="shared" si="1580"/>
        <v>#REF!</v>
      </c>
      <c r="U315" s="252" t="e">
        <f t="shared" ref="U315:V315" si="1581">U294-SUM(U295,U303,U308,U312,U313,U314)</f>
        <v>#REF!</v>
      </c>
      <c r="V315" s="252" t="e">
        <f t="shared" si="1581"/>
        <v>#REF!</v>
      </c>
      <c r="W315" s="252" t="e">
        <f>W294-SUM(W295,W303,W308,W312,W313,W314)</f>
        <v>#REF!</v>
      </c>
      <c r="X315" s="252" t="e">
        <f>X294-SUM(X295,X303,X308,X312,X313,X314)</f>
        <v>#REF!</v>
      </c>
      <c r="Y315" s="253" t="e">
        <f>Y294-SUM(Y295,Y303,Y308,Y312,Y313,Y314)</f>
        <v>#REF!</v>
      </c>
      <c r="Z315" s="252" t="e">
        <f>Z294-SUM(Z295,Z303,Z308,Z312,Z313,Z314)</f>
        <v>#REF!</v>
      </c>
      <c r="AA315" s="252" t="e">
        <f t="shared" ref="AA315:AB315" si="1582">AA294-SUM(AA295,AA303,AA308,AA312,AA313,AA314)</f>
        <v>#REF!</v>
      </c>
      <c r="AB315" s="252" t="e">
        <f t="shared" si="1582"/>
        <v>#REF!</v>
      </c>
      <c r="AC315" s="252" t="e">
        <f>AC294-SUM(AC295,AC303,AC308,AC312,AC313,AC314)</f>
        <v>#REF!</v>
      </c>
      <c r="AD315" s="252" t="e">
        <f>AD294-SUM(AD295,AD303,AD308,AD312,AD313,AD314)</f>
        <v>#REF!</v>
      </c>
      <c r="AE315" s="252" t="e">
        <f t="shared" ref="AE315:AF315" si="1583">AE294-SUM(AE295,AE303,AE308,AE312,AE313,AE314)</f>
        <v>#REF!</v>
      </c>
      <c r="AF315" s="253" t="e">
        <f t="shared" si="1583"/>
        <v>#REF!</v>
      </c>
      <c r="AG315" s="252" t="e">
        <f>AG294-SUM(AG295,AG303,AG308,AG312,AG313,AG314)</f>
        <v>#REF!</v>
      </c>
      <c r="AH315" s="252" t="e">
        <f>AH294-SUM(AH295,AH303,AH308,AH312,AH313,AH314)</f>
        <v>#REF!</v>
      </c>
      <c r="AI315" s="252" t="e">
        <f t="shared" ref="AI315" si="1584">AI294-SUM(AI295,AI303,AI308,AI312,AI313,AI314)</f>
        <v>#REF!</v>
      </c>
      <c r="AJ315" s="252" t="e">
        <f>AJ294-SUM(AJ295,AJ303,AJ308,AJ312,AJ313,AJ314)</f>
        <v>#REF!</v>
      </c>
      <c r="AK315" s="252" t="e">
        <f>AK294-SUM(AK295,AK303,AK308,AK312,AK313,AK314)</f>
        <v>#REF!</v>
      </c>
      <c r="AL315" s="252" t="e">
        <f>AL294-SUM(AL295,AL303,AL308,AL312,AL313,AL314)</f>
        <v>#REF!</v>
      </c>
      <c r="AM315" s="253" t="e">
        <f>AM294-SUM(AM295,AM303,AM308,AM312,AM313,AM314)</f>
        <v>#REF!</v>
      </c>
      <c r="AN315" s="252" t="e">
        <f t="shared" si="1358"/>
        <v>#REF!</v>
      </c>
      <c r="AO315" s="252"/>
      <c r="AP315" s="252" t="e">
        <f t="shared" si="1359"/>
        <v>#REF!</v>
      </c>
      <c r="AQ315" s="252" t="e">
        <f t="shared" ref="AQ315:AW315" si="1585">AQ294-SUM(AQ295,AQ303,AQ308,AQ312,AQ313,AQ314)</f>
        <v>#REF!</v>
      </c>
      <c r="AR315" s="252" t="e">
        <f t="shared" si="1585"/>
        <v>#REF!</v>
      </c>
      <c r="AS315" s="252">
        <f t="shared" si="1585"/>
        <v>-96984.000000000058</v>
      </c>
      <c r="AT315" s="253">
        <f t="shared" si="1585"/>
        <v>-8195.9283397599938</v>
      </c>
      <c r="AU315" s="253">
        <f t="shared" si="1585"/>
        <v>6803.9559798425616</v>
      </c>
      <c r="AV315" s="253">
        <f t="shared" si="1585"/>
        <v>-25173.207899999994</v>
      </c>
      <c r="AW315" s="253">
        <f t="shared" si="1585"/>
        <v>-18904.111200000028</v>
      </c>
      <c r="AX315" s="253">
        <f t="shared" ref="AX315:BE315" si="1586">AX294-SUM(AX295,AX303,AX308,AX312,AX313,AX314)</f>
        <v>-2470.0266668319819</v>
      </c>
      <c r="AY315" s="253">
        <f t="shared" si="1586"/>
        <v>-27388.23456683199</v>
      </c>
      <c r="AZ315" s="253">
        <f t="shared" si="1586"/>
        <v>-46292.345766832004</v>
      </c>
      <c r="BA315" s="253">
        <f t="shared" si="1586"/>
        <v>-9118</v>
      </c>
      <c r="BB315" s="253">
        <f t="shared" si="1586"/>
        <v>-6415</v>
      </c>
      <c r="BC315" s="253">
        <f t="shared" si="1586"/>
        <v>-7925</v>
      </c>
      <c r="BD315" s="253">
        <f t="shared" si="1586"/>
        <v>88158</v>
      </c>
      <c r="BE315" s="253">
        <f t="shared" si="1586"/>
        <v>-15533</v>
      </c>
      <c r="BF315" s="253">
        <f t="shared" ref="BF315:BG315" si="1587">BF294-SUM(BF295,BF303,BF308,BF312,BF313,BF314)</f>
        <v>-23458</v>
      </c>
      <c r="BG315" s="253">
        <f t="shared" si="1587"/>
        <v>64700</v>
      </c>
      <c r="BH315" s="253">
        <f t="shared" ref="BH315:BL315" si="1588">BH294-SUM(BH295,BH303,BH308,BH312,BH313,BH314)</f>
        <v>-10143</v>
      </c>
      <c r="BI315" s="253">
        <f t="shared" si="1588"/>
        <v>16067</v>
      </c>
      <c r="BJ315" s="253">
        <f t="shared" si="1588"/>
        <v>-2483</v>
      </c>
      <c r="BK315" s="253">
        <f t="shared" si="1588"/>
        <v>10550</v>
      </c>
      <c r="BL315" s="253">
        <f t="shared" si="1588"/>
        <v>5924</v>
      </c>
      <c r="BM315" s="253">
        <f t="shared" ref="BM315:BN315" si="1589">BM294-SUM(BM295,BM303,BM308,BM312,BM313,BM314)</f>
        <v>3441</v>
      </c>
      <c r="BN315" s="253">
        <f t="shared" si="1589"/>
        <v>13993</v>
      </c>
      <c r="BO315" s="253">
        <f t="shared" ref="BO315:BP315" si="1590">BO294-SUM(BO295,BO303,BO308,BO312,BO313,BO314)</f>
        <v>-6743</v>
      </c>
      <c r="BP315" s="253">
        <f t="shared" si="1590"/>
        <v>297244.51533350302</v>
      </c>
      <c r="BQ315" s="253">
        <f t="shared" ref="BQ315:BS315" si="1591">BQ294-SUM(BQ295,BQ303,BQ308,BQ312,BQ313,BQ314)</f>
        <v>-4250.2423332484759</v>
      </c>
      <c r="BR315" s="253">
        <f t="shared" si="1591"/>
        <v>1520.7576667515241</v>
      </c>
      <c r="BS315" s="253">
        <f t="shared" si="1591"/>
        <v>-13454.484666496952</v>
      </c>
      <c r="BT315" s="253">
        <f t="shared" ref="BT315" si="1592">BT294-SUM(BT295,BT303,BT308,BT312,BT313,BT314)</f>
        <v>-17753.726999745435</v>
      </c>
      <c r="BU315" s="253">
        <f>BU294-SUM(BU295,BU303,BU308,BU312,BU313,BU314)</f>
        <v>-16242.969332993911</v>
      </c>
      <c r="BV315" s="253">
        <f>BV294-SUM(BV295,BV303,BV308,BV312,BV313,BV314)</f>
        <v>-5672.9014207453001</v>
      </c>
      <c r="BW315" s="253">
        <f>BW294-SUM(BW295,BW303,BW308,BW312,BW313,BW314)</f>
        <v>-2026.4560430270139</v>
      </c>
      <c r="BX315" s="253">
        <f t="shared" ref="BX315:BY315" si="1593">BX294-SUM(BX295,BX303,BX308,BX312,BX313,BX314)</f>
        <v>-7846.6787318861607</v>
      </c>
      <c r="BY315" s="253">
        <f t="shared" si="1593"/>
        <v>-14689.678731886153</v>
      </c>
      <c r="BZ315" s="253">
        <f t="shared" ref="BZ315:CI315" si="1594">BZ294-SUM(BZ295,BZ303,BZ308,BZ312,BZ313,BZ314)</f>
        <v>-9179.3574637723214</v>
      </c>
      <c r="CA315" s="253">
        <f t="shared" si="1594"/>
        <v>-17026.03619565846</v>
      </c>
      <c r="CB315" s="253">
        <f t="shared" si="1594"/>
        <v>-31715.714927544617</v>
      </c>
      <c r="CC315" s="253">
        <f t="shared" si="1594"/>
        <v>9081.3174763021725</v>
      </c>
      <c r="CD315" s="253">
        <f t="shared" si="1594"/>
        <v>-2086.5608348057031</v>
      </c>
      <c r="CE315" s="253">
        <f t="shared" si="1594"/>
        <v>-4062.7566414964676</v>
      </c>
      <c r="CF315" s="253">
        <f t="shared" si="1594"/>
        <v>39858</v>
      </c>
      <c r="CG315" s="253">
        <f t="shared" si="1594"/>
        <v>23866.756641496468</v>
      </c>
      <c r="CH315" s="253">
        <f t="shared" si="1594"/>
        <v>-11882</v>
      </c>
      <c r="CI315" s="253">
        <f t="shared" si="1594"/>
        <v>27976</v>
      </c>
      <c r="CJ315" s="253">
        <v>-2441</v>
      </c>
      <c r="CK315" s="253">
        <f t="shared" ref="CK315:CO315" si="1595">CK294-SUM(CK295,CK303,CK308,CK312,CK313,CK314)</f>
        <v>-7010</v>
      </c>
      <c r="CL315" s="253">
        <f t="shared" si="1595"/>
        <v>0</v>
      </c>
      <c r="CM315" s="253">
        <f t="shared" si="1595"/>
        <v>0</v>
      </c>
      <c r="CN315" s="253">
        <f t="shared" si="1595"/>
        <v>-9451</v>
      </c>
      <c r="CO315" s="253">
        <f t="shared" si="1595"/>
        <v>0</v>
      </c>
    </row>
    <row r="316" spans="1:93" x14ac:dyDescent="0.25">
      <c r="N316" s="199"/>
    </row>
    <row r="319" spans="1:93" ht="13" x14ac:dyDescent="0.3">
      <c r="N319" s="254"/>
    </row>
    <row r="320" spans="1:93" ht="13" x14ac:dyDescent="0.3">
      <c r="N320" s="254"/>
    </row>
    <row r="321" spans="6:14" ht="13" x14ac:dyDescent="0.3">
      <c r="N321" s="254"/>
    </row>
    <row r="322" spans="6:14" x14ac:dyDescent="0.25">
      <c r="N322" s="199"/>
    </row>
    <row r="324" spans="6:14" x14ac:dyDescent="0.25">
      <c r="F324" s="823"/>
      <c r="G324" s="823"/>
      <c r="H324" s="823"/>
    </row>
    <row r="325" spans="6:14" ht="13" x14ac:dyDescent="0.3">
      <c r="K325" s="120"/>
      <c r="L325" s="120"/>
    </row>
    <row r="330" spans="6:14" x14ac:dyDescent="0.25">
      <c r="G330" s="255"/>
      <c r="H330" s="255"/>
    </row>
    <row r="332" spans="6:14" x14ac:dyDescent="0.25">
      <c r="G332" s="255"/>
      <c r="H332" s="255"/>
    </row>
    <row r="338" spans="7:8" x14ac:dyDescent="0.25">
      <c r="G338" s="255"/>
      <c r="H338" s="255"/>
    </row>
    <row r="344" spans="7:8" x14ac:dyDescent="0.25">
      <c r="G344" s="255"/>
      <c r="H344" s="255"/>
    </row>
  </sheetData>
  <mergeCells count="1">
    <mergeCell ref="F324:H324"/>
  </mergeCells>
  <phoneticPr fontId="41" type="noConversion"/>
  <hyperlinks>
    <hyperlink ref="E2" location="Consolidated!B6" display="BP" xr:uid="{00000000-0004-0000-0200-000000000000}"/>
    <hyperlink ref="F2" location="Consolidated!B6" display="BP" xr:uid="{00000000-0004-0000-0200-000001000000}"/>
    <hyperlink ref="G2" location="Consolidated!B6" display="BP" xr:uid="{00000000-0004-0000-0200-000002000000}"/>
    <hyperlink ref="H2" location="Consolidated!B6" display="BP" xr:uid="{00000000-0004-0000-0200-000003000000}"/>
    <hyperlink ref="F2:F3" location="Consolidated!A68" display="DRE" xr:uid="{00000000-0004-0000-0200-000004000000}"/>
    <hyperlink ref="E2:E3" location="Consolidated!A6" display="BP" xr:uid="{00000000-0004-0000-0200-000005000000}"/>
  </hyperlinks>
  <pageMargins left="0.25" right="0.25" top="0.75" bottom="0.75" header="0.3" footer="0.3"/>
  <pageSetup paperSize="9" fitToHeight="0" orientation="landscape" r:id="rId1"/>
  <rowBreaks count="1" manualBreakCount="1">
    <brk id="124" max="16383" man="1"/>
  </rowBreaks>
  <colBreaks count="1" manualBreakCount="1">
    <brk id="5" max="1048575" man="1"/>
  </colBreaks>
  <ignoredErrors>
    <ignoredError sqref="F316:R336 S1:S5 B5:R5 T5:Z5 AC5 A65:R66 A6:K9 L8:R9 A30:K34 L32:R34 O224:Z224 W225:Z232 X233:Z241 D242:Z242 D243:U243 D244:E244 S225:V238 L75:R79 S126:Z167 S212:Z221 S119:Z123 S89:Z89 S239:W241 O119:R120 F97:Z97 M124:Z125 A94:N95 M224:M238 Q96:Z96 A87:R93 I168:O171 I176:R183 A217:A240 A215:E216 S117:V117 O116:R117 O118:Z118 O217:O218 J172:O173 O114:Z115 A114:N120 M121:R123 A121:A141 A96:E99 O68:R74 L73:N74 L48:R48 A48:K49 A102:Z102 A212:R214 A24:R29 A67:N72 A73:K79 A142:E194 O225:R241 A241:E241 A242:C244 V243:Z249 B239:E240 B133:E141 B121:L127 B217:E217 Q174:R175 M218:N218 O216:R216 P217:R223 F216:N217 O185:R194 N184:R184 I187:N194 N185:N186 I184:M186 Q172:R172 J174:P174 I172:I174 P168:P172 O94:P96 M219:O223 F96:N96 B218:L238 M127 B128:M132 F239:M241 F133:R167 N127:R132 N224:N241 Q94:R95 I175:P175 F168:H194 F215:R215 M126:R126 P173:R173 F244:U249 W233:W238 S294:S301 S282:S291 K252:M252 K253:R253 F254:R268 F250:M251 F294:M298 B293:E298 A245:E268 A301:R301 F293:S293 A281:E289 A290:R290 F282:R289 B291:R291 N250:U252 A291:A298 A269:R271 F281:S281 F252:J253 N294:R300 A299:M300 T281:AM288 Q171:AB171 Q168:Z168 S175:W175 S116:V116 AA87:AB115 AA117:AB170 AC81:AM83 AQ7 A10:R12 AN87:AN95 AN176 A273:R279 B272:R272 AG6:AI9 AG30:AI43 AC239:AM249 AQ31 AC10:AF10 A80:R80 W66:X66 W69:Y69 L6:Q7 W29:Y29 A23:Q23 AC35:AD35 W35:Y35 L30:Q31 L49:Q49 O67:Q67 AQ29 AQ49 AQ281:AQ291 AN65:AN68 AN56:AN59 AN48:AN54 AN14 AN22 AN19 AN27 AN43 AN61 AN71 AN75 AN78 AG11:AI11 AH10:AJ10 AG14:AI14 AG12 AI12 AG15:AH15 AG22:AI27 AG48:AI49 AG51:AI51 AG54:AI54 AG59:AI59 AG55 AG61:AI61 AG65:AI68 AG75:AI75 AG78 AI78 AG71:AI71 AG73:AH73 AG19:AI19 AC29:AM29 AQ88:AQ89 S253:U279 V250:AM279 AQ303:AQ313 T293:AM301 A303:AM313 AQ293:AQ301 A35:R46 W52:Y52 A50:R63 A22:R22 B13:R13 AC123:AM167 AC84:AE84 AM84:AN84 AC89:AE89 AM88:AM89 AC212:AE221 AM212:AM221 AC168:AE168 AM168 A195 AA212:AB221 AQ212:AQ218 AQ315 A315:AM315 A314 T291:AF291 AH291:AM291 AQ196:AQ208 AM196:AM208 A196:AE208 AQ81:AQ84 A81:AB84 A14:R20 W10:Y10 W17:X17 W20:X20 Y28 Y46 Y44 Y45 W60:Y60 W63:Y63 W74:Y74 W77:Y77 Y76 W79:Y80 A85:V85 Z85:AB85 S87:V87 Z87 S88:V88 Z88 S91:Z91 S90:V90 Z90 S95:V95 S92:V92 Z92 S93:V93 Y93:Z93 S94:V94 Z94 Z95 F99:W99 F98:V98 Z98 A100:V100 Z100 A101:V101 Z101 A108:Z108 A103:V103 Z103 A104:V104 Z104 A105:V105 Z105 A106:V106 Z106 A107:V107 Z107 A112:Z113 A109:V109 Z109 A110:V110 Z110 A111:V111 Z111 Z116:AB116 Z117 Q170:V170 Q169:V169 Z169 Z170 S172:V172 Z172:AB172 S173:V173 Z173:AB173 S174:V174 Z174:AB174 S177:AB194 S176:V176 Z176:AB176 Z99 Z175:AB175 AG70:AI70 AC91:AE91 AC96:AE97 AC102:AE102 AC108:AE108 AC112:AE115 AC118:AE122 AC171:AE171 AC177:AE194 T290:AM290 T289:AE289 AG289:AM289 AG13:AI13 AG53:AI53 AG56:AI56 AG57:AI57 AG58:AI58 AN8 AN9 AN10 AN11 AN12 AN13 AN24 AN25 AN26 AN32 AN33 AN34 AN35 AN36 AN37 AN38 AN39 AN40 AN41 AN42 AN70 AM184:AM186 AM189:AM194 AN85 AM91:AM93 AM96:AM97 AM102 AM104 AM108 AM112 AM115 AM118:AM120 AM122 AM171 AM175 AM177:AM178 AQ184:AQ186 AQ189:AQ194 AQ91:AQ93 AQ96:AQ97 AQ101:AQ102 AQ104 AQ108 AQ112 AQ115 AQ118:AQ168 AQ171 AQ175 AQ177:AQ178 AQ220:AQ221 AQ223 AQ225:AQ279 S223:Z223 S222:X222 AC223:AE238 AD222 AA223:AB249 AA222 AM223 AM225:AM238" unlockedFormula="1"/>
    <ignoredError sqref="AN30:AN31 AN23 AN6:AN7 AN96:AN122 AN168:AN175" formula="1"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CO433"/>
  <sheetViews>
    <sheetView showGridLines="0" zoomScale="85" zoomScaleNormal="85" workbookViewId="0">
      <pane xSplit="1" ySplit="5" topLeftCell="CB299" activePane="bottomRight" state="frozen"/>
      <selection activeCell="L130" sqref="L130"/>
      <selection pane="topRight" activeCell="L130" sqref="L130"/>
      <selection pane="bottomLeft" activeCell="L130" sqref="L130"/>
      <selection pane="bottomRight" activeCell="CG292" sqref="CG292"/>
    </sheetView>
  </sheetViews>
  <sheetFormatPr defaultColWidth="12.7265625" defaultRowHeight="12.5" x14ac:dyDescent="0.25"/>
  <cols>
    <col min="1" max="1" width="67.81640625" style="418" bestFit="1" customWidth="1"/>
    <col min="2" max="22" width="12.7265625" style="291" hidden="1" customWidth="1"/>
    <col min="23" max="26" width="12.7265625" style="292" hidden="1" customWidth="1"/>
    <col min="27" max="28" width="12.7265625" style="291" hidden="1" customWidth="1"/>
    <col min="29" max="33" width="12.7265625" style="292" hidden="1" customWidth="1"/>
    <col min="34" max="35" width="12.7265625" style="291" hidden="1" customWidth="1"/>
    <col min="36" max="45" width="12.7265625" style="292" hidden="1" customWidth="1"/>
    <col min="46" max="52" width="12.7265625" style="292" customWidth="1"/>
    <col min="53" max="53" width="12.7265625" style="291"/>
    <col min="54" max="54" width="12.54296875" style="291" customWidth="1"/>
    <col min="55" max="55" width="13.81640625" style="291" bestFit="1" customWidth="1"/>
    <col min="56" max="16384" width="12.7265625" style="291"/>
  </cols>
  <sheetData>
    <row r="1" spans="1:93" s="417" customFormat="1" x14ac:dyDescent="0.25">
      <c r="D1" s="418"/>
      <c r="E1" s="418"/>
      <c r="F1" s="418"/>
      <c r="G1" s="418"/>
      <c r="H1" s="418"/>
      <c r="I1" s="418"/>
      <c r="J1" s="418"/>
      <c r="K1" s="418"/>
      <c r="L1" s="418"/>
      <c r="M1" s="418"/>
      <c r="N1" s="418"/>
      <c r="O1" s="419"/>
      <c r="P1" s="418"/>
      <c r="Q1" s="418"/>
      <c r="R1" s="418"/>
      <c r="S1" s="418"/>
      <c r="T1" s="418"/>
      <c r="U1" s="418"/>
      <c r="V1" s="418"/>
      <c r="W1" s="420"/>
      <c r="X1" s="420"/>
      <c r="Y1" s="420"/>
      <c r="Z1" s="421"/>
      <c r="AA1" s="418"/>
      <c r="AB1" s="418"/>
      <c r="AC1" s="420"/>
      <c r="AD1" s="420"/>
      <c r="AE1" s="420"/>
      <c r="AF1" s="420"/>
      <c r="AG1" s="420"/>
      <c r="AH1" s="418"/>
      <c r="AI1" s="418"/>
      <c r="AJ1" s="420"/>
      <c r="AK1" s="420"/>
      <c r="AL1" s="420"/>
      <c r="AM1" s="420"/>
      <c r="AN1" s="420"/>
      <c r="AO1" s="420"/>
      <c r="AP1" s="420"/>
      <c r="AQ1" s="420"/>
      <c r="AR1" s="420"/>
      <c r="AS1" s="420"/>
      <c r="AT1" s="420"/>
      <c r="AU1" s="420"/>
      <c r="AV1" s="420"/>
      <c r="AW1" s="420"/>
      <c r="AX1" s="420"/>
      <c r="AY1" s="420"/>
      <c r="AZ1" s="420"/>
    </row>
    <row r="2" spans="1:93" s="417" customFormat="1" ht="12.75" customHeight="1" x14ac:dyDescent="0.25">
      <c r="D2" s="418"/>
      <c r="E2" s="418"/>
      <c r="F2" s="418"/>
      <c r="G2" s="418"/>
      <c r="H2" s="418"/>
      <c r="I2" s="418"/>
      <c r="J2" s="418"/>
      <c r="K2" s="418"/>
      <c r="L2" s="418"/>
      <c r="M2" s="418"/>
      <c r="N2" s="418"/>
      <c r="O2" s="418"/>
      <c r="P2" s="418"/>
      <c r="Q2" s="418"/>
      <c r="R2" s="418"/>
      <c r="S2" s="418"/>
      <c r="T2" s="418"/>
      <c r="U2" s="418"/>
      <c r="V2" s="418"/>
      <c r="W2" s="420"/>
      <c r="X2" s="420"/>
      <c r="Y2" s="420"/>
      <c r="Z2" s="420"/>
      <c r="AA2" s="418"/>
      <c r="AB2" s="418"/>
      <c r="AC2" s="420"/>
      <c r="AD2" s="420"/>
      <c r="AE2" s="420"/>
      <c r="AF2" s="420"/>
      <c r="AG2" s="420"/>
      <c r="AH2" s="418"/>
      <c r="AI2" s="418"/>
      <c r="AJ2" s="420"/>
      <c r="AK2" s="420"/>
      <c r="AL2" s="420"/>
      <c r="AM2" s="420"/>
      <c r="AN2" s="420"/>
      <c r="AO2" s="420"/>
      <c r="AP2" s="420"/>
      <c r="AQ2" s="420"/>
      <c r="AR2" s="420"/>
      <c r="AS2" s="420"/>
      <c r="AT2" s="420"/>
      <c r="AU2" s="420"/>
      <c r="AV2" s="420"/>
      <c r="AW2" s="420"/>
      <c r="AX2" s="420"/>
      <c r="AY2" s="420"/>
      <c r="AZ2" s="420"/>
    </row>
    <row r="3" spans="1:93" s="417" customFormat="1" ht="12.75" customHeight="1" x14ac:dyDescent="0.25">
      <c r="D3" s="418"/>
      <c r="E3" s="418"/>
      <c r="F3" s="418"/>
      <c r="G3" s="418"/>
      <c r="H3" s="418"/>
      <c r="I3" s="418"/>
      <c r="J3" s="418"/>
      <c r="K3" s="418"/>
      <c r="L3" s="418"/>
      <c r="M3" s="418"/>
      <c r="N3" s="418"/>
      <c r="O3" s="418"/>
      <c r="P3" s="418"/>
      <c r="Q3" s="418"/>
      <c r="R3" s="418"/>
      <c r="S3" s="418"/>
      <c r="T3" s="418"/>
      <c r="U3" s="418"/>
      <c r="V3" s="418"/>
      <c r="W3" s="420"/>
      <c r="X3" s="420"/>
      <c r="Y3" s="420"/>
      <c r="Z3" s="420"/>
      <c r="AA3" s="420"/>
      <c r="AB3" s="420"/>
      <c r="AC3" s="420"/>
      <c r="AD3" s="420"/>
      <c r="AE3" s="420"/>
      <c r="AF3" s="420"/>
      <c r="AG3" s="420"/>
      <c r="AH3" s="420"/>
      <c r="AI3" s="420"/>
      <c r="AJ3" s="420"/>
      <c r="AK3" s="420"/>
      <c r="AL3" s="420"/>
      <c r="AM3" s="420"/>
      <c r="AN3" s="420"/>
      <c r="AO3" s="420"/>
      <c r="AP3" s="420"/>
      <c r="AQ3" s="420"/>
      <c r="AR3" s="420"/>
      <c r="AS3" s="420"/>
      <c r="AT3" s="420"/>
      <c r="AU3" s="420"/>
      <c r="AV3" s="420"/>
      <c r="AW3" s="420"/>
      <c r="AX3" s="420"/>
      <c r="AY3" s="420"/>
      <c r="AZ3" s="420"/>
    </row>
    <row r="4" spans="1:93" s="749" customFormat="1" x14ac:dyDescent="0.25">
      <c r="D4" s="768"/>
      <c r="E4" s="768"/>
      <c r="F4" s="768"/>
      <c r="G4" s="768"/>
      <c r="H4" s="768"/>
      <c r="I4" s="768"/>
      <c r="J4" s="768"/>
      <c r="K4" s="768"/>
      <c r="L4" s="768"/>
      <c r="M4" s="768"/>
      <c r="N4" s="768"/>
      <c r="O4" s="768"/>
      <c r="P4" s="768"/>
      <c r="Q4" s="768"/>
      <c r="R4" s="768"/>
      <c r="S4" s="768"/>
      <c r="T4" s="768"/>
      <c r="U4" s="769"/>
      <c r="V4" s="769"/>
      <c r="W4" s="760"/>
      <c r="X4" s="760"/>
      <c r="Y4" s="760"/>
      <c r="Z4" s="760"/>
      <c r="AA4" s="768"/>
      <c r="AB4" s="769"/>
      <c r="AC4" s="760"/>
      <c r="AD4" s="760"/>
      <c r="AE4" s="760"/>
      <c r="AF4" s="760"/>
      <c r="AG4" s="760"/>
      <c r="AH4" s="768"/>
      <c r="AI4" s="769"/>
      <c r="AJ4" s="760"/>
      <c r="AK4" s="760"/>
      <c r="AL4" s="760"/>
      <c r="AM4" s="760"/>
      <c r="AN4" s="760"/>
      <c r="AO4" s="760"/>
      <c r="AP4" s="760"/>
      <c r="AQ4" s="760"/>
      <c r="AR4" s="760"/>
      <c r="AS4" s="760"/>
      <c r="AT4" s="760"/>
      <c r="BL4" s="782"/>
    </row>
    <row r="5" spans="1:93" s="422" customFormat="1" ht="13" x14ac:dyDescent="0.3">
      <c r="A5" s="264" t="s">
        <v>678</v>
      </c>
      <c r="B5" s="264" t="str">
        <f>Language!AG$8</f>
        <v>1T11</v>
      </c>
      <c r="C5" s="264" t="str">
        <f>Language!AH$8</f>
        <v>2T11</v>
      </c>
      <c r="D5" s="264" t="str">
        <f>Language!AI$8</f>
        <v>3T11</v>
      </c>
      <c r="E5" s="264" t="str">
        <f>Language!AJ$8</f>
        <v>4T11</v>
      </c>
      <c r="F5" s="265" t="str">
        <f>Language!AK$8</f>
        <v>1T12</v>
      </c>
      <c r="G5" s="264" t="str">
        <f>Language!AL$8</f>
        <v>2T12</v>
      </c>
      <c r="H5" s="264" t="str">
        <f>Language!AM$8</f>
        <v>3T12</v>
      </c>
      <c r="I5" s="264" t="str">
        <f>Language!AN$8</f>
        <v>4T12</v>
      </c>
      <c r="J5" s="265" t="str">
        <f>Language!AO$8</f>
        <v>1T13</v>
      </c>
      <c r="K5" s="264" t="str">
        <f>Language!AP$8</f>
        <v>2T13</v>
      </c>
      <c r="L5" s="264" t="str">
        <f>Language!AQ$8</f>
        <v>3T13</v>
      </c>
      <c r="M5" s="264" t="str">
        <f>Language!AR$8</f>
        <v>4T13</v>
      </c>
      <c r="N5" s="265" t="str">
        <f>Language!AS$8</f>
        <v>1T14</v>
      </c>
      <c r="O5" s="264" t="str">
        <f>Language!AT$8</f>
        <v>2T14</v>
      </c>
      <c r="P5" s="264" t="str">
        <f>Language!AU$8</f>
        <v>3T14</v>
      </c>
      <c r="Q5" s="264" t="str">
        <f>Language!AV$8</f>
        <v>4T14</v>
      </c>
      <c r="R5" s="265" t="str">
        <f>Language!AW$8</f>
        <v>1T15</v>
      </c>
      <c r="S5" s="264" t="str">
        <f>Language!AX$8</f>
        <v>2T15</v>
      </c>
      <c r="T5" s="264" t="str">
        <f>Language!AY$8</f>
        <v>3T15</v>
      </c>
      <c r="U5" s="264" t="str">
        <f>Language!AZ$8</f>
        <v>4T15</v>
      </c>
      <c r="V5" s="264" t="s">
        <v>638</v>
      </c>
      <c r="W5" s="264" t="s">
        <v>635</v>
      </c>
      <c r="X5" s="266" t="s">
        <v>636</v>
      </c>
      <c r="Y5" s="265" t="s">
        <v>245</v>
      </c>
      <c r="Z5" s="264" t="s">
        <v>246</v>
      </c>
      <c r="AA5" s="264" t="s">
        <v>247</v>
      </c>
      <c r="AB5" s="264" t="s">
        <v>248</v>
      </c>
      <c r="AC5" s="264" t="s">
        <v>641</v>
      </c>
      <c r="AD5" s="264" t="s">
        <v>643</v>
      </c>
      <c r="AE5" s="266" t="s">
        <v>645</v>
      </c>
      <c r="AF5" s="264" t="s">
        <v>249</v>
      </c>
      <c r="AG5" s="264" t="s">
        <v>250</v>
      </c>
      <c r="AH5" s="264" t="s">
        <v>251</v>
      </c>
      <c r="AI5" s="264" t="s">
        <v>252</v>
      </c>
      <c r="AJ5" s="264" t="s">
        <v>648</v>
      </c>
      <c r="AK5" s="264" t="s">
        <v>649</v>
      </c>
      <c r="AL5" s="266" t="s">
        <v>652</v>
      </c>
      <c r="AM5" s="264" t="s">
        <v>253</v>
      </c>
      <c r="AN5" s="264" t="s">
        <v>254</v>
      </c>
      <c r="AO5" s="264" t="s">
        <v>255</v>
      </c>
      <c r="AP5" s="264" t="s">
        <v>256</v>
      </c>
      <c r="AQ5" s="264" t="s">
        <v>669</v>
      </c>
      <c r="AR5" s="264" t="s">
        <v>681</v>
      </c>
      <c r="AS5" s="266" t="s">
        <v>683</v>
      </c>
      <c r="AT5" s="264" t="s">
        <v>257</v>
      </c>
      <c r="AU5" s="264" t="s">
        <v>258</v>
      </c>
      <c r="AV5" s="264" t="s">
        <v>259</v>
      </c>
      <c r="AW5" s="264" t="s">
        <v>260</v>
      </c>
      <c r="AX5" s="264" t="s">
        <v>688</v>
      </c>
      <c r="AY5" s="264" t="s">
        <v>689</v>
      </c>
      <c r="AZ5" s="264" t="s">
        <v>691</v>
      </c>
      <c r="BA5" s="264" t="s">
        <v>261</v>
      </c>
      <c r="BB5" s="264" t="s">
        <v>262</v>
      </c>
      <c r="BC5" s="264" t="s">
        <v>263</v>
      </c>
      <c r="BD5" s="264" t="s">
        <v>264</v>
      </c>
      <c r="BE5" s="264" t="s">
        <v>692</v>
      </c>
      <c r="BF5" s="264" t="s">
        <v>697</v>
      </c>
      <c r="BG5" s="264" t="s">
        <v>698</v>
      </c>
      <c r="BH5" s="264" t="s">
        <v>265</v>
      </c>
      <c r="BI5" s="264" t="s">
        <v>266</v>
      </c>
      <c r="BJ5" s="264" t="s">
        <v>267</v>
      </c>
      <c r="BK5" s="264" t="s">
        <v>268</v>
      </c>
      <c r="BL5" s="264" t="s">
        <v>699</v>
      </c>
      <c r="BM5" s="264" t="s">
        <v>710</v>
      </c>
      <c r="BN5" s="264" t="s">
        <v>717</v>
      </c>
      <c r="BO5" s="264" t="s">
        <v>720</v>
      </c>
      <c r="BP5" s="264" t="s">
        <v>727</v>
      </c>
      <c r="BQ5" s="264" t="s">
        <v>728</v>
      </c>
      <c r="BR5" s="264" t="s">
        <v>729</v>
      </c>
      <c r="BS5" s="264" t="s">
        <v>730</v>
      </c>
      <c r="BT5" s="264" t="s">
        <v>736</v>
      </c>
      <c r="BU5" s="264" t="s">
        <v>739</v>
      </c>
      <c r="BV5" s="264" t="s">
        <v>740</v>
      </c>
      <c r="BW5" s="264" t="s">
        <v>741</v>
      </c>
      <c r="BX5" s="264" t="s">
        <v>742</v>
      </c>
      <c r="BY5" s="264" t="s">
        <v>743</v>
      </c>
      <c r="BZ5" s="264" t="s">
        <v>744</v>
      </c>
      <c r="CA5" s="264" t="s">
        <v>749</v>
      </c>
      <c r="CB5" s="264" t="s">
        <v>750</v>
      </c>
      <c r="CC5" s="264" t="s">
        <v>753</v>
      </c>
      <c r="CD5" s="264" t="s">
        <v>754</v>
      </c>
      <c r="CE5" s="264" t="s">
        <v>755</v>
      </c>
      <c r="CF5" s="264" t="s">
        <v>756</v>
      </c>
      <c r="CG5" s="264" t="s">
        <v>757</v>
      </c>
      <c r="CH5" s="264" t="s">
        <v>758</v>
      </c>
      <c r="CI5" s="264" t="s">
        <v>759</v>
      </c>
      <c r="CJ5" s="264" t="s">
        <v>763</v>
      </c>
      <c r="CK5" s="264" t="s">
        <v>768</v>
      </c>
      <c r="CL5" s="264" t="s">
        <v>769</v>
      </c>
      <c r="CM5" s="264" t="s">
        <v>770</v>
      </c>
      <c r="CN5" s="264" t="s">
        <v>771</v>
      </c>
      <c r="CO5" s="264" t="s">
        <v>772</v>
      </c>
    </row>
    <row r="6" spans="1:93" s="423" customFormat="1" ht="13" x14ac:dyDescent="0.3">
      <c r="A6" s="267" t="str">
        <f>Language!C6</f>
        <v>ATIVO TOTAL</v>
      </c>
      <c r="B6" s="268">
        <f t="shared" ref="B6:J6" si="0">SUM(B7,B21)</f>
        <v>1026742</v>
      </c>
      <c r="C6" s="268">
        <f t="shared" si="0"/>
        <v>1074921</v>
      </c>
      <c r="D6" s="268">
        <f t="shared" si="0"/>
        <v>1057734</v>
      </c>
      <c r="E6" s="268">
        <f t="shared" si="0"/>
        <v>1077812</v>
      </c>
      <c r="F6" s="269">
        <f t="shared" si="0"/>
        <v>1095350</v>
      </c>
      <c r="G6" s="268">
        <f t="shared" si="0"/>
        <v>1094241</v>
      </c>
      <c r="H6" s="268">
        <f t="shared" si="0"/>
        <v>1073727</v>
      </c>
      <c r="I6" s="268">
        <f t="shared" si="0"/>
        <v>1101563</v>
      </c>
      <c r="J6" s="269">
        <f t="shared" si="0"/>
        <v>1121174</v>
      </c>
      <c r="K6" s="268">
        <f t="shared" ref="K6:P6" si="1">SUM(K7,K21)</f>
        <v>1118058</v>
      </c>
      <c r="L6" s="268">
        <f t="shared" si="1"/>
        <v>1106660</v>
      </c>
      <c r="M6" s="268">
        <f t="shared" si="1"/>
        <v>1159266</v>
      </c>
      <c r="N6" s="269">
        <f t="shared" si="1"/>
        <v>1458036</v>
      </c>
      <c r="O6" s="268">
        <f t="shared" si="1"/>
        <v>1574072</v>
      </c>
      <c r="P6" s="268">
        <f t="shared" si="1"/>
        <v>2024779</v>
      </c>
      <c r="Q6" s="268">
        <f>SUM(Q7,Q21)</f>
        <v>2283674</v>
      </c>
      <c r="R6" s="270">
        <v>3381770</v>
      </c>
      <c r="S6" s="270">
        <v>3691701</v>
      </c>
      <c r="T6" s="270">
        <v>3756477</v>
      </c>
      <c r="U6" s="270">
        <v>3869838</v>
      </c>
      <c r="V6" s="270">
        <v>3691701</v>
      </c>
      <c r="W6" s="270">
        <v>3756477</v>
      </c>
      <c r="X6" s="270">
        <v>3869838</v>
      </c>
      <c r="Y6" s="270">
        <f t="shared" ref="Y6" si="2">SUM(Y7,Y21)</f>
        <v>7140556</v>
      </c>
      <c r="Z6" s="270">
        <f>AC6</f>
        <v>7004517</v>
      </c>
      <c r="AA6" s="270">
        <f>AD6</f>
        <v>7018042</v>
      </c>
      <c r="AB6" s="270">
        <f>AE6</f>
        <v>6866380</v>
      </c>
      <c r="AC6" s="270">
        <f t="shared" ref="AC6" si="3">SUM(AC7,AC21)</f>
        <v>7004517</v>
      </c>
      <c r="AD6" s="270">
        <f t="shared" ref="AD6" si="4">SUM(AD7,AD21)</f>
        <v>7018042</v>
      </c>
      <c r="AE6" s="270">
        <f t="shared" ref="AE6:AF6" si="5">SUM(AE7,AE21)</f>
        <v>6866380</v>
      </c>
      <c r="AF6" s="270">
        <f t="shared" si="5"/>
        <v>3648561</v>
      </c>
      <c r="AG6" s="270">
        <f>AJ6</f>
        <v>3607957</v>
      </c>
      <c r="AH6" s="270">
        <f t="shared" ref="AH6:AH71" si="6">AK6</f>
        <v>3600327</v>
      </c>
      <c r="AI6" s="270">
        <f t="shared" ref="AI6:AI71" si="7">AL6</f>
        <v>3469240</v>
      </c>
      <c r="AJ6" s="270">
        <f t="shared" ref="AJ6" si="8">SUM(AJ7,AJ21)</f>
        <v>3607957</v>
      </c>
      <c r="AK6" s="270">
        <f>AK7+AK21</f>
        <v>3600327</v>
      </c>
      <c r="AL6" s="270">
        <f>AL7+AL21</f>
        <v>3469240</v>
      </c>
      <c r="AM6" s="271">
        <f>AM7+AM21</f>
        <v>3469561</v>
      </c>
      <c r="AN6" s="270">
        <f>AQ6</f>
        <v>3450520</v>
      </c>
      <c r="AO6" s="270">
        <f>AR6</f>
        <v>3561332</v>
      </c>
      <c r="AP6" s="270">
        <f>AS6</f>
        <v>3306300</v>
      </c>
      <c r="AQ6" s="270">
        <f t="shared" ref="AQ6:AR6" si="9">SUM(AQ7,AQ21)</f>
        <v>3450520</v>
      </c>
      <c r="AR6" s="270">
        <f t="shared" si="9"/>
        <v>3561332</v>
      </c>
      <c r="AS6" s="270">
        <f t="shared" ref="AS6:AT6" si="10">SUM(AS7,AS21)</f>
        <v>3306300</v>
      </c>
      <c r="AT6" s="271">
        <f t="shared" si="10"/>
        <v>3232784</v>
      </c>
      <c r="AU6" s="271">
        <v>3263006</v>
      </c>
      <c r="AV6" s="271">
        <f t="shared" ref="AV6:AY6" si="11">SUM(AV7,AV21)</f>
        <v>3238437</v>
      </c>
      <c r="AW6" s="271">
        <f>AZ6</f>
        <v>3296568</v>
      </c>
      <c r="AX6" s="271">
        <v>3263006</v>
      </c>
      <c r="AY6" s="271">
        <f t="shared" si="11"/>
        <v>3238437</v>
      </c>
      <c r="AZ6" s="271">
        <f t="shared" ref="AZ6:BA6" si="12">SUM(AZ7,AZ21)</f>
        <v>3296568</v>
      </c>
      <c r="BA6" s="271">
        <f t="shared" si="12"/>
        <v>3203551</v>
      </c>
      <c r="BB6" s="271">
        <f t="shared" ref="BB6:BC6" si="13">SUM(BB7,BB21)</f>
        <v>3156756</v>
      </c>
      <c r="BC6" s="271">
        <f t="shared" si="13"/>
        <v>3092795</v>
      </c>
      <c r="BD6" s="271">
        <f t="shared" ref="BD6" si="14">SUM(BD7,BD21)</f>
        <v>2878681</v>
      </c>
      <c r="BE6" s="271">
        <f t="shared" ref="BE6:BF6" si="15">SUM(BE7,BE21)</f>
        <v>3156756</v>
      </c>
      <c r="BF6" s="271">
        <f t="shared" si="15"/>
        <v>3092795</v>
      </c>
      <c r="BG6" s="271">
        <f t="shared" ref="BG6" si="16">SUM(BG7,BG21)</f>
        <v>2878681</v>
      </c>
      <c r="BH6" s="271">
        <f>SUM(BH7,BH21)-2</f>
        <v>2819455</v>
      </c>
      <c r="BI6" s="271">
        <f t="shared" ref="BI6:BN6" si="17">SUM(BI7,BI21)</f>
        <v>2760897</v>
      </c>
      <c r="BJ6" s="271">
        <f t="shared" si="17"/>
        <v>2775128</v>
      </c>
      <c r="BK6" s="271">
        <f t="shared" si="17"/>
        <v>2705608</v>
      </c>
      <c r="BL6" s="271">
        <f t="shared" si="17"/>
        <v>2760897</v>
      </c>
      <c r="BM6" s="271">
        <f t="shared" si="17"/>
        <v>2775128</v>
      </c>
      <c r="BN6" s="271">
        <f t="shared" si="17"/>
        <v>2705608</v>
      </c>
      <c r="BO6" s="271">
        <f t="shared" ref="BO6:BP6" si="18">SUM(BO7,BO21)</f>
        <v>2550758</v>
      </c>
      <c r="BP6" s="271">
        <f t="shared" si="18"/>
        <v>2712190</v>
      </c>
      <c r="BQ6" s="271">
        <f t="shared" ref="BQ6:BS6" si="19">SUM(BQ7,BQ21)</f>
        <v>2611909</v>
      </c>
      <c r="BR6" s="271">
        <f t="shared" si="19"/>
        <v>2545314</v>
      </c>
      <c r="BS6" s="271">
        <f t="shared" si="19"/>
        <v>2712190</v>
      </c>
      <c r="BT6" s="271">
        <f t="shared" ref="BT6:BU6" si="20">SUM(BT7,BT21)</f>
        <v>2611909</v>
      </c>
      <c r="BU6" s="271">
        <f t="shared" si="20"/>
        <v>2545314</v>
      </c>
      <c r="BV6" s="271">
        <f t="shared" ref="BV6:BY6" si="21">SUM(BV7,BV21)</f>
        <v>2487939</v>
      </c>
      <c r="BW6" s="271">
        <f t="shared" si="21"/>
        <v>2411305</v>
      </c>
      <c r="BX6" s="271">
        <f t="shared" si="21"/>
        <v>2470047</v>
      </c>
      <c r="BY6" s="271">
        <f t="shared" si="21"/>
        <v>2436693</v>
      </c>
      <c r="BZ6" s="271">
        <f t="shared" ref="BZ6:CA6" si="22">SUM(BZ7,BZ21)</f>
        <v>2411305</v>
      </c>
      <c r="CA6" s="271">
        <f t="shared" si="22"/>
        <v>2470047</v>
      </c>
      <c r="CB6" s="271">
        <f t="shared" ref="CB6:CC6" si="23">SUM(CB7,CB21)</f>
        <v>2436693</v>
      </c>
      <c r="CC6" s="271">
        <f t="shared" si="23"/>
        <v>2402275</v>
      </c>
      <c r="CD6" s="271">
        <f t="shared" ref="CD6" si="24">SUM(CD7,CD21)</f>
        <v>2400290</v>
      </c>
      <c r="CE6" s="271">
        <f t="shared" ref="CE6:CG6" si="25">SUM(CE7,CE21)</f>
        <v>2339548</v>
      </c>
      <c r="CF6" s="271">
        <f t="shared" si="25"/>
        <v>2310553</v>
      </c>
      <c r="CG6" s="271">
        <f t="shared" si="25"/>
        <v>2400290</v>
      </c>
      <c r="CH6" s="271">
        <f t="shared" ref="CH6:CI6" si="26">SUM(CH7,CH21)</f>
        <v>2339548</v>
      </c>
      <c r="CI6" s="271">
        <f t="shared" si="26"/>
        <v>2310553</v>
      </c>
      <c r="CJ6" s="271">
        <v>2261210</v>
      </c>
      <c r="CK6" s="271">
        <f t="shared" ref="CK6" si="27">SUM(CK7,CK21)</f>
        <v>2179403</v>
      </c>
      <c r="CL6" s="271">
        <f t="shared" ref="CL6:CO6" si="28">SUM(CL7,CL21)</f>
        <v>0</v>
      </c>
      <c r="CM6" s="271">
        <f t="shared" si="28"/>
        <v>0</v>
      </c>
      <c r="CN6" s="271">
        <f t="shared" si="28"/>
        <v>2179403</v>
      </c>
      <c r="CO6" s="271">
        <f t="shared" si="28"/>
        <v>0</v>
      </c>
    </row>
    <row r="7" spans="1:93" s="423" customFormat="1" ht="13" x14ac:dyDescent="0.3">
      <c r="A7" s="272" t="str">
        <f>Language!C7</f>
        <v>Ativo Circulante</v>
      </c>
      <c r="B7" s="273">
        <f t="shared" ref="B7:K7" si="29">SUM(B8:B20)</f>
        <v>50572</v>
      </c>
      <c r="C7" s="273">
        <f t="shared" si="29"/>
        <v>105268</v>
      </c>
      <c r="D7" s="273">
        <f t="shared" si="29"/>
        <v>53293</v>
      </c>
      <c r="E7" s="273">
        <f t="shared" si="29"/>
        <v>58805</v>
      </c>
      <c r="F7" s="274">
        <f t="shared" si="29"/>
        <v>104860</v>
      </c>
      <c r="G7" s="273">
        <f t="shared" si="29"/>
        <v>72124</v>
      </c>
      <c r="H7" s="273">
        <f t="shared" si="29"/>
        <v>46685</v>
      </c>
      <c r="I7" s="273">
        <f t="shared" si="29"/>
        <v>62056</v>
      </c>
      <c r="J7" s="274">
        <f t="shared" si="29"/>
        <v>80994</v>
      </c>
      <c r="K7" s="273">
        <f t="shared" si="29"/>
        <v>84372</v>
      </c>
      <c r="L7" s="273">
        <f t="shared" ref="L7:P7" si="30">SUM(L8:L20)</f>
        <v>68530</v>
      </c>
      <c r="M7" s="273">
        <f t="shared" si="30"/>
        <v>67739</v>
      </c>
      <c r="N7" s="274">
        <f t="shared" si="30"/>
        <v>307240</v>
      </c>
      <c r="O7" s="273">
        <f t="shared" si="30"/>
        <v>235121</v>
      </c>
      <c r="P7" s="273">
        <f t="shared" si="30"/>
        <v>484450</v>
      </c>
      <c r="Q7" s="273">
        <f t="shared" ref="Q7" si="31">SUM(Q8:Q20)</f>
        <v>447188</v>
      </c>
      <c r="R7" s="275">
        <v>705243</v>
      </c>
      <c r="S7" s="275">
        <v>731127</v>
      </c>
      <c r="T7" s="275">
        <v>776828</v>
      </c>
      <c r="U7" s="275">
        <v>797255</v>
      </c>
      <c r="V7" s="275">
        <v>731127</v>
      </c>
      <c r="W7" s="275">
        <v>776828</v>
      </c>
      <c r="X7" s="275">
        <v>797255</v>
      </c>
      <c r="Y7" s="275">
        <f t="shared" ref="Y7" si="32">SUM(Y8:Y20)</f>
        <v>492915</v>
      </c>
      <c r="Z7" s="275">
        <f t="shared" ref="Z7:Z71" si="33">AC7</f>
        <v>284400</v>
      </c>
      <c r="AA7" s="275">
        <f t="shared" ref="AA7:AA71" si="34">AD7</f>
        <v>323974</v>
      </c>
      <c r="AB7" s="275">
        <f t="shared" ref="AB7:AB71" si="35">AE7</f>
        <v>306071</v>
      </c>
      <c r="AC7" s="275">
        <f t="shared" ref="AC7" si="36">SUM(AC8:AC20)</f>
        <v>284400</v>
      </c>
      <c r="AD7" s="275">
        <f t="shared" ref="AD7" si="37">SUM(AD8:AD20)</f>
        <v>323974</v>
      </c>
      <c r="AE7" s="275">
        <f t="shared" ref="AE7:AF7" si="38">SUM(AE8:AE20)</f>
        <v>306071</v>
      </c>
      <c r="AF7" s="275">
        <f t="shared" si="38"/>
        <v>346791</v>
      </c>
      <c r="AG7" s="275">
        <f t="shared" ref="AG7:AG72" si="39">AJ7</f>
        <v>310939</v>
      </c>
      <c r="AH7" s="275">
        <f t="shared" si="6"/>
        <v>299858</v>
      </c>
      <c r="AI7" s="275">
        <f t="shared" si="7"/>
        <v>171035</v>
      </c>
      <c r="AJ7" s="275">
        <f t="shared" ref="AJ7" si="40">SUM(AJ8:AJ20)</f>
        <v>310939</v>
      </c>
      <c r="AK7" s="275">
        <f t="shared" ref="AK7:AM7" si="41">SUM(AK8:AK20)</f>
        <v>299858</v>
      </c>
      <c r="AL7" s="275">
        <f t="shared" si="41"/>
        <v>171035</v>
      </c>
      <c r="AM7" s="276">
        <f t="shared" si="41"/>
        <v>190731</v>
      </c>
      <c r="AN7" s="275">
        <f t="shared" ref="AN7:AP72" si="42">AQ7</f>
        <v>169220</v>
      </c>
      <c r="AO7" s="275">
        <f t="shared" si="42"/>
        <v>182969</v>
      </c>
      <c r="AP7" s="275">
        <f t="shared" si="42"/>
        <v>156085</v>
      </c>
      <c r="AQ7" s="275">
        <f t="shared" ref="AQ7:AR7" si="43">SUM(AQ8:AQ20)</f>
        <v>169220</v>
      </c>
      <c r="AR7" s="275">
        <f t="shared" si="43"/>
        <v>182969</v>
      </c>
      <c r="AS7" s="275">
        <f t="shared" ref="AS7:AU7" si="44">SUM(AS8:AS20)</f>
        <v>156085</v>
      </c>
      <c r="AT7" s="276">
        <f t="shared" si="44"/>
        <v>86872</v>
      </c>
      <c r="AU7" s="276">
        <f t="shared" si="44"/>
        <v>123078</v>
      </c>
      <c r="AV7" s="276">
        <f t="shared" ref="AV7:AY7" si="45">SUM(AV8:AV20)</f>
        <v>144578</v>
      </c>
      <c r="AW7" s="276">
        <f t="shared" ref="AW7:AW69" si="46">AZ7</f>
        <v>143945</v>
      </c>
      <c r="AX7" s="276">
        <f t="shared" ref="AX7" si="47">SUM(AX8:AX20)</f>
        <v>123078</v>
      </c>
      <c r="AY7" s="276">
        <f t="shared" si="45"/>
        <v>144578</v>
      </c>
      <c r="AZ7" s="276">
        <f t="shared" ref="AZ7:BA7" si="48">SUM(AZ8:AZ20)</f>
        <v>143945</v>
      </c>
      <c r="BA7" s="276">
        <f t="shared" si="48"/>
        <v>130806</v>
      </c>
      <c r="BB7" s="276">
        <f t="shared" ref="BB7:BC7" si="49">SUM(BB8:BB20)</f>
        <v>126806</v>
      </c>
      <c r="BC7" s="276">
        <f t="shared" si="49"/>
        <v>118776</v>
      </c>
      <c r="BD7" s="276">
        <f t="shared" ref="BD7" si="50">SUM(BD8:BD20)</f>
        <v>107439</v>
      </c>
      <c r="BE7" s="276">
        <f t="shared" ref="BE7:BF7" si="51">SUM(BE8:BE20)</f>
        <v>126806</v>
      </c>
      <c r="BF7" s="276">
        <f t="shared" si="51"/>
        <v>118776</v>
      </c>
      <c r="BG7" s="276">
        <f t="shared" ref="BG7:BH7" si="52">SUM(BG8:BG20)</f>
        <v>107439</v>
      </c>
      <c r="BH7" s="276">
        <f t="shared" si="52"/>
        <v>102100</v>
      </c>
      <c r="BI7" s="276">
        <f t="shared" ref="BI7:BL7" si="53">SUM(BI8:BI20)</f>
        <v>100843</v>
      </c>
      <c r="BJ7" s="276">
        <f t="shared" si="53"/>
        <v>111554</v>
      </c>
      <c r="BK7" s="276">
        <f t="shared" si="53"/>
        <v>94276</v>
      </c>
      <c r="BL7" s="276">
        <f t="shared" si="53"/>
        <v>100843</v>
      </c>
      <c r="BM7" s="276">
        <f t="shared" ref="BM7:BN7" si="54">SUM(BM8:BM20)</f>
        <v>111554</v>
      </c>
      <c r="BN7" s="276">
        <f t="shared" si="54"/>
        <v>94276</v>
      </c>
      <c r="BO7" s="276">
        <f t="shared" ref="BO7:BP7" si="55">SUM(BO8:BO20)</f>
        <v>82861</v>
      </c>
      <c r="BP7" s="276">
        <f t="shared" si="55"/>
        <v>141457</v>
      </c>
      <c r="BQ7" s="276">
        <f t="shared" ref="BQ7:BS7" si="56">SUM(BQ8:BQ20)</f>
        <v>136024</v>
      </c>
      <c r="BR7" s="276">
        <f t="shared" si="56"/>
        <v>118189</v>
      </c>
      <c r="BS7" s="276">
        <f t="shared" si="56"/>
        <v>141457</v>
      </c>
      <c r="BT7" s="276">
        <f t="shared" ref="BT7:BU7" si="57">SUM(BT8:BT20)</f>
        <v>136024</v>
      </c>
      <c r="BU7" s="276">
        <f t="shared" si="57"/>
        <v>118189</v>
      </c>
      <c r="BV7" s="276">
        <f t="shared" ref="BV7:BY7" si="58">SUM(BV8:BV20)</f>
        <v>128379</v>
      </c>
      <c r="BW7" s="276">
        <f t="shared" si="58"/>
        <v>121316</v>
      </c>
      <c r="BX7" s="276">
        <f t="shared" si="58"/>
        <v>110082</v>
      </c>
      <c r="BY7" s="276">
        <f t="shared" si="58"/>
        <v>125207</v>
      </c>
      <c r="BZ7" s="276">
        <f t="shared" ref="BZ7:CA7" si="59">SUM(BZ8:BZ20)</f>
        <v>121316</v>
      </c>
      <c r="CA7" s="276">
        <f t="shared" si="59"/>
        <v>110082</v>
      </c>
      <c r="CB7" s="276">
        <f t="shared" ref="CB7:CC7" si="60">SUM(CB8:CB20)</f>
        <v>125207</v>
      </c>
      <c r="CC7" s="276">
        <f t="shared" si="60"/>
        <v>129336</v>
      </c>
      <c r="CD7" s="276">
        <f t="shared" ref="CD7" si="61">SUM(CD8:CD20)</f>
        <v>135568</v>
      </c>
      <c r="CE7" s="276">
        <f t="shared" ref="CE7:CG7" si="62">SUM(CE8:CE20)</f>
        <v>123222</v>
      </c>
      <c r="CF7" s="276">
        <f t="shared" si="62"/>
        <v>140745</v>
      </c>
      <c r="CG7" s="276">
        <f t="shared" si="62"/>
        <v>135568</v>
      </c>
      <c r="CH7" s="276">
        <f t="shared" ref="CH7:CI7" si="63">SUM(CH8:CH20)</f>
        <v>123222</v>
      </c>
      <c r="CI7" s="276">
        <f t="shared" si="63"/>
        <v>140745</v>
      </c>
      <c r="CJ7" s="276">
        <v>137544</v>
      </c>
      <c r="CK7" s="276">
        <f t="shared" ref="CK7" si="64">SUM(CK8:CK20)</f>
        <v>133261</v>
      </c>
      <c r="CL7" s="276">
        <f t="shared" ref="CL7:CO7" si="65">SUM(CL8:CL20)</f>
        <v>0</v>
      </c>
      <c r="CM7" s="276">
        <f t="shared" si="65"/>
        <v>0</v>
      </c>
      <c r="CN7" s="276">
        <f t="shared" si="65"/>
        <v>133261</v>
      </c>
      <c r="CO7" s="276">
        <f t="shared" si="65"/>
        <v>0</v>
      </c>
    </row>
    <row r="8" spans="1:93" s="289" customFormat="1" x14ac:dyDescent="0.25">
      <c r="A8" s="277" t="str">
        <f>Language!C8</f>
        <v>Disponibilidades</v>
      </c>
      <c r="B8" s="278">
        <v>14221</v>
      </c>
      <c r="C8" s="278">
        <v>12995</v>
      </c>
      <c r="D8" s="278">
        <v>11443</v>
      </c>
      <c r="E8" s="278">
        <v>8972</v>
      </c>
      <c r="F8" s="279">
        <v>12252</v>
      </c>
      <c r="G8" s="278">
        <v>10590</v>
      </c>
      <c r="H8" s="278">
        <v>7252</v>
      </c>
      <c r="I8" s="278">
        <v>10039</v>
      </c>
      <c r="J8" s="279">
        <v>8173</v>
      </c>
      <c r="K8" s="278">
        <v>6487</v>
      </c>
      <c r="L8" s="278">
        <v>9542</v>
      </c>
      <c r="M8" s="278">
        <v>12878</v>
      </c>
      <c r="N8" s="279">
        <v>11584</v>
      </c>
      <c r="O8" s="278">
        <v>108927</v>
      </c>
      <c r="P8" s="278">
        <v>244510</v>
      </c>
      <c r="Q8" s="278">
        <v>92843</v>
      </c>
      <c r="R8" s="279">
        <v>141595</v>
      </c>
      <c r="S8" s="281">
        <v>132173</v>
      </c>
      <c r="T8" s="281">
        <v>50082</v>
      </c>
      <c r="U8" s="281">
        <v>45022</v>
      </c>
      <c r="V8" s="281">
        <v>132173</v>
      </c>
      <c r="W8" s="281">
        <v>50082</v>
      </c>
      <c r="X8" s="282">
        <v>45022</v>
      </c>
      <c r="Y8" s="283">
        <v>29863</v>
      </c>
      <c r="Z8" s="281">
        <f t="shared" si="33"/>
        <v>21304</v>
      </c>
      <c r="AA8" s="281">
        <f t="shared" si="34"/>
        <v>41347</v>
      </c>
      <c r="AB8" s="281">
        <f t="shared" si="35"/>
        <v>37473</v>
      </c>
      <c r="AC8" s="281">
        <v>21304</v>
      </c>
      <c r="AD8" s="281">
        <v>41347</v>
      </c>
      <c r="AE8" s="282">
        <v>37473</v>
      </c>
      <c r="AF8" s="281">
        <v>50373</v>
      </c>
      <c r="AG8" s="281">
        <f t="shared" si="39"/>
        <v>38753</v>
      </c>
      <c r="AH8" s="281">
        <f t="shared" si="6"/>
        <v>39962</v>
      </c>
      <c r="AI8" s="281">
        <f t="shared" si="7"/>
        <v>40927</v>
      </c>
      <c r="AJ8" s="281">
        <v>38753</v>
      </c>
      <c r="AK8" s="281">
        <v>39962</v>
      </c>
      <c r="AL8" s="281">
        <v>40927</v>
      </c>
      <c r="AM8" s="283">
        <v>51887</v>
      </c>
      <c r="AN8" s="281">
        <f t="shared" si="42"/>
        <v>54590</v>
      </c>
      <c r="AO8" s="281">
        <f t="shared" si="42"/>
        <v>62100</v>
      </c>
      <c r="AP8" s="281">
        <f t="shared" si="42"/>
        <v>48359</v>
      </c>
      <c r="AQ8" s="281">
        <v>54590</v>
      </c>
      <c r="AR8" s="281">
        <v>62100</v>
      </c>
      <c r="AS8" s="281">
        <v>48359</v>
      </c>
      <c r="AT8" s="283">
        <v>25256</v>
      </c>
      <c r="AU8" s="283">
        <f>AX8</f>
        <v>26807</v>
      </c>
      <c r="AV8" s="283">
        <f>AY8</f>
        <v>43755</v>
      </c>
      <c r="AW8" s="283">
        <f t="shared" si="46"/>
        <v>45092</v>
      </c>
      <c r="AX8" s="283">
        <v>26807</v>
      </c>
      <c r="AY8" s="283">
        <v>43755</v>
      </c>
      <c r="AZ8" s="283">
        <v>45092</v>
      </c>
      <c r="BA8" s="283">
        <v>60971</v>
      </c>
      <c r="BB8" s="283">
        <f>BE8</f>
        <v>56367</v>
      </c>
      <c r="BC8" s="283">
        <f>BF8</f>
        <v>44125</v>
      </c>
      <c r="BD8" s="283">
        <f>BG8</f>
        <v>30919</v>
      </c>
      <c r="BE8" s="283">
        <v>56367</v>
      </c>
      <c r="BF8" s="283">
        <v>44125</v>
      </c>
      <c r="BG8" s="283">
        <v>30919</v>
      </c>
      <c r="BH8" s="283">
        <v>26041</v>
      </c>
      <c r="BI8" s="283">
        <f>BL8</f>
        <v>15645</v>
      </c>
      <c r="BJ8" s="283">
        <f>BM8</f>
        <v>16565</v>
      </c>
      <c r="BK8" s="283">
        <f>BN8</f>
        <v>16224</v>
      </c>
      <c r="BL8" s="283">
        <v>15645</v>
      </c>
      <c r="BM8" s="283">
        <v>16565</v>
      </c>
      <c r="BN8" s="283">
        <v>16224</v>
      </c>
      <c r="BO8" s="506">
        <v>8450</v>
      </c>
      <c r="BP8" s="506">
        <f>BS8</f>
        <v>49218</v>
      </c>
      <c r="BQ8" s="506">
        <f>BT8</f>
        <v>47486</v>
      </c>
      <c r="BR8" s="506">
        <f>BU8</f>
        <v>36990</v>
      </c>
      <c r="BS8" s="506">
        <v>49218</v>
      </c>
      <c r="BT8" s="506">
        <v>47486</v>
      </c>
      <c r="BU8" s="506">
        <v>36990</v>
      </c>
      <c r="BV8" s="506">
        <v>32239</v>
      </c>
      <c r="BW8" s="506">
        <f>BZ8</f>
        <v>22432</v>
      </c>
      <c r="BX8" s="506">
        <f>CA8</f>
        <v>14887</v>
      </c>
      <c r="BY8" s="506">
        <f>CB8</f>
        <v>31841</v>
      </c>
      <c r="BZ8" s="506">
        <v>22432</v>
      </c>
      <c r="CA8" s="506">
        <v>14887</v>
      </c>
      <c r="CB8" s="506">
        <v>31841</v>
      </c>
      <c r="CC8" s="506">
        <v>22080</v>
      </c>
      <c r="CD8" s="506">
        <f>CG8</f>
        <v>26354</v>
      </c>
      <c r="CE8" s="506">
        <f>CH8</f>
        <v>16651</v>
      </c>
      <c r="CF8" s="506">
        <f>CI8</f>
        <v>21545</v>
      </c>
      <c r="CG8" s="506">
        <v>26354</v>
      </c>
      <c r="CH8" s="506">
        <v>16651</v>
      </c>
      <c r="CI8" s="506">
        <v>21545</v>
      </c>
      <c r="CJ8" s="506">
        <v>17425</v>
      </c>
      <c r="CK8" s="506">
        <f>CN8</f>
        <v>20678</v>
      </c>
      <c r="CL8" s="506"/>
      <c r="CM8" s="506"/>
      <c r="CN8" s="506">
        <v>20678</v>
      </c>
      <c r="CO8" s="506"/>
    </row>
    <row r="9" spans="1:93" s="289" customFormat="1" x14ac:dyDescent="0.25">
      <c r="A9" s="277" t="str">
        <f>Language!C9</f>
        <v>Aplicações Financeiras Vinculadas</v>
      </c>
      <c r="B9" s="278">
        <v>16196</v>
      </c>
      <c r="C9" s="278">
        <v>34876</v>
      </c>
      <c r="D9" s="278">
        <v>17630</v>
      </c>
      <c r="E9" s="278">
        <v>22233</v>
      </c>
      <c r="F9" s="279">
        <v>31320</v>
      </c>
      <c r="G9" s="278">
        <v>29403</v>
      </c>
      <c r="H9" s="278">
        <v>5219</v>
      </c>
      <c r="I9" s="278">
        <v>7765</v>
      </c>
      <c r="J9" s="279">
        <v>11989</v>
      </c>
      <c r="K9" s="278">
        <v>18145</v>
      </c>
      <c r="L9" s="278">
        <v>0</v>
      </c>
      <c r="M9" s="278">
        <v>0</v>
      </c>
      <c r="N9" s="279">
        <v>226605</v>
      </c>
      <c r="O9" s="278">
        <v>0</v>
      </c>
      <c r="P9" s="278">
        <v>0</v>
      </c>
      <c r="Q9" s="278">
        <v>0</v>
      </c>
      <c r="R9" s="279">
        <v>6372</v>
      </c>
      <c r="S9" s="281">
        <v>29073</v>
      </c>
      <c r="T9" s="281">
        <v>43052</v>
      </c>
      <c r="U9" s="281">
        <v>48559</v>
      </c>
      <c r="V9" s="281">
        <v>29073</v>
      </c>
      <c r="W9" s="281">
        <v>43052</v>
      </c>
      <c r="X9" s="282">
        <v>48559</v>
      </c>
      <c r="Y9" s="283">
        <v>64201</v>
      </c>
      <c r="Z9" s="281">
        <f t="shared" si="33"/>
        <v>55826</v>
      </c>
      <c r="AA9" s="281">
        <f t="shared" si="34"/>
        <v>63337</v>
      </c>
      <c r="AB9" s="281">
        <f t="shared" si="35"/>
        <v>28163</v>
      </c>
      <c r="AC9" s="281">
        <v>55826</v>
      </c>
      <c r="AD9" s="281">
        <v>63337</v>
      </c>
      <c r="AE9" s="282">
        <v>28163</v>
      </c>
      <c r="AF9" s="281">
        <v>47460</v>
      </c>
      <c r="AG9" s="281">
        <f t="shared" si="39"/>
        <v>31705</v>
      </c>
      <c r="AH9" s="281">
        <f t="shared" si="6"/>
        <v>47146</v>
      </c>
      <c r="AI9" s="281">
        <f t="shared" si="7"/>
        <v>25105</v>
      </c>
      <c r="AJ9" s="281">
        <v>31705</v>
      </c>
      <c r="AK9" s="281">
        <v>47146</v>
      </c>
      <c r="AL9" s="281">
        <v>25105</v>
      </c>
      <c r="AM9" s="283">
        <v>41788</v>
      </c>
      <c r="AN9" s="281">
        <f t="shared" si="42"/>
        <v>23882</v>
      </c>
      <c r="AO9" s="281">
        <f t="shared" si="42"/>
        <v>36643</v>
      </c>
      <c r="AP9" s="281">
        <f t="shared" si="42"/>
        <v>26084</v>
      </c>
      <c r="AQ9" s="281">
        <v>23882</v>
      </c>
      <c r="AR9" s="281">
        <v>36643</v>
      </c>
      <c r="AS9" s="281">
        <v>26084</v>
      </c>
      <c r="AT9" s="283">
        <v>8558</v>
      </c>
      <c r="AU9" s="283">
        <f t="shared" ref="AU9:AU20" si="66">AX9</f>
        <v>8474</v>
      </c>
      <c r="AV9" s="283">
        <f t="shared" ref="AV9:AV20" si="67">AY9</f>
        <v>8601</v>
      </c>
      <c r="AW9" s="283">
        <f t="shared" si="46"/>
        <v>8394</v>
      </c>
      <c r="AX9" s="283">
        <v>8474</v>
      </c>
      <c r="AY9" s="283">
        <v>8601</v>
      </c>
      <c r="AZ9" s="283">
        <v>8394</v>
      </c>
      <c r="BA9" s="283">
        <v>8222</v>
      </c>
      <c r="BB9" s="283">
        <f t="shared" ref="BB9:BB20" si="68">BE9</f>
        <v>8302</v>
      </c>
      <c r="BC9" s="283">
        <f t="shared" ref="BC9:BC20" si="69">BF9</f>
        <v>8337</v>
      </c>
      <c r="BD9" s="283">
        <f t="shared" ref="BD9:BD36" si="70">BG9</f>
        <v>9692</v>
      </c>
      <c r="BE9" s="283">
        <v>8302</v>
      </c>
      <c r="BF9" s="283">
        <v>8337</v>
      </c>
      <c r="BG9" s="283">
        <v>9692</v>
      </c>
      <c r="BH9" s="283">
        <v>9729</v>
      </c>
      <c r="BI9" s="283">
        <f t="shared" ref="BI9:BI20" si="71">BL9</f>
        <v>9705</v>
      </c>
      <c r="BJ9" s="283">
        <f t="shared" ref="BJ9:BJ20" si="72">BM9</f>
        <v>9767</v>
      </c>
      <c r="BK9" s="283">
        <f t="shared" ref="BK9:BK20" si="73">BN9</f>
        <v>9831</v>
      </c>
      <c r="BL9" s="283">
        <v>9705</v>
      </c>
      <c r="BM9" s="283">
        <v>9767</v>
      </c>
      <c r="BN9" s="283">
        <v>9831</v>
      </c>
      <c r="BO9" s="283">
        <v>9890</v>
      </c>
      <c r="BP9" s="506">
        <f t="shared" ref="BP9:BP20" si="74">BS9</f>
        <v>0</v>
      </c>
      <c r="BQ9" s="506">
        <f t="shared" ref="BQ9:BQ20" si="75">BT9</f>
        <v>0</v>
      </c>
      <c r="BR9" s="506">
        <f t="shared" ref="BR9:BR20" si="76">BU9</f>
        <v>0</v>
      </c>
      <c r="BS9" s="283">
        <v>0</v>
      </c>
      <c r="BT9" s="283">
        <v>0</v>
      </c>
      <c r="BU9" s="283">
        <v>0</v>
      </c>
      <c r="BV9" s="283">
        <v>0</v>
      </c>
      <c r="BW9" s="506">
        <f t="shared" ref="BW9:BW20" si="77">BZ9</f>
        <v>0</v>
      </c>
      <c r="BX9" s="506">
        <f t="shared" ref="BX9:BX20" si="78">CA9</f>
        <v>0</v>
      </c>
      <c r="BY9" s="506">
        <f t="shared" ref="BY9:BY20" si="79">CB9</f>
        <v>0</v>
      </c>
      <c r="BZ9" s="283">
        <v>0</v>
      </c>
      <c r="CA9" s="283">
        <v>0</v>
      </c>
      <c r="CB9" s="283">
        <v>0</v>
      </c>
      <c r="CC9" s="283">
        <v>0</v>
      </c>
      <c r="CD9" s="506">
        <f t="shared" ref="CD9:CD20" si="80">CG9</f>
        <v>0</v>
      </c>
      <c r="CE9" s="506">
        <f t="shared" ref="CE9:CE20" si="81">CH9</f>
        <v>0</v>
      </c>
      <c r="CF9" s="506">
        <f t="shared" ref="CF9:CF20" si="82">CI9</f>
        <v>0</v>
      </c>
      <c r="CG9" s="283">
        <v>0</v>
      </c>
      <c r="CH9" s="283">
        <v>0</v>
      </c>
      <c r="CI9" s="283">
        <v>0</v>
      </c>
      <c r="CJ9" s="283">
        <v>0</v>
      </c>
      <c r="CK9" s="506">
        <f t="shared" ref="CK9:CK20" si="83">CN9</f>
        <v>0</v>
      </c>
      <c r="CL9" s="283"/>
      <c r="CM9" s="283"/>
      <c r="CN9" s="283">
        <v>0</v>
      </c>
      <c r="CO9" s="283"/>
    </row>
    <row r="10" spans="1:93" s="289" customFormat="1" x14ac:dyDescent="0.25">
      <c r="A10" s="277" t="str">
        <f>Language!C10</f>
        <v>Caixa Restrito</v>
      </c>
      <c r="B10" s="278"/>
      <c r="C10" s="278"/>
      <c r="D10" s="278"/>
      <c r="E10" s="278"/>
      <c r="F10" s="279"/>
      <c r="G10" s="278"/>
      <c r="H10" s="278"/>
      <c r="I10" s="278"/>
      <c r="J10" s="279"/>
      <c r="K10" s="278"/>
      <c r="L10" s="278"/>
      <c r="M10" s="278"/>
      <c r="N10" s="279"/>
      <c r="O10" s="278"/>
      <c r="P10" s="278"/>
      <c r="Q10" s="278"/>
      <c r="R10" s="279"/>
      <c r="S10" s="281"/>
      <c r="T10" s="281"/>
      <c r="U10" s="281"/>
      <c r="V10" s="281"/>
      <c r="W10" s="281"/>
      <c r="X10" s="282"/>
      <c r="Y10" s="283"/>
      <c r="Z10" s="281"/>
      <c r="AA10" s="281"/>
      <c r="AB10" s="281"/>
      <c r="AC10" s="281"/>
      <c r="AD10" s="281"/>
      <c r="AE10" s="282"/>
      <c r="AF10" s="281"/>
      <c r="AG10" s="281"/>
      <c r="AH10" s="281">
        <f t="shared" si="6"/>
        <v>2492</v>
      </c>
      <c r="AI10" s="281">
        <f t="shared" si="7"/>
        <v>2588</v>
      </c>
      <c r="AJ10" s="281"/>
      <c r="AK10" s="281">
        <v>2492</v>
      </c>
      <c r="AL10" s="281">
        <v>2588</v>
      </c>
      <c r="AM10" s="283">
        <v>1298</v>
      </c>
      <c r="AN10" s="281">
        <f t="shared" si="42"/>
        <v>892</v>
      </c>
      <c r="AO10" s="281">
        <f t="shared" si="42"/>
        <v>687</v>
      </c>
      <c r="AP10" s="281">
        <f t="shared" si="42"/>
        <v>1396</v>
      </c>
      <c r="AQ10" s="281">
        <v>892</v>
      </c>
      <c r="AR10" s="281">
        <v>687</v>
      </c>
      <c r="AS10" s="281">
        <v>1396</v>
      </c>
      <c r="AT10" s="283">
        <v>1008</v>
      </c>
      <c r="AU10" s="283">
        <f t="shared" si="66"/>
        <v>1654</v>
      </c>
      <c r="AV10" s="283">
        <f t="shared" si="67"/>
        <v>1062</v>
      </c>
      <c r="AW10" s="283">
        <f t="shared" si="46"/>
        <v>4011</v>
      </c>
      <c r="AX10" s="283">
        <v>1654</v>
      </c>
      <c r="AY10" s="283">
        <v>1062</v>
      </c>
      <c r="AZ10" s="283">
        <v>4011</v>
      </c>
      <c r="BA10" s="283">
        <v>2055</v>
      </c>
      <c r="BB10" s="283">
        <f t="shared" si="68"/>
        <v>538</v>
      </c>
      <c r="BC10" s="283">
        <f t="shared" si="69"/>
        <v>6420</v>
      </c>
      <c r="BD10" s="283">
        <f t="shared" si="70"/>
        <v>5659</v>
      </c>
      <c r="BE10" s="283">
        <v>538</v>
      </c>
      <c r="BF10" s="283">
        <v>6420</v>
      </c>
      <c r="BG10" s="283">
        <v>5659</v>
      </c>
      <c r="BH10" s="283">
        <v>2157</v>
      </c>
      <c r="BI10" s="283">
        <f t="shared" si="71"/>
        <v>2219</v>
      </c>
      <c r="BJ10" s="283">
        <f t="shared" si="72"/>
        <v>9538</v>
      </c>
      <c r="BK10" s="283">
        <f t="shared" si="73"/>
        <v>9588</v>
      </c>
      <c r="BL10" s="283">
        <v>2219</v>
      </c>
      <c r="BM10" s="283">
        <v>9538</v>
      </c>
      <c r="BN10" s="283">
        <v>9588</v>
      </c>
      <c r="BO10" s="283">
        <v>9735</v>
      </c>
      <c r="BP10" s="506">
        <f t="shared" si="74"/>
        <v>7489</v>
      </c>
      <c r="BQ10" s="506">
        <f t="shared" si="75"/>
        <v>7770</v>
      </c>
      <c r="BR10" s="506">
        <f t="shared" si="76"/>
        <v>7312</v>
      </c>
      <c r="BS10" s="283">
        <v>7489</v>
      </c>
      <c r="BT10" s="283">
        <v>7770</v>
      </c>
      <c r="BU10" s="283">
        <v>7312</v>
      </c>
      <c r="BV10" s="283">
        <v>7621</v>
      </c>
      <c r="BW10" s="506">
        <f t="shared" si="77"/>
        <v>7957</v>
      </c>
      <c r="BX10" s="506">
        <f t="shared" si="78"/>
        <v>8446</v>
      </c>
      <c r="BY10" s="506">
        <f t="shared" si="79"/>
        <v>8306</v>
      </c>
      <c r="BZ10" s="283">
        <v>7957</v>
      </c>
      <c r="CA10" s="283">
        <v>8446</v>
      </c>
      <c r="CB10" s="283">
        <v>8306</v>
      </c>
      <c r="CC10" s="283">
        <v>7919</v>
      </c>
      <c r="CD10" s="506">
        <f t="shared" si="80"/>
        <v>8696</v>
      </c>
      <c r="CE10" s="506">
        <f t="shared" si="81"/>
        <v>10560</v>
      </c>
      <c r="CF10" s="506">
        <f t="shared" si="82"/>
        <v>10576</v>
      </c>
      <c r="CG10" s="283">
        <v>8696</v>
      </c>
      <c r="CH10" s="283">
        <v>10560</v>
      </c>
      <c r="CI10" s="283">
        <v>10576</v>
      </c>
      <c r="CJ10" s="283">
        <v>16450</v>
      </c>
      <c r="CK10" s="506">
        <f t="shared" si="83"/>
        <v>14181</v>
      </c>
      <c r="CL10" s="283"/>
      <c r="CM10" s="283"/>
      <c r="CN10" s="283">
        <v>14181</v>
      </c>
      <c r="CO10" s="283"/>
    </row>
    <row r="11" spans="1:93" s="289" customFormat="1" x14ac:dyDescent="0.25">
      <c r="A11" s="277" t="str">
        <f>Language!C11</f>
        <v>Contas a Receber de Clientes</v>
      </c>
      <c r="B11" s="278">
        <v>10833</v>
      </c>
      <c r="C11" s="278">
        <v>12208</v>
      </c>
      <c r="D11" s="278">
        <v>12769</v>
      </c>
      <c r="E11" s="278">
        <v>17152</v>
      </c>
      <c r="F11" s="279">
        <v>18655</v>
      </c>
      <c r="G11" s="278">
        <v>18449</v>
      </c>
      <c r="H11" s="278">
        <v>22268</v>
      </c>
      <c r="I11" s="278">
        <v>27715</v>
      </c>
      <c r="J11" s="279">
        <v>32753</v>
      </c>
      <c r="K11" s="278">
        <v>32238</v>
      </c>
      <c r="L11" s="278">
        <v>33410</v>
      </c>
      <c r="M11" s="278">
        <v>37429</v>
      </c>
      <c r="N11" s="279">
        <v>28022</v>
      </c>
      <c r="O11" s="278">
        <v>85498</v>
      </c>
      <c r="P11" s="278">
        <v>194453</v>
      </c>
      <c r="Q11" s="278">
        <v>37124</v>
      </c>
      <c r="R11" s="279">
        <v>47203</v>
      </c>
      <c r="S11" s="281">
        <v>47759</v>
      </c>
      <c r="T11" s="281">
        <v>53376</v>
      </c>
      <c r="U11" s="281">
        <v>62671</v>
      </c>
      <c r="V11" s="281">
        <v>47759</v>
      </c>
      <c r="W11" s="281">
        <v>53376</v>
      </c>
      <c r="X11" s="282">
        <v>62671</v>
      </c>
      <c r="Y11" s="283">
        <v>60604</v>
      </c>
      <c r="Z11" s="281">
        <f t="shared" si="33"/>
        <v>55397</v>
      </c>
      <c r="AA11" s="281">
        <f t="shared" si="34"/>
        <v>45999</v>
      </c>
      <c r="AB11" s="281">
        <f t="shared" si="35"/>
        <v>66267</v>
      </c>
      <c r="AC11" s="281">
        <v>55397</v>
      </c>
      <c r="AD11" s="281">
        <v>45999</v>
      </c>
      <c r="AE11" s="282">
        <v>66267</v>
      </c>
      <c r="AF11" s="281">
        <v>61414</v>
      </c>
      <c r="AG11" s="281">
        <f t="shared" si="39"/>
        <v>54464</v>
      </c>
      <c r="AH11" s="281">
        <f t="shared" si="6"/>
        <v>69637</v>
      </c>
      <c r="AI11" s="281">
        <f t="shared" si="7"/>
        <v>66302</v>
      </c>
      <c r="AJ11" s="281">
        <v>54464</v>
      </c>
      <c r="AK11" s="281">
        <v>69637</v>
      </c>
      <c r="AL11" s="281">
        <v>66302</v>
      </c>
      <c r="AM11" s="283">
        <v>55381</v>
      </c>
      <c r="AN11" s="281">
        <f t="shared" si="42"/>
        <v>50149</v>
      </c>
      <c r="AO11" s="281">
        <f t="shared" si="42"/>
        <v>47148</v>
      </c>
      <c r="AP11" s="281">
        <f t="shared" si="42"/>
        <v>41809</v>
      </c>
      <c r="AQ11" s="281">
        <v>50149</v>
      </c>
      <c r="AR11" s="281">
        <v>47148</v>
      </c>
      <c r="AS11" s="281">
        <v>41809</v>
      </c>
      <c r="AT11" s="283">
        <v>35109</v>
      </c>
      <c r="AU11" s="283">
        <f t="shared" si="66"/>
        <v>43826</v>
      </c>
      <c r="AV11" s="283">
        <f t="shared" si="67"/>
        <v>50807</v>
      </c>
      <c r="AW11" s="283">
        <f t="shared" si="46"/>
        <v>48435</v>
      </c>
      <c r="AX11" s="283">
        <v>43826</v>
      </c>
      <c r="AY11" s="283">
        <v>50807</v>
      </c>
      <c r="AZ11" s="283">
        <v>48435</v>
      </c>
      <c r="BA11" s="283">
        <v>40863</v>
      </c>
      <c r="BB11" s="283">
        <f t="shared" si="68"/>
        <v>42934</v>
      </c>
      <c r="BC11" s="283">
        <f t="shared" si="69"/>
        <v>45122</v>
      </c>
      <c r="BD11" s="283">
        <f t="shared" si="70"/>
        <v>48589</v>
      </c>
      <c r="BE11" s="283">
        <v>42934</v>
      </c>
      <c r="BF11" s="283">
        <v>45122</v>
      </c>
      <c r="BG11" s="283">
        <v>48589</v>
      </c>
      <c r="BH11" s="283">
        <v>46461</v>
      </c>
      <c r="BI11" s="283">
        <f t="shared" si="71"/>
        <v>50380</v>
      </c>
      <c r="BJ11" s="283">
        <f t="shared" si="72"/>
        <v>53518</v>
      </c>
      <c r="BK11" s="283">
        <f t="shared" si="73"/>
        <v>35946</v>
      </c>
      <c r="BL11" s="283">
        <v>50380</v>
      </c>
      <c r="BM11" s="283">
        <v>53518</v>
      </c>
      <c r="BN11" s="283">
        <v>35946</v>
      </c>
      <c r="BO11" s="283">
        <v>30270</v>
      </c>
      <c r="BP11" s="506">
        <f t="shared" si="74"/>
        <v>58699</v>
      </c>
      <c r="BQ11" s="506">
        <f t="shared" si="75"/>
        <v>60287</v>
      </c>
      <c r="BR11" s="506">
        <f t="shared" si="76"/>
        <v>59041</v>
      </c>
      <c r="BS11" s="283">
        <v>58699</v>
      </c>
      <c r="BT11" s="283">
        <v>60287</v>
      </c>
      <c r="BU11" s="283">
        <v>59041</v>
      </c>
      <c r="BV11" s="283">
        <v>61591</v>
      </c>
      <c r="BW11" s="506">
        <f t="shared" si="77"/>
        <v>60696</v>
      </c>
      <c r="BX11" s="506">
        <f t="shared" si="78"/>
        <v>68241</v>
      </c>
      <c r="BY11" s="506">
        <f t="shared" si="79"/>
        <v>68151</v>
      </c>
      <c r="BZ11" s="283">
        <v>60696</v>
      </c>
      <c r="CA11" s="283">
        <v>68241</v>
      </c>
      <c r="CB11" s="283">
        <v>68151</v>
      </c>
      <c r="CC11" s="283">
        <v>76800</v>
      </c>
      <c r="CD11" s="506">
        <f t="shared" si="80"/>
        <v>79022</v>
      </c>
      <c r="CE11" s="506">
        <f t="shared" si="81"/>
        <v>77172</v>
      </c>
      <c r="CF11" s="506">
        <f t="shared" si="82"/>
        <v>72915</v>
      </c>
      <c r="CG11" s="283">
        <v>79022</v>
      </c>
      <c r="CH11" s="283">
        <v>77172</v>
      </c>
      <c r="CI11" s="283">
        <v>72915</v>
      </c>
      <c r="CJ11" s="283">
        <v>71329</v>
      </c>
      <c r="CK11" s="506">
        <f t="shared" si="83"/>
        <v>65506</v>
      </c>
      <c r="CL11" s="283"/>
      <c r="CM11" s="283"/>
      <c r="CN11" s="283">
        <v>65506</v>
      </c>
      <c r="CO11" s="283"/>
    </row>
    <row r="12" spans="1:93" s="289" customFormat="1" x14ac:dyDescent="0.25">
      <c r="A12" s="277" t="str">
        <f>Language!C12</f>
        <v>Indenizações a receber - aditivos</v>
      </c>
      <c r="B12" s="278">
        <v>0</v>
      </c>
      <c r="C12" s="278">
        <v>0</v>
      </c>
      <c r="D12" s="278">
        <v>0</v>
      </c>
      <c r="E12" s="278">
        <v>0</v>
      </c>
      <c r="F12" s="279">
        <v>0</v>
      </c>
      <c r="G12" s="278">
        <v>0</v>
      </c>
      <c r="H12" s="278"/>
      <c r="I12" s="278">
        <v>0</v>
      </c>
      <c r="J12" s="279">
        <v>0</v>
      </c>
      <c r="K12" s="278">
        <v>0</v>
      </c>
      <c r="L12" s="278">
        <v>0</v>
      </c>
      <c r="M12" s="278">
        <v>0</v>
      </c>
      <c r="N12" s="279">
        <v>0</v>
      </c>
      <c r="O12" s="278">
        <v>0</v>
      </c>
      <c r="P12" s="278">
        <v>0</v>
      </c>
      <c r="Q12" s="278">
        <v>261683</v>
      </c>
      <c r="R12" s="279">
        <v>401448</v>
      </c>
      <c r="S12" s="281">
        <v>467392</v>
      </c>
      <c r="T12" s="281">
        <v>553149</v>
      </c>
      <c r="U12" s="281">
        <v>578564</v>
      </c>
      <c r="V12" s="281">
        <v>467392</v>
      </c>
      <c r="W12" s="281">
        <v>553149</v>
      </c>
      <c r="X12" s="282">
        <v>578564</v>
      </c>
      <c r="Y12" s="283">
        <v>279698</v>
      </c>
      <c r="Z12" s="281">
        <f t="shared" si="33"/>
        <v>38012</v>
      </c>
      <c r="AA12" s="281">
        <f t="shared" si="34"/>
        <v>38012</v>
      </c>
      <c r="AB12" s="281">
        <f t="shared" si="35"/>
        <v>38012</v>
      </c>
      <c r="AC12" s="281">
        <v>38012</v>
      </c>
      <c r="AD12" s="281">
        <v>38012</v>
      </c>
      <c r="AE12" s="282">
        <v>38012</v>
      </c>
      <c r="AF12" s="281">
        <v>38012</v>
      </c>
      <c r="AG12" s="281">
        <f t="shared" si="39"/>
        <v>38012</v>
      </c>
      <c r="AH12" s="281"/>
      <c r="AI12" s="281">
        <f t="shared" si="7"/>
        <v>20164</v>
      </c>
      <c r="AJ12" s="281">
        <v>38012</v>
      </c>
      <c r="AK12" s="281"/>
      <c r="AL12" s="281">
        <v>20164</v>
      </c>
      <c r="AM12" s="283">
        <v>20164</v>
      </c>
      <c r="AN12" s="281">
        <f t="shared" si="42"/>
        <v>20164</v>
      </c>
      <c r="AO12" s="281">
        <f t="shared" si="42"/>
        <v>20164</v>
      </c>
      <c r="AP12" s="281">
        <f t="shared" si="42"/>
        <v>20164</v>
      </c>
      <c r="AQ12" s="281">
        <v>20164</v>
      </c>
      <c r="AR12" s="281">
        <v>20164</v>
      </c>
      <c r="AS12" s="281">
        <v>20164</v>
      </c>
      <c r="AT12" s="283">
        <v>0</v>
      </c>
      <c r="AU12" s="283">
        <f t="shared" si="66"/>
        <v>20164</v>
      </c>
      <c r="AV12" s="283">
        <f t="shared" si="67"/>
        <v>20164</v>
      </c>
      <c r="AW12" s="283">
        <f t="shared" si="46"/>
        <v>20164</v>
      </c>
      <c r="AX12" s="283">
        <v>20164</v>
      </c>
      <c r="AY12" s="283">
        <v>20164</v>
      </c>
      <c r="AZ12" s="283">
        <v>20164</v>
      </c>
      <c r="BA12" s="283">
        <v>0</v>
      </c>
      <c r="BB12" s="283">
        <f t="shared" si="68"/>
        <v>0</v>
      </c>
      <c r="BC12" s="283">
        <f t="shared" si="69"/>
        <v>0</v>
      </c>
      <c r="BD12" s="283">
        <f t="shared" si="70"/>
        <v>0</v>
      </c>
      <c r="BE12" s="283">
        <v>0</v>
      </c>
      <c r="BF12" s="283">
        <v>0</v>
      </c>
      <c r="BG12" s="283">
        <v>0</v>
      </c>
      <c r="BH12" s="283">
        <v>0</v>
      </c>
      <c r="BI12" s="283">
        <f t="shared" si="71"/>
        <v>0</v>
      </c>
      <c r="BJ12" s="283">
        <f t="shared" si="72"/>
        <v>0</v>
      </c>
      <c r="BK12" s="283">
        <f t="shared" si="73"/>
        <v>0</v>
      </c>
      <c r="BL12" s="283">
        <v>0</v>
      </c>
      <c r="BM12" s="283">
        <v>0</v>
      </c>
      <c r="BN12" s="283">
        <v>0</v>
      </c>
      <c r="BO12" s="283">
        <v>0</v>
      </c>
      <c r="BP12" s="506">
        <f t="shared" si="74"/>
        <v>0</v>
      </c>
      <c r="BQ12" s="506">
        <f t="shared" si="75"/>
        <v>0</v>
      </c>
      <c r="BR12" s="506">
        <f t="shared" si="76"/>
        <v>0</v>
      </c>
      <c r="BS12" s="283">
        <v>0</v>
      </c>
      <c r="BT12" s="283">
        <v>0</v>
      </c>
      <c r="BU12" s="283">
        <v>0</v>
      </c>
      <c r="BV12" s="283">
        <v>0</v>
      </c>
      <c r="BW12" s="506">
        <f t="shared" si="77"/>
        <v>0</v>
      </c>
      <c r="BX12" s="506">
        <f t="shared" si="78"/>
        <v>0</v>
      </c>
      <c r="BY12" s="506">
        <f t="shared" si="79"/>
        <v>0</v>
      </c>
      <c r="BZ12" s="283">
        <v>0</v>
      </c>
      <c r="CA12" s="283">
        <v>0</v>
      </c>
      <c r="CB12" s="283">
        <v>0</v>
      </c>
      <c r="CC12" s="283">
        <v>0</v>
      </c>
      <c r="CD12" s="506">
        <f t="shared" si="80"/>
        <v>0</v>
      </c>
      <c r="CE12" s="506">
        <f t="shared" si="81"/>
        <v>0</v>
      </c>
      <c r="CF12" s="506">
        <f t="shared" si="82"/>
        <v>0</v>
      </c>
      <c r="CG12" s="283">
        <v>0</v>
      </c>
      <c r="CH12" s="283">
        <v>0</v>
      </c>
      <c r="CI12" s="283">
        <v>0</v>
      </c>
      <c r="CJ12" s="283">
        <v>0</v>
      </c>
      <c r="CK12" s="506">
        <f t="shared" si="83"/>
        <v>0</v>
      </c>
      <c r="CL12" s="283"/>
      <c r="CM12" s="283"/>
      <c r="CN12" s="283">
        <v>0</v>
      </c>
      <c r="CO12" s="283"/>
    </row>
    <row r="13" spans="1:93" s="289" customFormat="1" x14ac:dyDescent="0.25">
      <c r="A13" s="277" t="str">
        <f>Language!C13</f>
        <v>Adiantamento a Fornecedores</v>
      </c>
      <c r="B13" s="278">
        <v>4783</v>
      </c>
      <c r="C13" s="278">
        <v>1290</v>
      </c>
      <c r="D13" s="278">
        <v>1265</v>
      </c>
      <c r="E13" s="278">
        <v>1829</v>
      </c>
      <c r="F13" s="279">
        <v>322</v>
      </c>
      <c r="G13" s="278">
        <v>370</v>
      </c>
      <c r="H13" s="278">
        <v>772</v>
      </c>
      <c r="I13" s="278">
        <v>579</v>
      </c>
      <c r="J13" s="279">
        <v>605</v>
      </c>
      <c r="K13" s="278">
        <v>9313</v>
      </c>
      <c r="L13" s="278">
        <v>823</v>
      </c>
      <c r="M13" s="278">
        <v>2447</v>
      </c>
      <c r="N13" s="279">
        <v>3414</v>
      </c>
      <c r="O13" s="278">
        <v>5014</v>
      </c>
      <c r="P13" s="278">
        <v>4981</v>
      </c>
      <c r="Q13" s="278">
        <v>5666</v>
      </c>
      <c r="R13" s="279">
        <v>6400</v>
      </c>
      <c r="S13" s="281">
        <v>10728</v>
      </c>
      <c r="T13" s="281">
        <v>10880</v>
      </c>
      <c r="U13" s="281">
        <v>9264</v>
      </c>
      <c r="V13" s="281">
        <v>10728</v>
      </c>
      <c r="W13" s="281">
        <v>10880</v>
      </c>
      <c r="X13" s="282">
        <v>9264</v>
      </c>
      <c r="Y13" s="283">
        <v>4526</v>
      </c>
      <c r="Z13" s="281">
        <f t="shared" si="33"/>
        <v>3958</v>
      </c>
      <c r="AA13" s="281">
        <f t="shared" si="34"/>
        <v>9520</v>
      </c>
      <c r="AB13" s="281">
        <f t="shared" si="35"/>
        <v>6206</v>
      </c>
      <c r="AC13" s="281">
        <v>3958</v>
      </c>
      <c r="AD13" s="281">
        <v>9520</v>
      </c>
      <c r="AE13" s="282">
        <v>6206</v>
      </c>
      <c r="AF13" s="281">
        <v>6055</v>
      </c>
      <c r="AG13" s="281">
        <f t="shared" si="39"/>
        <v>6883</v>
      </c>
      <c r="AH13" s="281">
        <f t="shared" si="6"/>
        <v>7040</v>
      </c>
      <c r="AI13" s="281">
        <f t="shared" si="7"/>
        <v>3755</v>
      </c>
      <c r="AJ13" s="281">
        <v>6883</v>
      </c>
      <c r="AK13" s="281">
        <v>7040</v>
      </c>
      <c r="AL13" s="281">
        <v>3755</v>
      </c>
      <c r="AM13" s="283">
        <v>5269</v>
      </c>
      <c r="AN13" s="281">
        <f t="shared" si="42"/>
        <v>3368</v>
      </c>
      <c r="AO13" s="281">
        <f t="shared" si="42"/>
        <v>3096</v>
      </c>
      <c r="AP13" s="281">
        <f t="shared" si="42"/>
        <v>2184</v>
      </c>
      <c r="AQ13" s="281">
        <v>3368</v>
      </c>
      <c r="AR13" s="281">
        <v>3096</v>
      </c>
      <c r="AS13" s="281">
        <v>2184</v>
      </c>
      <c r="AT13" s="283">
        <v>2287</v>
      </c>
      <c r="AU13" s="283">
        <f t="shared" si="66"/>
        <v>3143</v>
      </c>
      <c r="AV13" s="283">
        <f t="shared" si="67"/>
        <v>5960</v>
      </c>
      <c r="AW13" s="283">
        <f t="shared" si="46"/>
        <v>4316</v>
      </c>
      <c r="AX13" s="283">
        <v>3143</v>
      </c>
      <c r="AY13" s="283">
        <v>5960</v>
      </c>
      <c r="AZ13" s="283">
        <v>4316</v>
      </c>
      <c r="BA13" s="283">
        <v>4942</v>
      </c>
      <c r="BB13" s="283">
        <f t="shared" si="68"/>
        <v>5177</v>
      </c>
      <c r="BC13" s="283">
        <f t="shared" si="69"/>
        <v>5260</v>
      </c>
      <c r="BD13" s="283">
        <f t="shared" si="70"/>
        <v>5230</v>
      </c>
      <c r="BE13" s="283">
        <v>5177</v>
      </c>
      <c r="BF13" s="283">
        <v>5260</v>
      </c>
      <c r="BG13" s="283">
        <v>5230</v>
      </c>
      <c r="BH13" s="283">
        <v>4473</v>
      </c>
      <c r="BI13" s="283">
        <f t="shared" si="71"/>
        <v>9633</v>
      </c>
      <c r="BJ13" s="283">
        <f t="shared" si="72"/>
        <v>12625</v>
      </c>
      <c r="BK13" s="283">
        <f t="shared" si="73"/>
        <v>14056</v>
      </c>
      <c r="BL13" s="283">
        <v>9633</v>
      </c>
      <c r="BM13" s="283">
        <v>12625</v>
      </c>
      <c r="BN13" s="283">
        <v>14056</v>
      </c>
      <c r="BO13" s="283">
        <v>1986</v>
      </c>
      <c r="BP13" s="506">
        <f t="shared" si="74"/>
        <v>3415</v>
      </c>
      <c r="BQ13" s="506">
        <f t="shared" si="75"/>
        <v>2311</v>
      </c>
      <c r="BR13" s="506">
        <f t="shared" si="76"/>
        <v>1817</v>
      </c>
      <c r="BS13" s="283">
        <v>3415</v>
      </c>
      <c r="BT13" s="283">
        <v>2311</v>
      </c>
      <c r="BU13" s="283">
        <v>1817</v>
      </c>
      <c r="BV13" s="283">
        <v>2415</v>
      </c>
      <c r="BW13" s="506">
        <f t="shared" si="77"/>
        <v>6382</v>
      </c>
      <c r="BX13" s="506">
        <f t="shared" si="78"/>
        <v>2643</v>
      </c>
      <c r="BY13" s="506">
        <f t="shared" si="79"/>
        <v>1345</v>
      </c>
      <c r="BZ13" s="283">
        <v>6382</v>
      </c>
      <c r="CA13" s="283">
        <v>2643</v>
      </c>
      <c r="CB13" s="283">
        <v>1345</v>
      </c>
      <c r="CC13" s="283">
        <v>1923</v>
      </c>
      <c r="CD13" s="506">
        <f t="shared" si="80"/>
        <v>2204</v>
      </c>
      <c r="CE13" s="506">
        <f t="shared" si="81"/>
        <v>2018</v>
      </c>
      <c r="CF13" s="506">
        <f t="shared" si="82"/>
        <v>1961</v>
      </c>
      <c r="CG13" s="283">
        <v>2204</v>
      </c>
      <c r="CH13" s="283">
        <v>2018</v>
      </c>
      <c r="CI13" s="283">
        <v>1961</v>
      </c>
      <c r="CJ13" s="283">
        <v>2490</v>
      </c>
      <c r="CK13" s="506">
        <f t="shared" si="83"/>
        <v>1965</v>
      </c>
      <c r="CL13" s="283"/>
      <c r="CM13" s="283"/>
      <c r="CN13" s="283">
        <v>1965</v>
      </c>
      <c r="CO13" s="283"/>
    </row>
    <row r="14" spans="1:93" s="289" customFormat="1" x14ac:dyDescent="0.25">
      <c r="A14" s="277" t="str">
        <f>Language!C14</f>
        <v>Impostos a Recuperar</v>
      </c>
      <c r="B14" s="278">
        <v>1886</v>
      </c>
      <c r="C14" s="278">
        <v>1310</v>
      </c>
      <c r="D14" s="278">
        <v>1601</v>
      </c>
      <c r="E14" s="278">
        <v>1062</v>
      </c>
      <c r="F14" s="279">
        <v>1135</v>
      </c>
      <c r="G14" s="278">
        <v>1198</v>
      </c>
      <c r="H14" s="278">
        <v>1400</v>
      </c>
      <c r="I14" s="278">
        <v>1216</v>
      </c>
      <c r="J14" s="279">
        <v>1294</v>
      </c>
      <c r="K14" s="278">
        <v>912</v>
      </c>
      <c r="L14" s="278">
        <v>1162</v>
      </c>
      <c r="M14" s="278">
        <v>596</v>
      </c>
      <c r="N14" s="279">
        <v>826</v>
      </c>
      <c r="O14" s="278">
        <v>947</v>
      </c>
      <c r="P14" s="278">
        <v>4565</v>
      </c>
      <c r="Q14" s="278">
        <v>4377</v>
      </c>
      <c r="R14" s="279">
        <v>21413</v>
      </c>
      <c r="S14" s="281">
        <v>23742</v>
      </c>
      <c r="T14" s="281">
        <v>38703</v>
      </c>
      <c r="U14" s="281">
        <v>35596</v>
      </c>
      <c r="V14" s="281">
        <v>23742</v>
      </c>
      <c r="W14" s="281">
        <v>38703</v>
      </c>
      <c r="X14" s="282">
        <v>35596</v>
      </c>
      <c r="Y14" s="283">
        <v>33116</v>
      </c>
      <c r="Z14" s="281">
        <f t="shared" si="33"/>
        <v>23859</v>
      </c>
      <c r="AA14" s="281">
        <f t="shared" si="34"/>
        <v>14507</v>
      </c>
      <c r="AB14" s="281">
        <f t="shared" si="35"/>
        <v>16865</v>
      </c>
      <c r="AC14" s="281">
        <v>23859</v>
      </c>
      <c r="AD14" s="281">
        <v>14507</v>
      </c>
      <c r="AE14" s="282">
        <v>16865</v>
      </c>
      <c r="AF14" s="281">
        <v>18000</v>
      </c>
      <c r="AG14" s="281">
        <f t="shared" si="39"/>
        <v>11262</v>
      </c>
      <c r="AH14" s="281">
        <f t="shared" si="6"/>
        <v>5421</v>
      </c>
      <c r="AI14" s="281">
        <f t="shared" si="7"/>
        <v>5035</v>
      </c>
      <c r="AJ14" s="281">
        <v>11262</v>
      </c>
      <c r="AK14" s="281">
        <v>5421</v>
      </c>
      <c r="AL14" s="281">
        <v>5035</v>
      </c>
      <c r="AM14" s="283">
        <v>4621</v>
      </c>
      <c r="AN14" s="281">
        <f t="shared" si="42"/>
        <v>4388</v>
      </c>
      <c r="AO14" s="281">
        <f t="shared" si="42"/>
        <v>5357</v>
      </c>
      <c r="AP14" s="281">
        <f t="shared" si="42"/>
        <v>10669</v>
      </c>
      <c r="AQ14" s="281">
        <v>4388</v>
      </c>
      <c r="AR14" s="281">
        <v>5357</v>
      </c>
      <c r="AS14" s="281">
        <v>10669</v>
      </c>
      <c r="AT14" s="283">
        <v>6816</v>
      </c>
      <c r="AU14" s="283">
        <f t="shared" si="66"/>
        <v>10127</v>
      </c>
      <c r="AV14" s="283">
        <f t="shared" si="67"/>
        <v>7914</v>
      </c>
      <c r="AW14" s="283">
        <f t="shared" si="46"/>
        <v>8140</v>
      </c>
      <c r="AX14" s="283">
        <v>10127</v>
      </c>
      <c r="AY14" s="283">
        <v>7914</v>
      </c>
      <c r="AZ14" s="283">
        <v>8140</v>
      </c>
      <c r="BA14" s="283">
        <v>3824</v>
      </c>
      <c r="BB14" s="283">
        <f t="shared" si="68"/>
        <v>5100</v>
      </c>
      <c r="BC14" s="283">
        <f t="shared" si="69"/>
        <v>3792</v>
      </c>
      <c r="BD14" s="283">
        <f t="shared" si="70"/>
        <v>3711</v>
      </c>
      <c r="BE14" s="283">
        <v>5100</v>
      </c>
      <c r="BF14" s="283">
        <v>3792</v>
      </c>
      <c r="BG14" s="283">
        <v>3711</v>
      </c>
      <c r="BH14" s="283">
        <v>4340</v>
      </c>
      <c r="BI14" s="283">
        <f t="shared" si="71"/>
        <v>3748</v>
      </c>
      <c r="BJ14" s="283">
        <f t="shared" si="72"/>
        <v>3009</v>
      </c>
      <c r="BK14" s="283">
        <f t="shared" si="73"/>
        <v>3319</v>
      </c>
      <c r="BL14" s="283">
        <v>3748</v>
      </c>
      <c r="BM14" s="283">
        <v>3009</v>
      </c>
      <c r="BN14" s="283">
        <v>3319</v>
      </c>
      <c r="BO14" s="283">
        <v>3467</v>
      </c>
      <c r="BP14" s="506">
        <f t="shared" si="74"/>
        <v>3660</v>
      </c>
      <c r="BQ14" s="506">
        <f t="shared" si="75"/>
        <v>4118</v>
      </c>
      <c r="BR14" s="506">
        <f t="shared" si="76"/>
        <v>4612</v>
      </c>
      <c r="BS14" s="283">
        <v>3660</v>
      </c>
      <c r="BT14" s="283">
        <v>4118</v>
      </c>
      <c r="BU14" s="283">
        <v>4612</v>
      </c>
      <c r="BV14" s="283">
        <v>4742</v>
      </c>
      <c r="BW14" s="506">
        <f t="shared" si="77"/>
        <v>4225</v>
      </c>
      <c r="BX14" s="506">
        <f t="shared" si="78"/>
        <v>4479</v>
      </c>
      <c r="BY14" s="506">
        <f t="shared" si="79"/>
        <v>4414</v>
      </c>
      <c r="BZ14" s="283">
        <v>4225</v>
      </c>
      <c r="CA14" s="283">
        <v>4479</v>
      </c>
      <c r="CB14" s="283">
        <v>4414</v>
      </c>
      <c r="CC14" s="283">
        <v>4189</v>
      </c>
      <c r="CD14" s="506">
        <f t="shared" si="80"/>
        <v>4569</v>
      </c>
      <c r="CE14" s="506">
        <f t="shared" si="81"/>
        <v>5625</v>
      </c>
      <c r="CF14" s="506">
        <f t="shared" si="82"/>
        <v>12054</v>
      </c>
      <c r="CG14" s="283">
        <v>4569</v>
      </c>
      <c r="CH14" s="283">
        <v>5625</v>
      </c>
      <c r="CI14" s="283">
        <v>12054</v>
      </c>
      <c r="CJ14" s="283">
        <v>12292</v>
      </c>
      <c r="CK14" s="506">
        <f t="shared" si="83"/>
        <v>12915</v>
      </c>
      <c r="CL14" s="283"/>
      <c r="CM14" s="283"/>
      <c r="CN14" s="283">
        <v>12915</v>
      </c>
      <c r="CO14" s="283"/>
    </row>
    <row r="15" spans="1:93" s="289" customFormat="1" x14ac:dyDescent="0.25">
      <c r="A15" s="277" t="str">
        <f>Language!C15</f>
        <v>Estoques</v>
      </c>
      <c r="B15" s="278">
        <v>0</v>
      </c>
      <c r="C15" s="278">
        <v>0</v>
      </c>
      <c r="D15" s="278">
        <v>0</v>
      </c>
      <c r="E15" s="278">
        <v>0</v>
      </c>
      <c r="F15" s="279">
        <v>0</v>
      </c>
      <c r="G15" s="278">
        <v>0</v>
      </c>
      <c r="H15" s="278">
        <v>0</v>
      </c>
      <c r="I15" s="278">
        <v>0</v>
      </c>
      <c r="J15" s="279">
        <v>0</v>
      </c>
      <c r="K15" s="278">
        <v>0</v>
      </c>
      <c r="L15" s="278">
        <v>0</v>
      </c>
      <c r="M15" s="278">
        <v>0</v>
      </c>
      <c r="N15" s="279">
        <v>0</v>
      </c>
      <c r="O15" s="278">
        <v>0</v>
      </c>
      <c r="P15" s="278">
        <v>0</v>
      </c>
      <c r="Q15" s="278">
        <v>0</v>
      </c>
      <c r="R15" s="279">
        <v>0</v>
      </c>
      <c r="S15" s="281">
        <v>0</v>
      </c>
      <c r="T15" s="281">
        <v>0</v>
      </c>
      <c r="U15" s="281">
        <v>0</v>
      </c>
      <c r="V15" s="281">
        <v>0</v>
      </c>
      <c r="W15" s="281">
        <v>0</v>
      </c>
      <c r="X15" s="282">
        <v>0</v>
      </c>
      <c r="Y15" s="283"/>
      <c r="Z15" s="281"/>
      <c r="AA15" s="281"/>
      <c r="AB15" s="281"/>
      <c r="AC15" s="281"/>
      <c r="AD15" s="281"/>
      <c r="AE15" s="282"/>
      <c r="AF15" s="281">
        <v>882</v>
      </c>
      <c r="AG15" s="281"/>
      <c r="AH15" s="281"/>
      <c r="AI15" s="281"/>
      <c r="AJ15" s="281"/>
      <c r="AK15" s="281"/>
      <c r="AL15" s="281"/>
      <c r="AM15" s="283"/>
      <c r="AN15" s="281"/>
      <c r="AO15" s="281"/>
      <c r="AP15" s="281"/>
      <c r="AQ15" s="281"/>
      <c r="AR15" s="281"/>
      <c r="AS15" s="281"/>
      <c r="AT15" s="283"/>
      <c r="AU15" s="283">
        <f t="shared" si="66"/>
        <v>0</v>
      </c>
      <c r="AV15" s="283">
        <f t="shared" si="67"/>
        <v>0</v>
      </c>
      <c r="AW15" s="283">
        <f t="shared" si="46"/>
        <v>0</v>
      </c>
      <c r="AX15" s="283">
        <v>0</v>
      </c>
      <c r="AY15" s="283">
        <v>0</v>
      </c>
      <c r="AZ15" s="731">
        <v>0</v>
      </c>
      <c r="BA15" s="731">
        <v>0</v>
      </c>
      <c r="BB15" s="283">
        <f t="shared" si="68"/>
        <v>0</v>
      </c>
      <c r="BC15" s="283">
        <f t="shared" si="69"/>
        <v>0</v>
      </c>
      <c r="BD15" s="283">
        <f t="shared" si="70"/>
        <v>0</v>
      </c>
      <c r="BE15" s="731">
        <v>0</v>
      </c>
      <c r="BF15" s="731">
        <v>0</v>
      </c>
      <c r="BG15" s="731">
        <v>0</v>
      </c>
      <c r="BH15" s="731">
        <v>0</v>
      </c>
      <c r="BI15" s="283">
        <f t="shared" si="71"/>
        <v>0</v>
      </c>
      <c r="BJ15" s="283">
        <f t="shared" si="72"/>
        <v>0</v>
      </c>
      <c r="BK15" s="283">
        <f t="shared" si="73"/>
        <v>0</v>
      </c>
      <c r="BL15" s="731">
        <v>0</v>
      </c>
      <c r="BM15" s="731">
        <v>0</v>
      </c>
      <c r="BN15" s="731">
        <v>0</v>
      </c>
      <c r="BO15" s="731">
        <v>0</v>
      </c>
      <c r="BP15" s="506">
        <f t="shared" si="74"/>
        <v>0</v>
      </c>
      <c r="BQ15" s="506">
        <f t="shared" si="75"/>
        <v>0</v>
      </c>
      <c r="BR15" s="506">
        <f t="shared" si="76"/>
        <v>0</v>
      </c>
      <c r="BS15" s="731">
        <v>0</v>
      </c>
      <c r="BT15" s="731">
        <v>0</v>
      </c>
      <c r="BU15" s="731">
        <v>0</v>
      </c>
      <c r="BV15" s="731">
        <v>0</v>
      </c>
      <c r="BW15" s="506">
        <f t="shared" si="77"/>
        <v>0</v>
      </c>
      <c r="BX15" s="506">
        <f t="shared" si="78"/>
        <v>0</v>
      </c>
      <c r="BY15" s="506">
        <f t="shared" si="79"/>
        <v>0</v>
      </c>
      <c r="BZ15" s="731">
        <v>0</v>
      </c>
      <c r="CA15" s="731">
        <v>0</v>
      </c>
      <c r="CB15" s="731">
        <v>0</v>
      </c>
      <c r="CC15" s="731">
        <v>0</v>
      </c>
      <c r="CD15" s="506">
        <f t="shared" si="80"/>
        <v>0</v>
      </c>
      <c r="CE15" s="506">
        <f t="shared" si="81"/>
        <v>0</v>
      </c>
      <c r="CF15" s="506">
        <f t="shared" si="82"/>
        <v>0</v>
      </c>
      <c r="CG15" s="731">
        <v>0</v>
      </c>
      <c r="CH15" s="731">
        <v>0</v>
      </c>
      <c r="CI15" s="731">
        <v>0</v>
      </c>
      <c r="CJ15" s="731">
        <v>0</v>
      </c>
      <c r="CK15" s="506">
        <f t="shared" si="83"/>
        <v>0</v>
      </c>
      <c r="CL15" s="731"/>
      <c r="CM15" s="731"/>
      <c r="CN15" s="731">
        <v>0</v>
      </c>
      <c r="CO15" s="731"/>
    </row>
    <row r="16" spans="1:93" s="289" customFormat="1" x14ac:dyDescent="0.25">
      <c r="A16" s="277" t="str">
        <f>Language!C17</f>
        <v>Instrumentos Financeiros Derivativos</v>
      </c>
      <c r="B16" s="278"/>
      <c r="C16" s="278"/>
      <c r="D16" s="278"/>
      <c r="E16" s="278"/>
      <c r="F16" s="279"/>
      <c r="G16" s="278"/>
      <c r="H16" s="278"/>
      <c r="I16" s="278"/>
      <c r="J16" s="279"/>
      <c r="K16" s="278"/>
      <c r="L16" s="278"/>
      <c r="M16" s="278"/>
      <c r="N16" s="279"/>
      <c r="O16" s="278"/>
      <c r="P16" s="278"/>
      <c r="Q16" s="278"/>
      <c r="R16" s="279"/>
      <c r="S16" s="281"/>
      <c r="T16" s="281">
        <v>13255</v>
      </c>
      <c r="U16" s="281">
        <v>11805</v>
      </c>
      <c r="V16" s="281">
        <v>0</v>
      </c>
      <c r="W16" s="281">
        <v>13255</v>
      </c>
      <c r="X16" s="282">
        <v>11805</v>
      </c>
      <c r="Y16" s="283">
        <v>9189</v>
      </c>
      <c r="Z16" s="281">
        <f t="shared" si="33"/>
        <v>4821</v>
      </c>
      <c r="AA16" s="281">
        <f t="shared" si="34"/>
        <v>4834</v>
      </c>
      <c r="AB16" s="281"/>
      <c r="AC16" s="281">
        <v>4821</v>
      </c>
      <c r="AD16" s="281">
        <v>4834</v>
      </c>
      <c r="AE16" s="282"/>
      <c r="AF16" s="281"/>
      <c r="AG16" s="281"/>
      <c r="AH16" s="281"/>
      <c r="AI16" s="281"/>
      <c r="AJ16" s="281"/>
      <c r="AK16" s="281"/>
      <c r="AL16" s="281"/>
      <c r="AM16" s="283"/>
      <c r="AN16" s="281"/>
      <c r="AO16" s="281"/>
      <c r="AP16" s="281"/>
      <c r="AQ16" s="281"/>
      <c r="AR16" s="281"/>
      <c r="AS16" s="281"/>
      <c r="AT16" s="283"/>
      <c r="AU16" s="283">
        <f t="shared" si="66"/>
        <v>0</v>
      </c>
      <c r="AV16" s="283">
        <f t="shared" si="67"/>
        <v>0</v>
      </c>
      <c r="AW16" s="283">
        <f t="shared" si="46"/>
        <v>0</v>
      </c>
      <c r="AX16" s="283">
        <v>0</v>
      </c>
      <c r="AY16" s="283">
        <v>0</v>
      </c>
      <c r="AZ16" s="731">
        <v>0</v>
      </c>
      <c r="BA16" s="731">
        <v>0</v>
      </c>
      <c r="BB16" s="283">
        <f t="shared" si="68"/>
        <v>0</v>
      </c>
      <c r="BC16" s="283">
        <f t="shared" si="69"/>
        <v>0</v>
      </c>
      <c r="BD16" s="283">
        <f t="shared" si="70"/>
        <v>0</v>
      </c>
      <c r="BE16" s="731">
        <v>0</v>
      </c>
      <c r="BF16" s="731">
        <v>0</v>
      </c>
      <c r="BG16" s="731">
        <v>0</v>
      </c>
      <c r="BH16" s="731">
        <v>0</v>
      </c>
      <c r="BI16" s="283">
        <f t="shared" si="71"/>
        <v>0</v>
      </c>
      <c r="BJ16" s="283">
        <f t="shared" si="72"/>
        <v>0</v>
      </c>
      <c r="BK16" s="283">
        <f t="shared" si="73"/>
        <v>0</v>
      </c>
      <c r="BL16" s="731">
        <v>0</v>
      </c>
      <c r="BM16" s="731">
        <v>0</v>
      </c>
      <c r="BN16" s="731">
        <v>0</v>
      </c>
      <c r="BO16" s="731">
        <v>0</v>
      </c>
      <c r="BP16" s="506">
        <f t="shared" si="74"/>
        <v>0</v>
      </c>
      <c r="BQ16" s="506">
        <f t="shared" si="75"/>
        <v>0</v>
      </c>
      <c r="BR16" s="506">
        <f t="shared" si="76"/>
        <v>0</v>
      </c>
      <c r="BS16" s="731">
        <v>0</v>
      </c>
      <c r="BT16" s="731">
        <v>0</v>
      </c>
      <c r="BU16" s="731">
        <v>0</v>
      </c>
      <c r="BV16" s="731">
        <v>0</v>
      </c>
      <c r="BW16" s="506">
        <f t="shared" si="77"/>
        <v>0</v>
      </c>
      <c r="BX16" s="506">
        <f t="shared" si="78"/>
        <v>0</v>
      </c>
      <c r="BY16" s="506">
        <f t="shared" si="79"/>
        <v>0</v>
      </c>
      <c r="BZ16" s="731">
        <v>0</v>
      </c>
      <c r="CA16" s="731">
        <v>0</v>
      </c>
      <c r="CB16" s="731">
        <v>0</v>
      </c>
      <c r="CC16" s="731">
        <v>0</v>
      </c>
      <c r="CD16" s="506">
        <f t="shared" si="80"/>
        <v>0</v>
      </c>
      <c r="CE16" s="506">
        <f t="shared" si="81"/>
        <v>0</v>
      </c>
      <c r="CF16" s="506">
        <f t="shared" si="82"/>
        <v>0</v>
      </c>
      <c r="CG16" s="731">
        <v>0</v>
      </c>
      <c r="CH16" s="731">
        <v>0</v>
      </c>
      <c r="CI16" s="731">
        <v>0</v>
      </c>
      <c r="CJ16" s="731">
        <v>0</v>
      </c>
      <c r="CK16" s="506">
        <f t="shared" si="83"/>
        <v>0</v>
      </c>
      <c r="CL16" s="731"/>
      <c r="CM16" s="731"/>
      <c r="CN16" s="731">
        <v>0</v>
      </c>
      <c r="CO16" s="731"/>
    </row>
    <row r="17" spans="1:93" s="289" customFormat="1" x14ac:dyDescent="0.25">
      <c r="A17" s="277" t="str">
        <f>Language!C18</f>
        <v>Contas a receber - partes relacionadas</v>
      </c>
      <c r="B17" s="278">
        <v>0</v>
      </c>
      <c r="C17" s="278">
        <v>40507</v>
      </c>
      <c r="D17" s="278">
        <v>6919</v>
      </c>
      <c r="E17" s="278">
        <v>6150</v>
      </c>
      <c r="F17" s="279">
        <v>37944</v>
      </c>
      <c r="G17" s="278">
        <v>8285</v>
      </c>
      <c r="H17" s="278">
        <v>6949</v>
      </c>
      <c r="I17" s="278">
        <v>13360</v>
      </c>
      <c r="J17" s="279">
        <v>13501</v>
      </c>
      <c r="K17" s="278">
        <v>14022</v>
      </c>
      <c r="L17" s="278">
        <v>20769</v>
      </c>
      <c r="M17" s="278">
        <v>12297</v>
      </c>
      <c r="N17" s="279">
        <v>21414</v>
      </c>
      <c r="O17" s="278">
        <v>0</v>
      </c>
      <c r="P17" s="278">
        <v>27578</v>
      </c>
      <c r="Q17" s="278">
        <v>40705</v>
      </c>
      <c r="R17" s="279">
        <v>66823</v>
      </c>
      <c r="S17" s="281">
        <v>10034</v>
      </c>
      <c r="T17" s="281">
        <v>6938</v>
      </c>
      <c r="U17" s="281">
        <v>0</v>
      </c>
      <c r="V17" s="281">
        <v>10034</v>
      </c>
      <c r="W17" s="281">
        <v>6938</v>
      </c>
      <c r="X17" s="282">
        <v>0</v>
      </c>
      <c r="Y17" s="283">
        <v>2039</v>
      </c>
      <c r="Z17" s="281">
        <f t="shared" si="33"/>
        <v>65597</v>
      </c>
      <c r="AA17" s="281">
        <f t="shared" si="34"/>
        <v>98024</v>
      </c>
      <c r="AB17" s="281">
        <f t="shared" si="35"/>
        <v>107378</v>
      </c>
      <c r="AC17" s="281">
        <v>65597</v>
      </c>
      <c r="AD17" s="281">
        <v>98024</v>
      </c>
      <c r="AE17" s="282">
        <v>107378</v>
      </c>
      <c r="AF17" s="281">
        <v>115287</v>
      </c>
      <c r="AG17" s="281">
        <f t="shared" si="39"/>
        <v>118389</v>
      </c>
      <c r="AH17" s="281">
        <f t="shared" si="6"/>
        <v>119982</v>
      </c>
      <c r="AI17" s="281">
        <f t="shared" si="7"/>
        <v>843</v>
      </c>
      <c r="AJ17" s="281">
        <v>118389</v>
      </c>
      <c r="AK17" s="281">
        <v>119982</v>
      </c>
      <c r="AL17" s="281">
        <v>843</v>
      </c>
      <c r="AM17" s="283"/>
      <c r="AN17" s="281"/>
      <c r="AO17" s="281"/>
      <c r="AP17" s="281"/>
      <c r="AQ17" s="281"/>
      <c r="AR17" s="281"/>
      <c r="AS17" s="281"/>
      <c r="AT17" s="283"/>
      <c r="AU17" s="283">
        <f t="shared" si="66"/>
        <v>0</v>
      </c>
      <c r="AV17" s="283">
        <f t="shared" si="67"/>
        <v>0</v>
      </c>
      <c r="AW17" s="283">
        <f t="shared" si="46"/>
        <v>0</v>
      </c>
      <c r="AX17" s="283">
        <v>0</v>
      </c>
      <c r="AY17" s="283">
        <v>0</v>
      </c>
      <c r="AZ17" s="731">
        <v>0</v>
      </c>
      <c r="BA17" s="731">
        <v>0</v>
      </c>
      <c r="BB17" s="283">
        <f t="shared" si="68"/>
        <v>0</v>
      </c>
      <c r="BC17" s="283">
        <f t="shared" si="69"/>
        <v>0</v>
      </c>
      <c r="BD17" s="283">
        <f t="shared" si="70"/>
        <v>0</v>
      </c>
      <c r="BE17" s="731">
        <v>0</v>
      </c>
      <c r="BF17" s="731">
        <v>0</v>
      </c>
      <c r="BG17" s="731">
        <v>0</v>
      </c>
      <c r="BH17" s="731">
        <v>0</v>
      </c>
      <c r="BI17" s="283">
        <f t="shared" si="71"/>
        <v>0</v>
      </c>
      <c r="BJ17" s="283">
        <f t="shared" si="72"/>
        <v>0</v>
      </c>
      <c r="BK17" s="283">
        <f t="shared" si="73"/>
        <v>0</v>
      </c>
      <c r="BL17" s="731">
        <v>0</v>
      </c>
      <c r="BM17" s="731">
        <v>0</v>
      </c>
      <c r="BN17" s="731">
        <v>0</v>
      </c>
      <c r="BO17" s="731">
        <v>0</v>
      </c>
      <c r="BP17" s="506">
        <f t="shared" si="74"/>
        <v>0</v>
      </c>
      <c r="BQ17" s="506">
        <f t="shared" si="75"/>
        <v>0</v>
      </c>
      <c r="BR17" s="506">
        <f t="shared" si="76"/>
        <v>0</v>
      </c>
      <c r="BS17" s="731">
        <v>0</v>
      </c>
      <c r="BT17" s="731">
        <v>0</v>
      </c>
      <c r="BU17" s="731">
        <v>0</v>
      </c>
      <c r="BV17" s="731">
        <v>0</v>
      </c>
      <c r="BW17" s="506">
        <f t="shared" si="77"/>
        <v>0</v>
      </c>
      <c r="BX17" s="506">
        <f t="shared" si="78"/>
        <v>0</v>
      </c>
      <c r="BY17" s="506">
        <f t="shared" si="79"/>
        <v>0</v>
      </c>
      <c r="BZ17" s="731">
        <v>0</v>
      </c>
      <c r="CA17" s="731">
        <v>0</v>
      </c>
      <c r="CB17" s="731">
        <v>0</v>
      </c>
      <c r="CC17" s="731">
        <v>0</v>
      </c>
      <c r="CD17" s="506">
        <f t="shared" si="80"/>
        <v>0</v>
      </c>
      <c r="CE17" s="506">
        <f t="shared" si="81"/>
        <v>0</v>
      </c>
      <c r="CF17" s="506">
        <f t="shared" si="82"/>
        <v>0</v>
      </c>
      <c r="CG17" s="731">
        <v>0</v>
      </c>
      <c r="CH17" s="731">
        <v>0</v>
      </c>
      <c r="CI17" s="731">
        <v>0</v>
      </c>
      <c r="CJ17" s="731">
        <v>0</v>
      </c>
      <c r="CK17" s="506">
        <f t="shared" si="83"/>
        <v>0</v>
      </c>
      <c r="CL17" s="731"/>
      <c r="CM17" s="731"/>
      <c r="CN17" s="731">
        <v>0</v>
      </c>
      <c r="CO17" s="731"/>
    </row>
    <row r="18" spans="1:93" s="289" customFormat="1" x14ac:dyDescent="0.25">
      <c r="A18" s="277" t="str">
        <f>Language!C19</f>
        <v>Dividendos e JCP a receber</v>
      </c>
      <c r="B18" s="278">
        <v>0</v>
      </c>
      <c r="C18" s="278">
        <v>0</v>
      </c>
      <c r="D18" s="278">
        <v>0</v>
      </c>
      <c r="E18" s="278">
        <v>0</v>
      </c>
      <c r="F18" s="279">
        <v>0</v>
      </c>
      <c r="G18" s="278">
        <v>0</v>
      </c>
      <c r="H18" s="278">
        <v>0</v>
      </c>
      <c r="I18" s="278">
        <v>0</v>
      </c>
      <c r="J18" s="279">
        <v>0</v>
      </c>
      <c r="K18" s="278"/>
      <c r="L18" s="278">
        <v>0</v>
      </c>
      <c r="M18" s="278">
        <v>0</v>
      </c>
      <c r="N18" s="279">
        <v>0</v>
      </c>
      <c r="O18" s="278">
        <v>23620</v>
      </c>
      <c r="P18" s="278">
        <v>0</v>
      </c>
      <c r="Q18" s="278">
        <v>0</v>
      </c>
      <c r="R18" s="279">
        <v>0</v>
      </c>
      <c r="S18" s="281">
        <v>0</v>
      </c>
      <c r="T18" s="281">
        <v>0</v>
      </c>
      <c r="U18" s="281">
        <v>0</v>
      </c>
      <c r="V18" s="281">
        <v>0</v>
      </c>
      <c r="W18" s="281">
        <v>0</v>
      </c>
      <c r="X18" s="282">
        <v>0</v>
      </c>
      <c r="Y18" s="283"/>
      <c r="Z18" s="281"/>
      <c r="AA18" s="281"/>
      <c r="AB18" s="281"/>
      <c r="AC18" s="281"/>
      <c r="AD18" s="281"/>
      <c r="AE18" s="282"/>
      <c r="AF18" s="281"/>
      <c r="AG18" s="281"/>
      <c r="AH18" s="281"/>
      <c r="AI18" s="281"/>
      <c r="AJ18" s="281"/>
      <c r="AK18" s="281"/>
      <c r="AL18" s="281"/>
      <c r="AM18" s="283"/>
      <c r="AN18" s="281"/>
      <c r="AO18" s="281"/>
      <c r="AP18" s="281"/>
      <c r="AQ18" s="281"/>
      <c r="AR18" s="281"/>
      <c r="AS18" s="281"/>
      <c r="AT18" s="283"/>
      <c r="AU18" s="283">
        <f t="shared" si="66"/>
        <v>0</v>
      </c>
      <c r="AV18" s="283">
        <f t="shared" si="67"/>
        <v>0</v>
      </c>
      <c r="AW18" s="283">
        <f t="shared" si="46"/>
        <v>0</v>
      </c>
      <c r="AX18" s="283">
        <v>0</v>
      </c>
      <c r="AY18" s="283">
        <v>0</v>
      </c>
      <c r="AZ18" s="731">
        <v>0</v>
      </c>
      <c r="BA18" s="731">
        <v>0</v>
      </c>
      <c r="BB18" s="283">
        <f t="shared" si="68"/>
        <v>0</v>
      </c>
      <c r="BC18" s="283">
        <f t="shared" si="69"/>
        <v>0</v>
      </c>
      <c r="BD18" s="283">
        <f t="shared" si="70"/>
        <v>0</v>
      </c>
      <c r="BE18" s="731">
        <v>0</v>
      </c>
      <c r="BF18" s="731">
        <v>0</v>
      </c>
      <c r="BG18" s="731">
        <v>0</v>
      </c>
      <c r="BH18" s="731">
        <v>0</v>
      </c>
      <c r="BI18" s="283">
        <f t="shared" si="71"/>
        <v>0</v>
      </c>
      <c r="BJ18" s="283">
        <f t="shared" si="72"/>
        <v>0</v>
      </c>
      <c r="BK18" s="283">
        <f t="shared" si="73"/>
        <v>0</v>
      </c>
      <c r="BL18" s="731">
        <v>0</v>
      </c>
      <c r="BM18" s="731">
        <v>0</v>
      </c>
      <c r="BN18" s="731">
        <v>0</v>
      </c>
      <c r="BO18" s="731">
        <v>0</v>
      </c>
      <c r="BP18" s="506">
        <f t="shared" si="74"/>
        <v>0</v>
      </c>
      <c r="BQ18" s="506">
        <f t="shared" si="75"/>
        <v>0</v>
      </c>
      <c r="BR18" s="506">
        <f t="shared" si="76"/>
        <v>0</v>
      </c>
      <c r="BS18" s="731">
        <v>0</v>
      </c>
      <c r="BT18" s="731">
        <v>0</v>
      </c>
      <c r="BU18" s="731">
        <v>0</v>
      </c>
      <c r="BV18" s="731">
        <v>0</v>
      </c>
      <c r="BW18" s="506">
        <f t="shared" si="77"/>
        <v>0</v>
      </c>
      <c r="BX18" s="506">
        <f t="shared" si="78"/>
        <v>0</v>
      </c>
      <c r="BY18" s="506">
        <f t="shared" si="79"/>
        <v>0</v>
      </c>
      <c r="BZ18" s="731">
        <v>0</v>
      </c>
      <c r="CA18" s="731">
        <v>0</v>
      </c>
      <c r="CB18" s="731">
        <v>0</v>
      </c>
      <c r="CC18" s="731">
        <v>0</v>
      </c>
      <c r="CD18" s="506">
        <f t="shared" si="80"/>
        <v>0</v>
      </c>
      <c r="CE18" s="506">
        <f t="shared" si="81"/>
        <v>0</v>
      </c>
      <c r="CF18" s="506">
        <f t="shared" si="82"/>
        <v>0</v>
      </c>
      <c r="CG18" s="731">
        <v>0</v>
      </c>
      <c r="CH18" s="731">
        <v>0</v>
      </c>
      <c r="CI18" s="731">
        <v>0</v>
      </c>
      <c r="CJ18" s="731">
        <v>0</v>
      </c>
      <c r="CK18" s="506">
        <f t="shared" si="83"/>
        <v>0</v>
      </c>
      <c r="CL18" s="731"/>
      <c r="CM18" s="731"/>
      <c r="CN18" s="731">
        <v>0</v>
      </c>
      <c r="CO18" s="731"/>
    </row>
    <row r="19" spans="1:93" s="289" customFormat="1" x14ac:dyDescent="0.25">
      <c r="A19" s="277" t="str">
        <f>Language!C20</f>
        <v>Despesas de Exercícios Seguintes</v>
      </c>
      <c r="B19" s="278">
        <v>2283</v>
      </c>
      <c r="C19" s="278">
        <v>1527</v>
      </c>
      <c r="D19" s="278">
        <v>1339</v>
      </c>
      <c r="E19" s="278">
        <v>1135</v>
      </c>
      <c r="F19" s="279">
        <v>2557</v>
      </c>
      <c r="G19" s="278">
        <v>3251</v>
      </c>
      <c r="H19" s="278">
        <v>2330</v>
      </c>
      <c r="I19" s="278">
        <v>1099</v>
      </c>
      <c r="J19" s="279">
        <v>4180</v>
      </c>
      <c r="K19" s="278">
        <v>2846</v>
      </c>
      <c r="L19" s="278">
        <v>2117</v>
      </c>
      <c r="M19" s="278">
        <v>1436</v>
      </c>
      <c r="N19" s="279">
        <v>9094</v>
      </c>
      <c r="O19" s="278">
        <v>9793</v>
      </c>
      <c r="P19" s="278">
        <v>7503</v>
      </c>
      <c r="Q19" s="278">
        <v>3923</v>
      </c>
      <c r="R19" s="279">
        <v>10760</v>
      </c>
      <c r="S19" s="281">
        <v>8415</v>
      </c>
      <c r="T19" s="281">
        <v>5641</v>
      </c>
      <c r="U19" s="281">
        <v>3429</v>
      </c>
      <c r="V19" s="281">
        <v>8415</v>
      </c>
      <c r="W19" s="281">
        <v>5641</v>
      </c>
      <c r="X19" s="282">
        <v>3429</v>
      </c>
      <c r="Y19" s="283">
        <v>7662</v>
      </c>
      <c r="Z19" s="281">
        <f t="shared" si="33"/>
        <v>5251</v>
      </c>
      <c r="AA19" s="281">
        <f t="shared" si="34"/>
        <v>5716</v>
      </c>
      <c r="AB19" s="281">
        <f t="shared" si="35"/>
        <v>3302</v>
      </c>
      <c r="AC19" s="281">
        <v>5251</v>
      </c>
      <c r="AD19" s="281">
        <v>5716</v>
      </c>
      <c r="AE19" s="282">
        <v>3302</v>
      </c>
      <c r="AF19" s="281">
        <v>7650</v>
      </c>
      <c r="AG19" s="281">
        <f t="shared" si="39"/>
        <v>8794</v>
      </c>
      <c r="AH19" s="281">
        <f t="shared" si="6"/>
        <v>6064</v>
      </c>
      <c r="AI19" s="281">
        <f t="shared" si="7"/>
        <v>3123</v>
      </c>
      <c r="AJ19" s="281">
        <v>8794</v>
      </c>
      <c r="AK19" s="281">
        <v>6064</v>
      </c>
      <c r="AL19" s="281">
        <v>3123</v>
      </c>
      <c r="AM19" s="283">
        <v>6702</v>
      </c>
      <c r="AN19" s="281">
        <f t="shared" si="42"/>
        <v>7953</v>
      </c>
      <c r="AO19" s="281">
        <f t="shared" si="42"/>
        <v>5230</v>
      </c>
      <c r="AP19" s="281">
        <f t="shared" si="42"/>
        <v>3172</v>
      </c>
      <c r="AQ19" s="281">
        <v>7953</v>
      </c>
      <c r="AR19" s="281">
        <v>5230</v>
      </c>
      <c r="AS19" s="281">
        <v>3172</v>
      </c>
      <c r="AT19" s="283">
        <v>5678</v>
      </c>
      <c r="AU19" s="283">
        <f t="shared" si="66"/>
        <v>6697</v>
      </c>
      <c r="AV19" s="283">
        <f t="shared" si="67"/>
        <v>4264</v>
      </c>
      <c r="AW19" s="283">
        <f t="shared" si="46"/>
        <v>3752</v>
      </c>
      <c r="AX19" s="283">
        <v>6697</v>
      </c>
      <c r="AY19" s="283">
        <v>4264</v>
      </c>
      <c r="AZ19" s="283">
        <v>3752</v>
      </c>
      <c r="BA19" s="283">
        <v>8633</v>
      </c>
      <c r="BB19" s="283">
        <f t="shared" si="68"/>
        <v>6694</v>
      </c>
      <c r="BC19" s="283">
        <f t="shared" si="69"/>
        <v>4065</v>
      </c>
      <c r="BD19" s="283">
        <f t="shared" si="70"/>
        <v>2626</v>
      </c>
      <c r="BE19" s="283">
        <v>6694</v>
      </c>
      <c r="BF19" s="283">
        <v>4065</v>
      </c>
      <c r="BG19" s="283">
        <v>2626</v>
      </c>
      <c r="BH19" s="283">
        <v>7990</v>
      </c>
      <c r="BI19" s="283">
        <f t="shared" si="71"/>
        <v>8533</v>
      </c>
      <c r="BJ19" s="283">
        <f t="shared" si="72"/>
        <v>5646</v>
      </c>
      <c r="BK19" s="283">
        <f t="shared" si="73"/>
        <v>3828</v>
      </c>
      <c r="BL19" s="283">
        <v>8533</v>
      </c>
      <c r="BM19" s="283">
        <v>5646</v>
      </c>
      <c r="BN19" s="283">
        <v>3828</v>
      </c>
      <c r="BO19" s="283">
        <v>16864</v>
      </c>
      <c r="BP19" s="506">
        <f t="shared" si="74"/>
        <v>16913</v>
      </c>
      <c r="BQ19" s="506">
        <f t="shared" si="75"/>
        <v>11412</v>
      </c>
      <c r="BR19" s="506">
        <f t="shared" si="76"/>
        <v>5602</v>
      </c>
      <c r="BS19" s="283">
        <v>16913</v>
      </c>
      <c r="BT19" s="283">
        <v>11412</v>
      </c>
      <c r="BU19" s="283">
        <v>5602</v>
      </c>
      <c r="BV19" s="283">
        <v>16913</v>
      </c>
      <c r="BW19" s="506">
        <f t="shared" si="77"/>
        <v>17663</v>
      </c>
      <c r="BX19" s="506">
        <f t="shared" si="78"/>
        <v>9617</v>
      </c>
      <c r="BY19" s="506">
        <f t="shared" si="79"/>
        <v>9067</v>
      </c>
      <c r="BZ19" s="283">
        <v>17663</v>
      </c>
      <c r="CA19" s="283">
        <v>9617</v>
      </c>
      <c r="CB19" s="283">
        <v>9067</v>
      </c>
      <c r="CC19" s="283">
        <v>14336</v>
      </c>
      <c r="CD19" s="506">
        <f t="shared" si="80"/>
        <v>13149</v>
      </c>
      <c r="CE19" s="506">
        <f t="shared" si="81"/>
        <v>8614</v>
      </c>
      <c r="CF19" s="506">
        <f t="shared" si="82"/>
        <v>19802</v>
      </c>
      <c r="CG19" s="283">
        <v>13149</v>
      </c>
      <c r="CH19" s="283">
        <v>8614</v>
      </c>
      <c r="CI19" s="283">
        <v>19802</v>
      </c>
      <c r="CJ19" s="283">
        <v>15835</v>
      </c>
      <c r="CK19" s="506">
        <f t="shared" si="83"/>
        <v>16723</v>
      </c>
      <c r="CL19" s="283"/>
      <c r="CM19" s="283"/>
      <c r="CN19" s="283">
        <v>16723</v>
      </c>
      <c r="CO19" s="283"/>
    </row>
    <row r="20" spans="1:93" s="289" customFormat="1" x14ac:dyDescent="0.25">
      <c r="A20" s="277" t="str">
        <f>Language!C21</f>
        <v>Outros Créditos</v>
      </c>
      <c r="B20" s="278">
        <v>370</v>
      </c>
      <c r="C20" s="278">
        <v>555</v>
      </c>
      <c r="D20" s="278">
        <v>327</v>
      </c>
      <c r="E20" s="278">
        <v>272</v>
      </c>
      <c r="F20" s="279">
        <v>675</v>
      </c>
      <c r="G20" s="278">
        <v>578</v>
      </c>
      <c r="H20" s="278">
        <v>495</v>
      </c>
      <c r="I20" s="278">
        <v>283</v>
      </c>
      <c r="J20" s="279">
        <v>8499</v>
      </c>
      <c r="K20" s="278">
        <v>409</v>
      </c>
      <c r="L20" s="278">
        <v>707</v>
      </c>
      <c r="M20" s="278">
        <v>656</v>
      </c>
      <c r="N20" s="279">
        <v>6281</v>
      </c>
      <c r="O20" s="278">
        <v>1322</v>
      </c>
      <c r="P20" s="278">
        <v>860</v>
      </c>
      <c r="Q20" s="278">
        <v>867</v>
      </c>
      <c r="R20" s="279">
        <v>3229</v>
      </c>
      <c r="S20" s="281">
        <v>1811</v>
      </c>
      <c r="T20" s="281">
        <v>1752</v>
      </c>
      <c r="U20" s="281">
        <v>2345</v>
      </c>
      <c r="V20" s="281">
        <v>1811</v>
      </c>
      <c r="W20" s="281">
        <v>1752</v>
      </c>
      <c r="X20" s="282">
        <v>2345</v>
      </c>
      <c r="Y20" s="283">
        <v>2017</v>
      </c>
      <c r="Z20" s="281">
        <f t="shared" si="33"/>
        <v>10375</v>
      </c>
      <c r="AA20" s="281">
        <f t="shared" si="34"/>
        <v>2678</v>
      </c>
      <c r="AB20" s="281">
        <f t="shared" si="35"/>
        <v>2405</v>
      </c>
      <c r="AC20" s="281">
        <v>10375</v>
      </c>
      <c r="AD20" s="281">
        <v>2678</v>
      </c>
      <c r="AE20" s="282">
        <v>2405</v>
      </c>
      <c r="AF20" s="281">
        <v>1658</v>
      </c>
      <c r="AG20" s="281">
        <f t="shared" si="39"/>
        <v>2677</v>
      </c>
      <c r="AH20" s="281">
        <f t="shared" si="6"/>
        <v>2114</v>
      </c>
      <c r="AI20" s="281">
        <f t="shared" si="7"/>
        <v>3193</v>
      </c>
      <c r="AJ20" s="281">
        <v>2677</v>
      </c>
      <c r="AK20" s="281">
        <v>2114</v>
      </c>
      <c r="AL20" s="281">
        <v>3193</v>
      </c>
      <c r="AM20" s="283">
        <v>3621</v>
      </c>
      <c r="AN20" s="281">
        <f t="shared" si="42"/>
        <v>3834</v>
      </c>
      <c r="AO20" s="281">
        <f t="shared" si="42"/>
        <v>2544</v>
      </c>
      <c r="AP20" s="281">
        <f t="shared" si="42"/>
        <v>2248</v>
      </c>
      <c r="AQ20" s="281">
        <v>3834</v>
      </c>
      <c r="AR20" s="281">
        <v>2544</v>
      </c>
      <c r="AS20" s="281">
        <v>2248</v>
      </c>
      <c r="AT20" s="283">
        <v>2160</v>
      </c>
      <c r="AU20" s="283">
        <f t="shared" si="66"/>
        <v>2186</v>
      </c>
      <c r="AV20" s="283">
        <f t="shared" si="67"/>
        <v>2051</v>
      </c>
      <c r="AW20" s="283">
        <f t="shared" si="46"/>
        <v>1641</v>
      </c>
      <c r="AX20" s="283">
        <v>2186</v>
      </c>
      <c r="AY20" s="283">
        <v>2051</v>
      </c>
      <c r="AZ20" s="283">
        <v>1641</v>
      </c>
      <c r="BA20" s="283">
        <v>1296</v>
      </c>
      <c r="BB20" s="283">
        <f t="shared" si="68"/>
        <v>1694</v>
      </c>
      <c r="BC20" s="283">
        <f t="shared" si="69"/>
        <v>1655</v>
      </c>
      <c r="BD20" s="283">
        <f t="shared" si="70"/>
        <v>1013</v>
      </c>
      <c r="BE20" s="283">
        <v>1694</v>
      </c>
      <c r="BF20" s="283">
        <v>1655</v>
      </c>
      <c r="BG20" s="283">
        <v>1013</v>
      </c>
      <c r="BH20" s="283">
        <v>909</v>
      </c>
      <c r="BI20" s="283">
        <f t="shared" si="71"/>
        <v>980</v>
      </c>
      <c r="BJ20" s="283">
        <f t="shared" si="72"/>
        <v>886</v>
      </c>
      <c r="BK20" s="283">
        <f t="shared" si="73"/>
        <v>1484</v>
      </c>
      <c r="BL20" s="283">
        <v>980</v>
      </c>
      <c r="BM20" s="283">
        <v>886</v>
      </c>
      <c r="BN20" s="283">
        <v>1484</v>
      </c>
      <c r="BO20" s="283">
        <v>2199</v>
      </c>
      <c r="BP20" s="506">
        <f t="shared" si="74"/>
        <v>2063</v>
      </c>
      <c r="BQ20" s="506">
        <f t="shared" si="75"/>
        <v>2640</v>
      </c>
      <c r="BR20" s="506">
        <f t="shared" si="76"/>
        <v>2815</v>
      </c>
      <c r="BS20" s="283">
        <v>2063</v>
      </c>
      <c r="BT20" s="283">
        <v>2640</v>
      </c>
      <c r="BU20" s="283">
        <v>2815</v>
      </c>
      <c r="BV20" s="283">
        <v>2858</v>
      </c>
      <c r="BW20" s="506">
        <f t="shared" si="77"/>
        <v>1961</v>
      </c>
      <c r="BX20" s="506">
        <f t="shared" si="78"/>
        <v>1769</v>
      </c>
      <c r="BY20" s="506">
        <f t="shared" si="79"/>
        <v>2083</v>
      </c>
      <c r="BZ20" s="283">
        <v>1961</v>
      </c>
      <c r="CA20" s="283">
        <v>1769</v>
      </c>
      <c r="CB20" s="283">
        <v>2083</v>
      </c>
      <c r="CC20" s="283">
        <v>2089</v>
      </c>
      <c r="CD20" s="506">
        <f t="shared" si="80"/>
        <v>1574</v>
      </c>
      <c r="CE20" s="506">
        <f t="shared" si="81"/>
        <v>2582</v>
      </c>
      <c r="CF20" s="506">
        <f t="shared" si="82"/>
        <v>1892</v>
      </c>
      <c r="CG20" s="283">
        <v>1574</v>
      </c>
      <c r="CH20" s="283">
        <v>2582</v>
      </c>
      <c r="CI20" s="283">
        <v>1892</v>
      </c>
      <c r="CJ20" s="283">
        <v>1723</v>
      </c>
      <c r="CK20" s="506">
        <f t="shared" si="83"/>
        <v>1293</v>
      </c>
      <c r="CL20" s="283"/>
      <c r="CM20" s="283"/>
      <c r="CN20" s="283">
        <v>1293</v>
      </c>
      <c r="CO20" s="283"/>
    </row>
    <row r="21" spans="1:93" s="423" customFormat="1" ht="13" x14ac:dyDescent="0.3">
      <c r="A21" s="284" t="str">
        <f>Language!C22</f>
        <v>Ativo Não Circulante</v>
      </c>
      <c r="B21" s="285">
        <f t="shared" ref="B21:P21" si="84">SUM(B22,B23,B24,B31)</f>
        <v>976170</v>
      </c>
      <c r="C21" s="285">
        <f t="shared" si="84"/>
        <v>969653</v>
      </c>
      <c r="D21" s="285">
        <f t="shared" si="84"/>
        <v>1004441</v>
      </c>
      <c r="E21" s="285">
        <f t="shared" si="84"/>
        <v>1019007</v>
      </c>
      <c r="F21" s="286">
        <f t="shared" si="84"/>
        <v>990490</v>
      </c>
      <c r="G21" s="285">
        <f t="shared" si="84"/>
        <v>1022117</v>
      </c>
      <c r="H21" s="285">
        <f t="shared" si="84"/>
        <v>1027042</v>
      </c>
      <c r="I21" s="285">
        <f t="shared" si="84"/>
        <v>1039507</v>
      </c>
      <c r="J21" s="286">
        <f t="shared" si="84"/>
        <v>1040180</v>
      </c>
      <c r="K21" s="285">
        <f t="shared" si="84"/>
        <v>1033686</v>
      </c>
      <c r="L21" s="285">
        <f t="shared" si="84"/>
        <v>1038130</v>
      </c>
      <c r="M21" s="285">
        <f t="shared" si="84"/>
        <v>1091527</v>
      </c>
      <c r="N21" s="286">
        <f t="shared" si="84"/>
        <v>1150796</v>
      </c>
      <c r="O21" s="285">
        <f t="shared" si="84"/>
        <v>1338951</v>
      </c>
      <c r="P21" s="285">
        <f t="shared" si="84"/>
        <v>1540329</v>
      </c>
      <c r="Q21" s="285">
        <f>SUM(Q22,Q23,Q24,Q31)</f>
        <v>1836486</v>
      </c>
      <c r="R21" s="287">
        <v>2676527</v>
      </c>
      <c r="S21" s="287">
        <v>2960574</v>
      </c>
      <c r="T21" s="287">
        <v>2979649</v>
      </c>
      <c r="U21" s="287">
        <v>3072583</v>
      </c>
      <c r="V21" s="287">
        <v>2960574</v>
      </c>
      <c r="W21" s="287">
        <v>2979649</v>
      </c>
      <c r="X21" s="287">
        <v>3072583</v>
      </c>
      <c r="Y21" s="287">
        <f>Y22+Y23+Y24+Y31</f>
        <v>6647641</v>
      </c>
      <c r="Z21" s="287">
        <f t="shared" si="33"/>
        <v>6720117</v>
      </c>
      <c r="AA21" s="287">
        <f t="shared" si="34"/>
        <v>6694068</v>
      </c>
      <c r="AB21" s="287">
        <f t="shared" si="35"/>
        <v>6560309</v>
      </c>
      <c r="AC21" s="287">
        <f>AC22+AC23+AC24+AC31</f>
        <v>6720117</v>
      </c>
      <c r="AD21" s="287">
        <f>AD22+AD23+AD24+AD31</f>
        <v>6694068</v>
      </c>
      <c r="AE21" s="287">
        <f>AE22+AE23+AE24+AE31</f>
        <v>6560309</v>
      </c>
      <c r="AF21" s="288">
        <f t="shared" ref="AF21:AS21" si="85">AF22+AF23</f>
        <v>3301770</v>
      </c>
      <c r="AG21" s="288">
        <f t="shared" si="85"/>
        <v>3297018</v>
      </c>
      <c r="AH21" s="288">
        <f t="shared" si="85"/>
        <v>3300469</v>
      </c>
      <c r="AI21" s="288">
        <f t="shared" si="85"/>
        <v>3298205</v>
      </c>
      <c r="AJ21" s="288">
        <f t="shared" si="85"/>
        <v>3297018</v>
      </c>
      <c r="AK21" s="288">
        <f t="shared" si="85"/>
        <v>3300469</v>
      </c>
      <c r="AL21" s="288">
        <f t="shared" si="85"/>
        <v>3298205</v>
      </c>
      <c r="AM21" s="288">
        <f t="shared" si="85"/>
        <v>3278830</v>
      </c>
      <c r="AN21" s="288">
        <f t="shared" si="85"/>
        <v>3281300</v>
      </c>
      <c r="AO21" s="288">
        <f t="shared" si="85"/>
        <v>3378363</v>
      </c>
      <c r="AP21" s="288">
        <f t="shared" si="85"/>
        <v>3150215</v>
      </c>
      <c r="AQ21" s="288">
        <f t="shared" si="85"/>
        <v>3281300</v>
      </c>
      <c r="AR21" s="288">
        <f t="shared" si="85"/>
        <v>3378363</v>
      </c>
      <c r="AS21" s="288">
        <f t="shared" si="85"/>
        <v>3150215</v>
      </c>
      <c r="AT21" s="288">
        <f>AT22+AT23</f>
        <v>3145912</v>
      </c>
      <c r="AU21" s="288">
        <f t="shared" ref="AU21" si="86">AU22+AU23</f>
        <v>3139928</v>
      </c>
      <c r="AV21" s="288">
        <f>AV22+AV23</f>
        <v>3093859</v>
      </c>
      <c r="AW21" s="288">
        <f t="shared" si="46"/>
        <v>3152623</v>
      </c>
      <c r="AX21" s="288">
        <f t="shared" ref="AX21:BE21" si="87">AX22+AX23</f>
        <v>3139928</v>
      </c>
      <c r="AY21" s="288">
        <f t="shared" si="87"/>
        <v>3093859</v>
      </c>
      <c r="AZ21" s="288">
        <f t="shared" si="87"/>
        <v>3152623</v>
      </c>
      <c r="BA21" s="288">
        <f t="shared" si="87"/>
        <v>3072745</v>
      </c>
      <c r="BB21" s="288">
        <f t="shared" si="87"/>
        <v>3029950</v>
      </c>
      <c r="BC21" s="288">
        <f t="shared" si="87"/>
        <v>2974019</v>
      </c>
      <c r="BD21" s="288">
        <f t="shared" si="87"/>
        <v>2771242</v>
      </c>
      <c r="BE21" s="288">
        <f t="shared" si="87"/>
        <v>3029950</v>
      </c>
      <c r="BF21" s="288">
        <f t="shared" ref="BF21:BG21" si="88">BF22+BF23</f>
        <v>2974019</v>
      </c>
      <c r="BG21" s="288">
        <f t="shared" si="88"/>
        <v>2771242</v>
      </c>
      <c r="BH21" s="288">
        <f t="shared" ref="BH21:BL21" si="89">BH22+BH23</f>
        <v>2717357</v>
      </c>
      <c r="BI21" s="288">
        <f t="shared" si="89"/>
        <v>2660054</v>
      </c>
      <c r="BJ21" s="288">
        <f t="shared" si="89"/>
        <v>2663574</v>
      </c>
      <c r="BK21" s="288">
        <f t="shared" si="89"/>
        <v>2611332</v>
      </c>
      <c r="BL21" s="288">
        <f t="shared" si="89"/>
        <v>2660054</v>
      </c>
      <c r="BM21" s="288">
        <f t="shared" ref="BM21:BN21" si="90">BM22+BM23</f>
        <v>2663574</v>
      </c>
      <c r="BN21" s="288">
        <f t="shared" si="90"/>
        <v>2611332</v>
      </c>
      <c r="BO21" s="288">
        <f t="shared" ref="BO21:BP21" si="91">BO22+BO23</f>
        <v>2467897</v>
      </c>
      <c r="BP21" s="288">
        <f t="shared" si="91"/>
        <v>2570733</v>
      </c>
      <c r="BQ21" s="288">
        <f t="shared" ref="BQ21:BS21" si="92">BQ22+BQ23</f>
        <v>2475885</v>
      </c>
      <c r="BR21" s="288">
        <f t="shared" si="92"/>
        <v>2427125</v>
      </c>
      <c r="BS21" s="288">
        <f t="shared" si="92"/>
        <v>2570733</v>
      </c>
      <c r="BT21" s="288">
        <f t="shared" ref="BT21:BU21" si="93">BT22+BT23</f>
        <v>2475885</v>
      </c>
      <c r="BU21" s="288">
        <f t="shared" si="93"/>
        <v>2427125</v>
      </c>
      <c r="BV21" s="288">
        <f t="shared" ref="BV21:BY21" si="94">BV22+BV23</f>
        <v>2359560</v>
      </c>
      <c r="BW21" s="288">
        <f t="shared" si="94"/>
        <v>2289989</v>
      </c>
      <c r="BX21" s="288">
        <f t="shared" si="94"/>
        <v>2359965</v>
      </c>
      <c r="BY21" s="288">
        <f t="shared" si="94"/>
        <v>2311486</v>
      </c>
      <c r="BZ21" s="288">
        <f t="shared" ref="BZ21:CA21" si="95">BZ22+BZ23</f>
        <v>2289989</v>
      </c>
      <c r="CA21" s="288">
        <f t="shared" si="95"/>
        <v>2359965</v>
      </c>
      <c r="CB21" s="288">
        <f t="shared" ref="CB21:CC21" si="96">CB22+CB23</f>
        <v>2311486</v>
      </c>
      <c r="CC21" s="288">
        <f t="shared" si="96"/>
        <v>2272939</v>
      </c>
      <c r="CD21" s="288">
        <f t="shared" ref="CD21" si="97">CD22+CD23</f>
        <v>2264722</v>
      </c>
      <c r="CE21" s="288">
        <f t="shared" ref="CE21:CG21" si="98">CE22+CE23</f>
        <v>2216326</v>
      </c>
      <c r="CF21" s="288">
        <f t="shared" si="98"/>
        <v>2169808</v>
      </c>
      <c r="CG21" s="288">
        <f t="shared" si="98"/>
        <v>2264722</v>
      </c>
      <c r="CH21" s="288">
        <f t="shared" ref="CH21:CI21" si="99">CH22+CH23</f>
        <v>2216326</v>
      </c>
      <c r="CI21" s="288">
        <f t="shared" si="99"/>
        <v>2169808</v>
      </c>
      <c r="CJ21" s="288">
        <v>2123666</v>
      </c>
      <c r="CK21" s="288">
        <f t="shared" ref="CK21" si="100">CK22+CK23</f>
        <v>2046142</v>
      </c>
      <c r="CL21" s="288">
        <f t="shared" ref="CL21:CO21" si="101">CL22+CL23</f>
        <v>0</v>
      </c>
      <c r="CM21" s="288">
        <f t="shared" si="101"/>
        <v>0</v>
      </c>
      <c r="CN21" s="288">
        <f t="shared" si="101"/>
        <v>2046142</v>
      </c>
      <c r="CO21" s="288">
        <f t="shared" si="101"/>
        <v>0</v>
      </c>
    </row>
    <row r="22" spans="1:93" s="289" customFormat="1" x14ac:dyDescent="0.25">
      <c r="A22" s="277" t="str">
        <f>Language!C23</f>
        <v>Realizável a Longo Prazo (RLP)</v>
      </c>
      <c r="B22" s="278">
        <v>31372</v>
      </c>
      <c r="C22" s="278">
        <v>29333</v>
      </c>
      <c r="D22" s="278">
        <v>63474</v>
      </c>
      <c r="E22" s="278">
        <v>65117</v>
      </c>
      <c r="F22" s="279">
        <v>34133</v>
      </c>
      <c r="G22" s="278">
        <v>62945</v>
      </c>
      <c r="H22" s="278">
        <v>63265</v>
      </c>
      <c r="I22" s="278">
        <v>56269</v>
      </c>
      <c r="J22" s="279">
        <v>58153</v>
      </c>
      <c r="K22" s="278">
        <v>52376</v>
      </c>
      <c r="L22" s="278">
        <v>46216</v>
      </c>
      <c r="M22" s="278">
        <v>51552</v>
      </c>
      <c r="N22" s="279">
        <v>40620</v>
      </c>
      <c r="O22" s="278">
        <v>46939</v>
      </c>
      <c r="P22" s="278">
        <v>74205</v>
      </c>
      <c r="Q22" s="278">
        <v>85259</v>
      </c>
      <c r="R22" s="279">
        <v>316066</v>
      </c>
      <c r="S22" s="281">
        <v>380983</v>
      </c>
      <c r="T22" s="281">
        <v>347335</v>
      </c>
      <c r="U22" s="281">
        <v>311099</v>
      </c>
      <c r="V22" s="281">
        <v>380983</v>
      </c>
      <c r="W22" s="281">
        <v>347335</v>
      </c>
      <c r="X22" s="282">
        <v>311099</v>
      </c>
      <c r="Y22" s="283">
        <v>306847</v>
      </c>
      <c r="Z22" s="281">
        <f t="shared" si="33"/>
        <v>309499</v>
      </c>
      <c r="AA22" s="281">
        <f t="shared" si="34"/>
        <v>306192</v>
      </c>
      <c r="AB22" s="281">
        <f t="shared" si="35"/>
        <v>185836</v>
      </c>
      <c r="AC22" s="281">
        <v>309499</v>
      </c>
      <c r="AD22" s="281">
        <v>306192</v>
      </c>
      <c r="AE22" s="282">
        <v>185836</v>
      </c>
      <c r="AF22" s="281">
        <v>209769</v>
      </c>
      <c r="AG22" s="281">
        <f t="shared" si="39"/>
        <v>211102</v>
      </c>
      <c r="AH22" s="281">
        <f t="shared" si="6"/>
        <v>183619</v>
      </c>
      <c r="AI22" s="281">
        <f t="shared" si="7"/>
        <v>172571</v>
      </c>
      <c r="AJ22" s="281">
        <v>211102</v>
      </c>
      <c r="AK22" s="281">
        <v>183619</v>
      </c>
      <c r="AL22" s="281">
        <v>172571</v>
      </c>
      <c r="AM22" s="283">
        <v>178757</v>
      </c>
      <c r="AN22" s="281">
        <f t="shared" si="42"/>
        <v>194682</v>
      </c>
      <c r="AO22" s="281">
        <f t="shared" si="42"/>
        <v>206438</v>
      </c>
      <c r="AP22" s="281">
        <f t="shared" si="42"/>
        <v>195032</v>
      </c>
      <c r="AQ22" s="281">
        <v>194682</v>
      </c>
      <c r="AR22" s="281">
        <v>206438</v>
      </c>
      <c r="AS22" s="281">
        <v>195032</v>
      </c>
      <c r="AT22" s="283">
        <v>170336</v>
      </c>
      <c r="AU22" s="283">
        <f>AX22</f>
        <v>212565</v>
      </c>
      <c r="AV22" s="283">
        <f>AY22</f>
        <v>271450</v>
      </c>
      <c r="AW22" s="283">
        <f t="shared" si="46"/>
        <v>372984</v>
      </c>
      <c r="AX22" s="283">
        <v>212565</v>
      </c>
      <c r="AY22" s="283">
        <v>271450</v>
      </c>
      <c r="AZ22" s="283">
        <v>372984</v>
      </c>
      <c r="BA22" s="283">
        <v>357269</v>
      </c>
      <c r="BB22" s="283">
        <f>BE22</f>
        <v>362784</v>
      </c>
      <c r="BC22" s="283">
        <f>BF22</f>
        <v>384532</v>
      </c>
      <c r="BD22" s="283">
        <f t="shared" si="70"/>
        <v>322307</v>
      </c>
      <c r="BE22" s="283">
        <v>362784</v>
      </c>
      <c r="BF22" s="283">
        <v>384532</v>
      </c>
      <c r="BG22" s="283">
        <v>322307</v>
      </c>
      <c r="BH22" s="506">
        <v>342433</v>
      </c>
      <c r="BI22" s="506">
        <f t="shared" ref="BI22:BJ25" si="102">BL22</f>
        <v>361809</v>
      </c>
      <c r="BJ22" s="506">
        <f t="shared" si="102"/>
        <v>372957</v>
      </c>
      <c r="BK22" s="506">
        <f>BN22</f>
        <v>365034</v>
      </c>
      <c r="BL22" s="506">
        <v>361809</v>
      </c>
      <c r="BM22" s="506">
        <v>372957</v>
      </c>
      <c r="BN22" s="506">
        <v>365034</v>
      </c>
      <c r="BO22" s="506">
        <v>238705</v>
      </c>
      <c r="BP22" s="506">
        <f>BS22</f>
        <v>1650210</v>
      </c>
      <c r="BQ22" s="506">
        <f>BT22</f>
        <v>1569803</v>
      </c>
      <c r="BR22" s="506">
        <f>BU22</f>
        <v>1505795</v>
      </c>
      <c r="BS22" s="506">
        <v>1650210</v>
      </c>
      <c r="BT22" s="506">
        <v>1569803</v>
      </c>
      <c r="BU22" s="506">
        <v>1505795</v>
      </c>
      <c r="BV22" s="506">
        <v>1440782</v>
      </c>
      <c r="BW22" s="506">
        <f>BZ22</f>
        <v>1370180</v>
      </c>
      <c r="BX22" s="506">
        <f>CA22</f>
        <v>1360898</v>
      </c>
      <c r="BY22" s="506">
        <f>CB22</f>
        <v>1316951</v>
      </c>
      <c r="BZ22" s="506">
        <v>1370180</v>
      </c>
      <c r="CA22" s="506">
        <v>1360898</v>
      </c>
      <c r="CB22" s="506">
        <v>1316951</v>
      </c>
      <c r="CC22" s="506">
        <v>1294791</v>
      </c>
      <c r="CD22" s="506">
        <f>CG22</f>
        <v>1271811</v>
      </c>
      <c r="CE22" s="506">
        <f>CH22</f>
        <v>1229631</v>
      </c>
      <c r="CF22" s="506">
        <f>CI22</f>
        <v>1379245</v>
      </c>
      <c r="CG22" s="506">
        <v>1271811</v>
      </c>
      <c r="CH22" s="506">
        <v>1229631</v>
      </c>
      <c r="CI22" s="506">
        <v>1379245</v>
      </c>
      <c r="CJ22" s="506">
        <v>1357571</v>
      </c>
      <c r="CK22" s="506">
        <f>CN22</f>
        <v>1325509</v>
      </c>
      <c r="CL22" s="506"/>
      <c r="CM22" s="506"/>
      <c r="CN22" s="506">
        <v>1325509</v>
      </c>
      <c r="CO22" s="506"/>
    </row>
    <row r="23" spans="1:93" s="289" customFormat="1" x14ac:dyDescent="0.25">
      <c r="A23" s="277" t="str">
        <f>Language!C24</f>
        <v>Investimentos</v>
      </c>
      <c r="B23" s="278">
        <v>25</v>
      </c>
      <c r="C23" s="278">
        <v>28</v>
      </c>
      <c r="D23" s="278">
        <v>32</v>
      </c>
      <c r="E23" s="278">
        <v>35</v>
      </c>
      <c r="F23" s="279">
        <v>38</v>
      </c>
      <c r="G23" s="278">
        <v>42</v>
      </c>
      <c r="H23" s="278">
        <v>45</v>
      </c>
      <c r="I23" s="278">
        <v>49</v>
      </c>
      <c r="J23" s="279">
        <v>52</v>
      </c>
      <c r="K23" s="278">
        <v>55</v>
      </c>
      <c r="L23" s="278">
        <v>58</v>
      </c>
      <c r="M23" s="278">
        <v>61</v>
      </c>
      <c r="N23" s="279">
        <v>64</v>
      </c>
      <c r="O23" s="278">
        <v>68</v>
      </c>
      <c r="P23" s="278">
        <v>71</v>
      </c>
      <c r="Q23" s="278">
        <v>75</v>
      </c>
      <c r="R23" s="279">
        <v>79</v>
      </c>
      <c r="S23" s="281">
        <v>113</v>
      </c>
      <c r="T23" s="281">
        <v>115</v>
      </c>
      <c r="U23" s="281">
        <v>0</v>
      </c>
      <c r="V23" s="281">
        <v>113</v>
      </c>
      <c r="W23" s="281">
        <v>115</v>
      </c>
      <c r="X23" s="282">
        <v>0</v>
      </c>
      <c r="Y23" s="283">
        <v>3103116</v>
      </c>
      <c r="Z23" s="281">
        <f t="shared" si="33"/>
        <v>3138207</v>
      </c>
      <c r="AA23" s="281">
        <f t="shared" si="34"/>
        <v>3129791</v>
      </c>
      <c r="AB23" s="281">
        <f t="shared" si="35"/>
        <v>3147411</v>
      </c>
      <c r="AC23" s="281">
        <v>3138207</v>
      </c>
      <c r="AD23" s="281">
        <v>3129791</v>
      </c>
      <c r="AE23" s="282">
        <v>3147411</v>
      </c>
      <c r="AF23" s="281">
        <v>3092001</v>
      </c>
      <c r="AG23" s="281">
        <f t="shared" si="39"/>
        <v>3085916</v>
      </c>
      <c r="AH23" s="281">
        <f t="shared" si="6"/>
        <v>3116850</v>
      </c>
      <c r="AI23" s="281">
        <f t="shared" si="7"/>
        <v>3125634</v>
      </c>
      <c r="AJ23" s="281">
        <v>3085916</v>
      </c>
      <c r="AK23" s="281">
        <v>3116850</v>
      </c>
      <c r="AL23" s="281">
        <v>3125634</v>
      </c>
      <c r="AM23" s="283">
        <v>3100073</v>
      </c>
      <c r="AN23" s="281">
        <f t="shared" si="42"/>
        <v>3086618</v>
      </c>
      <c r="AO23" s="281">
        <f t="shared" si="42"/>
        <v>3171925</v>
      </c>
      <c r="AP23" s="281">
        <f t="shared" si="42"/>
        <v>2955183</v>
      </c>
      <c r="AQ23" s="281">
        <v>3086618</v>
      </c>
      <c r="AR23" s="281">
        <v>3171925</v>
      </c>
      <c r="AS23" s="281">
        <v>2955183</v>
      </c>
      <c r="AT23" s="283">
        <v>2975576</v>
      </c>
      <c r="AU23" s="283">
        <f>AX23</f>
        <v>2927363</v>
      </c>
      <c r="AV23" s="283">
        <f>AY23</f>
        <v>2822409</v>
      </c>
      <c r="AW23" s="283">
        <f t="shared" si="46"/>
        <v>2779639</v>
      </c>
      <c r="AX23" s="283">
        <v>2927363</v>
      </c>
      <c r="AY23" s="283">
        <v>2822409</v>
      </c>
      <c r="AZ23" s="283">
        <v>2779639</v>
      </c>
      <c r="BA23" s="283">
        <v>2715476</v>
      </c>
      <c r="BB23" s="283">
        <f>BE23</f>
        <v>2667166</v>
      </c>
      <c r="BC23" s="283">
        <f t="shared" ref="BC23:BC30" si="103">BF23</f>
        <v>2589487</v>
      </c>
      <c r="BD23" s="283">
        <f t="shared" si="70"/>
        <v>2448935</v>
      </c>
      <c r="BE23" s="283">
        <v>2667166</v>
      </c>
      <c r="BF23" s="283">
        <v>2589487</v>
      </c>
      <c r="BG23" s="283">
        <v>2448935</v>
      </c>
      <c r="BH23" s="283">
        <v>2374924</v>
      </c>
      <c r="BI23" s="506">
        <f t="shared" si="102"/>
        <v>2298245</v>
      </c>
      <c r="BJ23" s="506">
        <f t="shared" si="102"/>
        <v>2290617</v>
      </c>
      <c r="BK23" s="506">
        <f>BN23</f>
        <v>2246298</v>
      </c>
      <c r="BL23" s="283">
        <v>2298245</v>
      </c>
      <c r="BM23" s="283">
        <v>2290617</v>
      </c>
      <c r="BN23" s="283">
        <v>2246298</v>
      </c>
      <c r="BO23" s="283">
        <v>2229192</v>
      </c>
      <c r="BP23" s="506">
        <f t="shared" ref="BP23:BP36" si="104">BS23</f>
        <v>920523</v>
      </c>
      <c r="BQ23" s="506">
        <f t="shared" ref="BQ23:BR25" si="105">BT23</f>
        <v>906082</v>
      </c>
      <c r="BR23" s="506">
        <f t="shared" si="105"/>
        <v>921330</v>
      </c>
      <c r="BS23" s="283">
        <v>920523</v>
      </c>
      <c r="BT23" s="283">
        <v>906082</v>
      </c>
      <c r="BU23" s="283">
        <v>921330</v>
      </c>
      <c r="BV23" s="283">
        <v>918778</v>
      </c>
      <c r="BW23" s="506">
        <f t="shared" ref="BW23:BW30" si="106">BZ23</f>
        <v>919809</v>
      </c>
      <c r="BX23" s="506">
        <f t="shared" ref="BX23:BX30" si="107">CA23</f>
        <v>999067</v>
      </c>
      <c r="BY23" s="506">
        <f t="shared" ref="BY23:BY30" si="108">CB23</f>
        <v>994535</v>
      </c>
      <c r="BZ23" s="283">
        <v>919809</v>
      </c>
      <c r="CA23" s="283">
        <v>999067</v>
      </c>
      <c r="CB23" s="283">
        <v>994535</v>
      </c>
      <c r="CC23" s="283">
        <v>978148</v>
      </c>
      <c r="CD23" s="506">
        <f t="shared" ref="CD23:CD30" si="109">CG23</f>
        <v>992911</v>
      </c>
      <c r="CE23" s="506">
        <f t="shared" ref="CE23:CE30" si="110">CH23</f>
        <v>986695</v>
      </c>
      <c r="CF23" s="506">
        <f t="shared" ref="CF23:CF30" si="111">CI23</f>
        <v>790563</v>
      </c>
      <c r="CG23" s="283">
        <v>992911</v>
      </c>
      <c r="CH23" s="283">
        <v>986695</v>
      </c>
      <c r="CI23" s="283">
        <v>790563</v>
      </c>
      <c r="CJ23" s="283">
        <v>766095</v>
      </c>
      <c r="CK23" s="506">
        <f t="shared" ref="CK23:CK36" si="112">CN23</f>
        <v>720633</v>
      </c>
      <c r="CL23" s="283"/>
      <c r="CM23" s="283"/>
      <c r="CN23" s="283">
        <v>720633</v>
      </c>
      <c r="CO23" s="283"/>
    </row>
    <row r="24" spans="1:93" s="289" customFormat="1" x14ac:dyDescent="0.25">
      <c r="A24" s="277" t="str">
        <f>Language!C25</f>
        <v>Imobilizado</v>
      </c>
      <c r="B24" s="289">
        <v>4708</v>
      </c>
      <c r="C24" s="289">
        <v>4827</v>
      </c>
      <c r="D24" s="289">
        <v>5103</v>
      </c>
      <c r="E24" s="289">
        <f>SUM(E25,E26,E27)</f>
        <v>5717</v>
      </c>
      <c r="F24" s="290">
        <f t="shared" ref="F24:L24" si="113">SUM(F25,F26,F27)</f>
        <v>5674</v>
      </c>
      <c r="G24" s="289">
        <f t="shared" si="113"/>
        <v>6057</v>
      </c>
      <c r="H24" s="289">
        <f t="shared" si="113"/>
        <v>6088</v>
      </c>
      <c r="I24" s="289">
        <f t="shared" si="113"/>
        <v>6354</v>
      </c>
      <c r="J24" s="290">
        <f t="shared" si="113"/>
        <v>6179</v>
      </c>
      <c r="K24" s="289">
        <f t="shared" si="113"/>
        <v>5939</v>
      </c>
      <c r="L24" s="289">
        <f t="shared" si="113"/>
        <v>6505</v>
      </c>
      <c r="M24" s="289">
        <f>SUM(M25,M26,M27,M28)</f>
        <v>6491</v>
      </c>
      <c r="N24" s="290">
        <f>SUM(N25,N26,N27,N28)</f>
        <v>12718</v>
      </c>
      <c r="O24" s="289">
        <f>SUM(O25,O26,O27,O28)</f>
        <v>14743</v>
      </c>
      <c r="P24" s="289">
        <f>SUM(P25,P26,P27,P28)</f>
        <v>19368</v>
      </c>
      <c r="Q24" s="289">
        <f>SUM(Q25:Q28)</f>
        <v>19213</v>
      </c>
      <c r="R24" s="292">
        <v>21627</v>
      </c>
      <c r="S24" s="292">
        <v>25742</v>
      </c>
      <c r="T24" s="281">
        <v>23040</v>
      </c>
      <c r="U24" s="281">
        <v>23021</v>
      </c>
      <c r="V24" s="292">
        <v>25742</v>
      </c>
      <c r="W24" s="292">
        <v>23040</v>
      </c>
      <c r="X24" s="292">
        <v>23021</v>
      </c>
      <c r="Y24" s="292">
        <f>SUM(Y25:Y30)</f>
        <v>22720</v>
      </c>
      <c r="Z24" s="292">
        <f t="shared" si="33"/>
        <v>22884</v>
      </c>
      <c r="AA24" s="292">
        <f t="shared" si="34"/>
        <v>22022</v>
      </c>
      <c r="AB24" s="292">
        <f t="shared" si="35"/>
        <v>21552</v>
      </c>
      <c r="AC24" s="292">
        <f>SUM(AC25:AC30)</f>
        <v>22884</v>
      </c>
      <c r="AD24" s="292">
        <f>SUM(AD25:AD30)</f>
        <v>22022</v>
      </c>
      <c r="AE24" s="292">
        <f>SUM(AE25:AE30)</f>
        <v>21552</v>
      </c>
      <c r="AF24" s="292">
        <f>SUM(AF25:AF30)</f>
        <v>20600</v>
      </c>
      <c r="AG24" s="292">
        <f t="shared" si="39"/>
        <v>9571</v>
      </c>
      <c r="AH24" s="292">
        <f t="shared" si="6"/>
        <v>8597</v>
      </c>
      <c r="AI24" s="292">
        <f t="shared" si="7"/>
        <v>14346</v>
      </c>
      <c r="AJ24" s="292">
        <f>SUM(AJ25:AJ30)</f>
        <v>9571</v>
      </c>
      <c r="AK24" s="687">
        <f>SUM(AK25:AK30)</f>
        <v>8597</v>
      </c>
      <c r="AL24" s="687">
        <f>SUM(AL25:AL30)</f>
        <v>14346</v>
      </c>
      <c r="AM24" s="688">
        <f>SUM(AM25:AM30)</f>
        <v>14375</v>
      </c>
      <c r="AN24" s="292">
        <f t="shared" si="42"/>
        <v>15056</v>
      </c>
      <c r="AO24" s="292">
        <f t="shared" si="42"/>
        <v>14372</v>
      </c>
      <c r="AP24" s="292">
        <f t="shared" si="42"/>
        <v>13097</v>
      </c>
      <c r="AQ24" s="292">
        <f>SUM(AQ25:AQ30)</f>
        <v>15056</v>
      </c>
      <c r="AR24" s="292">
        <f>SUM(AR25:AR30)</f>
        <v>14372</v>
      </c>
      <c r="AS24" s="687">
        <f>SUM(AS25:AS30)</f>
        <v>13097</v>
      </c>
      <c r="AT24" s="688">
        <f>SUM(AT25:AT30)</f>
        <v>7822</v>
      </c>
      <c r="AU24" s="688">
        <f>AX24</f>
        <v>12178</v>
      </c>
      <c r="AV24" s="688">
        <f>SUM(AV25:AV30)</f>
        <v>12514</v>
      </c>
      <c r="AW24" s="688">
        <f t="shared" si="46"/>
        <v>19775</v>
      </c>
      <c r="AX24" s="688">
        <v>12178</v>
      </c>
      <c r="AY24" s="688">
        <f>SUM(AY25:AY30)</f>
        <v>12514</v>
      </c>
      <c r="AZ24" s="688">
        <v>19775</v>
      </c>
      <c r="BA24" s="688">
        <v>14362</v>
      </c>
      <c r="BB24" s="688">
        <f>BE24</f>
        <v>13483</v>
      </c>
      <c r="BC24" s="283">
        <f t="shared" si="103"/>
        <v>13145</v>
      </c>
      <c r="BD24" s="283">
        <f t="shared" si="70"/>
        <v>12058</v>
      </c>
      <c r="BE24" s="688">
        <v>13483</v>
      </c>
      <c r="BF24" s="688">
        <v>13145</v>
      </c>
      <c r="BG24" s="688">
        <v>12058</v>
      </c>
      <c r="BH24" s="688">
        <v>11388</v>
      </c>
      <c r="BI24" s="688">
        <f t="shared" si="102"/>
        <v>10891</v>
      </c>
      <c r="BJ24" s="688">
        <f t="shared" si="102"/>
        <v>10340</v>
      </c>
      <c r="BK24" s="688">
        <f>BN24</f>
        <v>10214</v>
      </c>
      <c r="BL24" s="688">
        <v>10891</v>
      </c>
      <c r="BM24" s="688">
        <v>10340</v>
      </c>
      <c r="BN24" s="688">
        <v>10214</v>
      </c>
      <c r="BO24" s="688">
        <v>10074</v>
      </c>
      <c r="BP24" s="688">
        <f t="shared" si="104"/>
        <v>6638</v>
      </c>
      <c r="BQ24" s="688">
        <f t="shared" si="105"/>
        <v>6147</v>
      </c>
      <c r="BR24" s="688">
        <f t="shared" si="105"/>
        <v>6022</v>
      </c>
      <c r="BS24" s="688">
        <v>6638</v>
      </c>
      <c r="BT24" s="688">
        <v>6147</v>
      </c>
      <c r="BU24" s="688">
        <v>6022</v>
      </c>
      <c r="BV24" s="688">
        <v>6357</v>
      </c>
      <c r="BW24" s="506">
        <f t="shared" si="106"/>
        <v>6400</v>
      </c>
      <c r="BX24" s="506">
        <f t="shared" si="107"/>
        <v>8827</v>
      </c>
      <c r="BY24" s="506">
        <f t="shared" si="108"/>
        <v>8799</v>
      </c>
      <c r="BZ24" s="688">
        <v>6400</v>
      </c>
      <c r="CA24" s="688">
        <v>8827</v>
      </c>
      <c r="CB24" s="688">
        <v>8799</v>
      </c>
      <c r="CC24" s="688">
        <v>8950</v>
      </c>
      <c r="CD24" s="506">
        <f t="shared" si="109"/>
        <v>7582</v>
      </c>
      <c r="CE24" s="506">
        <f t="shared" si="110"/>
        <v>7413</v>
      </c>
      <c r="CF24" s="506">
        <f t="shared" si="111"/>
        <v>7305</v>
      </c>
      <c r="CG24" s="688">
        <v>7582</v>
      </c>
      <c r="CH24" s="688">
        <v>7413</v>
      </c>
      <c r="CI24" s="688">
        <v>7305</v>
      </c>
      <c r="CJ24" s="688">
        <v>7224</v>
      </c>
      <c r="CK24" s="506">
        <f t="shared" si="112"/>
        <v>7215</v>
      </c>
      <c r="CL24" s="688"/>
      <c r="CM24" s="688"/>
      <c r="CN24" s="688">
        <v>7215</v>
      </c>
      <c r="CO24" s="688"/>
    </row>
    <row r="25" spans="1:93" s="424" customFormat="1" ht="13" x14ac:dyDescent="0.3">
      <c r="A25" s="295" t="str">
        <f>Language!C26</f>
        <v>Concepa</v>
      </c>
      <c r="B25" s="296">
        <v>0</v>
      </c>
      <c r="C25" s="296">
        <v>0</v>
      </c>
      <c r="D25" s="296">
        <v>0</v>
      </c>
      <c r="E25" s="296">
        <v>1042</v>
      </c>
      <c r="F25" s="297">
        <v>1001</v>
      </c>
      <c r="G25" s="296">
        <v>1026</v>
      </c>
      <c r="H25" s="296">
        <v>907</v>
      </c>
      <c r="I25" s="296">
        <v>1262</v>
      </c>
      <c r="J25" s="297">
        <v>1125</v>
      </c>
      <c r="K25" s="296">
        <v>1053</v>
      </c>
      <c r="L25" s="296">
        <v>1472</v>
      </c>
      <c r="M25" s="296">
        <v>1579</v>
      </c>
      <c r="N25" s="297">
        <v>1516</v>
      </c>
      <c r="O25" s="296">
        <v>1532</v>
      </c>
      <c r="P25" s="296">
        <v>1569</v>
      </c>
      <c r="Q25" s="296">
        <v>1646</v>
      </c>
      <c r="R25" s="297">
        <v>2701</v>
      </c>
      <c r="S25" s="298">
        <v>1948</v>
      </c>
      <c r="T25" s="298">
        <v>1777</v>
      </c>
      <c r="U25" s="298">
        <v>1685</v>
      </c>
      <c r="V25" s="298">
        <v>1948</v>
      </c>
      <c r="W25" s="298">
        <v>1777</v>
      </c>
      <c r="X25" s="299">
        <v>1685</v>
      </c>
      <c r="Y25" s="300">
        <v>1392</v>
      </c>
      <c r="Z25" s="298">
        <f t="shared" si="33"/>
        <v>1463</v>
      </c>
      <c r="AA25" s="298">
        <f t="shared" si="34"/>
        <v>1513</v>
      </c>
      <c r="AB25" s="298">
        <f t="shared" si="35"/>
        <v>1380</v>
      </c>
      <c r="AC25" s="298">
        <v>1463</v>
      </c>
      <c r="AD25" s="298">
        <v>1513</v>
      </c>
      <c r="AE25" s="299">
        <v>1380</v>
      </c>
      <c r="AF25" s="298">
        <v>1205</v>
      </c>
      <c r="AG25" s="298">
        <f t="shared" si="39"/>
        <v>1026</v>
      </c>
      <c r="AH25" s="298">
        <f t="shared" si="6"/>
        <v>1092</v>
      </c>
      <c r="AI25" s="298">
        <f t="shared" si="7"/>
        <v>980</v>
      </c>
      <c r="AJ25" s="298">
        <v>1026</v>
      </c>
      <c r="AK25" s="298">
        <v>1092</v>
      </c>
      <c r="AL25" s="298">
        <v>980</v>
      </c>
      <c r="AM25" s="300">
        <v>1127</v>
      </c>
      <c r="AN25" s="298">
        <f t="shared" si="42"/>
        <v>927</v>
      </c>
      <c r="AO25" s="298">
        <f t="shared" si="42"/>
        <v>792</v>
      </c>
      <c r="AP25" s="298">
        <f t="shared" si="42"/>
        <v>394</v>
      </c>
      <c r="AQ25" s="298">
        <v>927</v>
      </c>
      <c r="AR25" s="298">
        <v>792</v>
      </c>
      <c r="AS25" s="298">
        <v>394</v>
      </c>
      <c r="AT25" s="300">
        <v>0</v>
      </c>
      <c r="AU25" s="300">
        <f>AX25</f>
        <v>235</v>
      </c>
      <c r="AV25" s="300">
        <f>AY25</f>
        <v>310</v>
      </c>
      <c r="AW25" s="300">
        <f t="shared" si="46"/>
        <v>182</v>
      </c>
      <c r="AX25" s="300">
        <v>235</v>
      </c>
      <c r="AY25" s="300">
        <v>310</v>
      </c>
      <c r="AZ25" s="300">
        <v>182</v>
      </c>
      <c r="BA25" s="300">
        <v>0</v>
      </c>
      <c r="BB25" s="300">
        <f>BE25</f>
        <v>0</v>
      </c>
      <c r="BC25" s="283">
        <f t="shared" si="103"/>
        <v>0</v>
      </c>
      <c r="BD25" s="283">
        <f t="shared" si="70"/>
        <v>0</v>
      </c>
      <c r="BE25" s="300">
        <v>0</v>
      </c>
      <c r="BF25" s="300">
        <v>0</v>
      </c>
      <c r="BG25" s="300">
        <v>0</v>
      </c>
      <c r="BH25" s="300">
        <v>0</v>
      </c>
      <c r="BI25" s="300">
        <f t="shared" si="102"/>
        <v>0</v>
      </c>
      <c r="BJ25" s="300">
        <f t="shared" si="102"/>
        <v>0</v>
      </c>
      <c r="BK25" s="300">
        <f>BN25</f>
        <v>0</v>
      </c>
      <c r="BL25" s="300">
        <v>0</v>
      </c>
      <c r="BM25" s="300">
        <v>0</v>
      </c>
      <c r="BN25" s="300">
        <v>0</v>
      </c>
      <c r="BO25" s="300">
        <v>0</v>
      </c>
      <c r="BP25" s="506">
        <f t="shared" si="104"/>
        <v>0</v>
      </c>
      <c r="BQ25" s="300">
        <f t="shared" si="105"/>
        <v>0</v>
      </c>
      <c r="BR25" s="300">
        <f t="shared" si="105"/>
        <v>0</v>
      </c>
      <c r="BS25" s="300">
        <v>0</v>
      </c>
      <c r="BT25" s="300">
        <v>0</v>
      </c>
      <c r="BU25" s="300">
        <v>0</v>
      </c>
      <c r="BV25" s="300">
        <v>0</v>
      </c>
      <c r="BW25" s="506">
        <f t="shared" si="106"/>
        <v>0</v>
      </c>
      <c r="BX25" s="506">
        <f t="shared" si="107"/>
        <v>0</v>
      </c>
      <c r="BY25" s="506">
        <f t="shared" si="108"/>
        <v>0</v>
      </c>
      <c r="BZ25" s="300">
        <v>0</v>
      </c>
      <c r="CA25" s="300">
        <v>0</v>
      </c>
      <c r="CB25" s="300">
        <v>0</v>
      </c>
      <c r="CC25" s="300">
        <v>0</v>
      </c>
      <c r="CD25" s="506">
        <f t="shared" si="109"/>
        <v>0</v>
      </c>
      <c r="CE25" s="506">
        <f t="shared" si="110"/>
        <v>0</v>
      </c>
      <c r="CF25" s="506">
        <f t="shared" si="111"/>
        <v>0</v>
      </c>
      <c r="CG25" s="300">
        <v>0</v>
      </c>
      <c r="CH25" s="300">
        <v>0</v>
      </c>
      <c r="CI25" s="300">
        <v>0</v>
      </c>
      <c r="CJ25" s="300">
        <v>0</v>
      </c>
      <c r="CK25" s="506">
        <f t="shared" si="112"/>
        <v>0</v>
      </c>
      <c r="CL25" s="300"/>
      <c r="CM25" s="300"/>
      <c r="CN25" s="300">
        <v>0</v>
      </c>
      <c r="CO25" s="300"/>
    </row>
    <row r="26" spans="1:93" s="424" customFormat="1" ht="13" x14ac:dyDescent="0.3">
      <c r="A26" s="295" t="str">
        <f>Language!C27</f>
        <v>Concer</v>
      </c>
      <c r="B26" s="296">
        <v>0</v>
      </c>
      <c r="C26" s="296">
        <v>0</v>
      </c>
      <c r="D26" s="296">
        <v>0</v>
      </c>
      <c r="E26" s="296">
        <v>1876</v>
      </c>
      <c r="F26" s="297">
        <v>1743</v>
      </c>
      <c r="G26" s="296">
        <v>1778</v>
      </c>
      <c r="H26" s="296">
        <v>1893</v>
      </c>
      <c r="I26" s="296">
        <v>1808</v>
      </c>
      <c r="J26" s="297">
        <v>1791</v>
      </c>
      <c r="K26" s="296">
        <v>1661</v>
      </c>
      <c r="L26" s="296">
        <v>1546</v>
      </c>
      <c r="M26" s="296">
        <v>1436</v>
      </c>
      <c r="N26" s="297">
        <v>1401</v>
      </c>
      <c r="O26" s="296">
        <v>1321</v>
      </c>
      <c r="P26" s="296">
        <v>1269</v>
      </c>
      <c r="Q26" s="296">
        <v>1298</v>
      </c>
      <c r="R26" s="297">
        <v>1444</v>
      </c>
      <c r="S26" s="298">
        <v>1438</v>
      </c>
      <c r="T26" s="298">
        <v>1371</v>
      </c>
      <c r="U26" s="298">
        <v>1290</v>
      </c>
      <c r="V26" s="298">
        <v>1438</v>
      </c>
      <c r="W26" s="298">
        <v>1371</v>
      </c>
      <c r="X26" s="299">
        <v>1290</v>
      </c>
      <c r="Y26" s="300">
        <v>1260</v>
      </c>
      <c r="Z26" s="298">
        <f t="shared" si="33"/>
        <v>1113</v>
      </c>
      <c r="AA26" s="298">
        <f t="shared" si="34"/>
        <v>1029</v>
      </c>
      <c r="AB26" s="298">
        <f t="shared" si="35"/>
        <v>952</v>
      </c>
      <c r="AC26" s="298">
        <v>1113</v>
      </c>
      <c r="AD26" s="298">
        <v>1029</v>
      </c>
      <c r="AE26" s="299">
        <v>952</v>
      </c>
      <c r="AF26" s="298">
        <v>877</v>
      </c>
      <c r="AG26" s="298">
        <f t="shared" si="39"/>
        <v>812</v>
      </c>
      <c r="AH26" s="298">
        <f t="shared" si="6"/>
        <v>743</v>
      </c>
      <c r="AI26" s="298">
        <f t="shared" si="7"/>
        <v>675</v>
      </c>
      <c r="AJ26" s="298">
        <v>812</v>
      </c>
      <c r="AK26" s="298">
        <v>743</v>
      </c>
      <c r="AL26" s="298">
        <v>675</v>
      </c>
      <c r="AM26" s="300">
        <v>611</v>
      </c>
      <c r="AN26" s="298">
        <f t="shared" si="42"/>
        <v>546</v>
      </c>
      <c r="AO26" s="298">
        <f t="shared" si="42"/>
        <v>481</v>
      </c>
      <c r="AP26" s="298">
        <f t="shared" si="42"/>
        <v>433</v>
      </c>
      <c r="AQ26" s="298">
        <v>546</v>
      </c>
      <c r="AR26" s="298">
        <v>481</v>
      </c>
      <c r="AS26" s="298">
        <v>433</v>
      </c>
      <c r="AT26" s="300">
        <v>374</v>
      </c>
      <c r="AU26" s="300">
        <f t="shared" ref="AU26:AU30" si="114">AX26</f>
        <v>326</v>
      </c>
      <c r="AV26" s="300">
        <f t="shared" ref="AV26:AV30" si="115">AY26</f>
        <v>375</v>
      </c>
      <c r="AW26" s="300">
        <f t="shared" si="46"/>
        <v>4193</v>
      </c>
      <c r="AX26" s="300">
        <v>326</v>
      </c>
      <c r="AY26" s="300">
        <v>375</v>
      </c>
      <c r="AZ26" s="300">
        <v>4193</v>
      </c>
      <c r="BA26" s="300">
        <v>3421</v>
      </c>
      <c r="BB26" s="300">
        <f t="shared" ref="BB26:BB30" si="116">BE26</f>
        <v>2817</v>
      </c>
      <c r="BC26" s="283">
        <f t="shared" si="103"/>
        <v>1925</v>
      </c>
      <c r="BD26" s="283">
        <f t="shared" si="70"/>
        <v>1355</v>
      </c>
      <c r="BE26" s="300">
        <v>2817</v>
      </c>
      <c r="BF26" s="300">
        <v>1925</v>
      </c>
      <c r="BG26" s="300">
        <v>1355</v>
      </c>
      <c r="BH26" s="300">
        <v>1109</v>
      </c>
      <c r="BI26" s="300">
        <f t="shared" ref="BI26:BJ30" si="117">BL26</f>
        <v>993</v>
      </c>
      <c r="BJ26" s="300">
        <f t="shared" si="117"/>
        <v>861</v>
      </c>
      <c r="BK26" s="300">
        <f t="shared" ref="BK26:BK30" si="118">BN26</f>
        <v>743</v>
      </c>
      <c r="BL26" s="300">
        <v>993</v>
      </c>
      <c r="BM26" s="300">
        <v>861</v>
      </c>
      <c r="BN26" s="300">
        <v>743</v>
      </c>
      <c r="BO26" s="300">
        <v>676</v>
      </c>
      <c r="BP26" s="506">
        <f t="shared" si="104"/>
        <v>587</v>
      </c>
      <c r="BQ26" s="300">
        <f t="shared" ref="BQ26:BQ30" si="119">BT26</f>
        <v>586</v>
      </c>
      <c r="BR26" s="300">
        <f t="shared" ref="BR26:BR30" si="120">BU26</f>
        <v>555</v>
      </c>
      <c r="BS26" s="300">
        <v>587</v>
      </c>
      <c r="BT26" s="300">
        <v>586</v>
      </c>
      <c r="BU26" s="300">
        <v>555</v>
      </c>
      <c r="BV26" s="300">
        <v>586</v>
      </c>
      <c r="BW26" s="506">
        <f t="shared" si="106"/>
        <v>700</v>
      </c>
      <c r="BX26" s="506">
        <f t="shared" si="107"/>
        <v>714</v>
      </c>
      <c r="BY26" s="506">
        <f t="shared" si="108"/>
        <v>710</v>
      </c>
      <c r="BZ26" s="300">
        <v>700</v>
      </c>
      <c r="CA26" s="300">
        <v>714</v>
      </c>
      <c r="CB26" s="300">
        <v>710</v>
      </c>
      <c r="CC26" s="300">
        <v>774</v>
      </c>
      <c r="CD26" s="506">
        <f t="shared" si="109"/>
        <v>809</v>
      </c>
      <c r="CE26" s="506">
        <f t="shared" si="110"/>
        <v>1033</v>
      </c>
      <c r="CF26" s="506">
        <f t="shared" si="111"/>
        <v>1635</v>
      </c>
      <c r="CG26" s="300">
        <v>809</v>
      </c>
      <c r="CH26" s="300">
        <v>1033</v>
      </c>
      <c r="CI26" s="300">
        <v>1635</v>
      </c>
      <c r="CJ26" s="300">
        <v>1622</v>
      </c>
      <c r="CK26" s="506">
        <f t="shared" si="112"/>
        <v>1581</v>
      </c>
      <c r="CL26" s="300"/>
      <c r="CM26" s="300"/>
      <c r="CN26" s="300">
        <v>1581</v>
      </c>
      <c r="CO26" s="300"/>
    </row>
    <row r="27" spans="1:93" s="424" customFormat="1" ht="13" x14ac:dyDescent="0.3">
      <c r="A27" s="295" t="str">
        <f>Language!C28</f>
        <v>Econorte</v>
      </c>
      <c r="B27" s="296">
        <v>0</v>
      </c>
      <c r="C27" s="296">
        <v>0</v>
      </c>
      <c r="D27" s="296">
        <v>0</v>
      </c>
      <c r="E27" s="296">
        <v>2799</v>
      </c>
      <c r="F27" s="297">
        <v>2930</v>
      </c>
      <c r="G27" s="296">
        <v>3253</v>
      </c>
      <c r="H27" s="296">
        <v>3288</v>
      </c>
      <c r="I27" s="296">
        <v>3284</v>
      </c>
      <c r="J27" s="297">
        <v>3263</v>
      </c>
      <c r="K27" s="296">
        <v>3225</v>
      </c>
      <c r="L27" s="296">
        <v>3487</v>
      </c>
      <c r="M27" s="296">
        <v>3476</v>
      </c>
      <c r="N27" s="297">
        <v>3401</v>
      </c>
      <c r="O27" s="296">
        <v>3354</v>
      </c>
      <c r="P27" s="296">
        <v>3309</v>
      </c>
      <c r="Q27" s="296">
        <v>3390</v>
      </c>
      <c r="R27" s="297">
        <v>3738</v>
      </c>
      <c r="S27" s="298">
        <v>3729</v>
      </c>
      <c r="T27" s="298">
        <v>3878</v>
      </c>
      <c r="U27" s="298">
        <v>3766</v>
      </c>
      <c r="V27" s="298">
        <v>3729</v>
      </c>
      <c r="W27" s="298">
        <v>3878</v>
      </c>
      <c r="X27" s="299">
        <v>3766</v>
      </c>
      <c r="Y27" s="300">
        <v>3645</v>
      </c>
      <c r="Z27" s="298">
        <f t="shared" si="33"/>
        <v>4288</v>
      </c>
      <c r="AA27" s="298">
        <f t="shared" si="34"/>
        <v>4271</v>
      </c>
      <c r="AB27" s="298">
        <f t="shared" si="35"/>
        <v>4111</v>
      </c>
      <c r="AC27" s="298">
        <v>4288</v>
      </c>
      <c r="AD27" s="298">
        <v>4271</v>
      </c>
      <c r="AE27" s="299">
        <v>4111</v>
      </c>
      <c r="AF27" s="298">
        <v>4006</v>
      </c>
      <c r="AG27" s="298">
        <f t="shared" si="39"/>
        <v>3510</v>
      </c>
      <c r="AH27" s="298">
        <f t="shared" si="6"/>
        <v>2580</v>
      </c>
      <c r="AI27" s="298">
        <f t="shared" si="7"/>
        <v>2601</v>
      </c>
      <c r="AJ27" s="298">
        <v>3510</v>
      </c>
      <c r="AK27" s="298">
        <v>2580</v>
      </c>
      <c r="AL27" s="298">
        <v>2601</v>
      </c>
      <c r="AM27" s="300">
        <v>2552</v>
      </c>
      <c r="AN27" s="298">
        <f t="shared" si="42"/>
        <v>2506</v>
      </c>
      <c r="AO27" s="298">
        <f t="shared" si="42"/>
        <v>2456</v>
      </c>
      <c r="AP27" s="298">
        <f t="shared" si="42"/>
        <v>2370</v>
      </c>
      <c r="AQ27" s="298">
        <v>2506</v>
      </c>
      <c r="AR27" s="298">
        <v>2456</v>
      </c>
      <c r="AS27" s="298">
        <v>2370</v>
      </c>
      <c r="AT27" s="300">
        <v>2349</v>
      </c>
      <c r="AU27" s="300">
        <f t="shared" si="114"/>
        <v>2312</v>
      </c>
      <c r="AV27" s="300">
        <f t="shared" si="115"/>
        <v>2276</v>
      </c>
      <c r="AW27" s="300">
        <f t="shared" si="46"/>
        <v>2240</v>
      </c>
      <c r="AX27" s="300">
        <v>2312</v>
      </c>
      <c r="AY27" s="300">
        <v>2276</v>
      </c>
      <c r="AZ27" s="300">
        <v>2240</v>
      </c>
      <c r="BA27" s="300">
        <v>2205</v>
      </c>
      <c r="BB27" s="300">
        <f t="shared" si="116"/>
        <v>2169</v>
      </c>
      <c r="BC27" s="283">
        <f t="shared" si="103"/>
        <v>2135</v>
      </c>
      <c r="BD27" s="283">
        <f t="shared" si="70"/>
        <v>2101</v>
      </c>
      <c r="BE27" s="300">
        <v>2169</v>
      </c>
      <c r="BF27" s="300">
        <v>2135</v>
      </c>
      <c r="BG27" s="300">
        <v>2101</v>
      </c>
      <c r="BH27" s="300">
        <v>2067</v>
      </c>
      <c r="BI27" s="300">
        <f t="shared" si="117"/>
        <v>2033</v>
      </c>
      <c r="BJ27" s="300">
        <f t="shared" si="117"/>
        <v>1999</v>
      </c>
      <c r="BK27" s="300">
        <f t="shared" si="118"/>
        <v>1966</v>
      </c>
      <c r="BL27" s="300">
        <v>2033</v>
      </c>
      <c r="BM27" s="300">
        <v>1999</v>
      </c>
      <c r="BN27" s="300">
        <v>1966</v>
      </c>
      <c r="BO27" s="300">
        <v>1933</v>
      </c>
      <c r="BP27" s="506">
        <f t="shared" si="104"/>
        <v>1900</v>
      </c>
      <c r="BQ27" s="300">
        <f t="shared" si="119"/>
        <v>1867</v>
      </c>
      <c r="BR27" s="300">
        <f t="shared" si="120"/>
        <v>1640</v>
      </c>
      <c r="BS27" s="300">
        <v>1900</v>
      </c>
      <c r="BT27" s="300">
        <v>1867</v>
      </c>
      <c r="BU27" s="300">
        <v>1640</v>
      </c>
      <c r="BV27" s="300">
        <v>1553</v>
      </c>
      <c r="BW27" s="506">
        <f t="shared" si="106"/>
        <v>1467</v>
      </c>
      <c r="BX27" s="506">
        <f t="shared" si="107"/>
        <v>1296</v>
      </c>
      <c r="BY27" s="506">
        <f t="shared" si="108"/>
        <v>1171</v>
      </c>
      <c r="BZ27" s="300">
        <v>1467</v>
      </c>
      <c r="CA27" s="300">
        <v>1296</v>
      </c>
      <c r="CB27" s="300">
        <v>1171</v>
      </c>
      <c r="CC27" s="300">
        <v>1049</v>
      </c>
      <c r="CD27" s="506">
        <f t="shared" si="109"/>
        <v>0</v>
      </c>
      <c r="CE27" s="506">
        <f t="shared" si="110"/>
        <v>0</v>
      </c>
      <c r="CF27" s="506">
        <f t="shared" si="111"/>
        <v>0</v>
      </c>
      <c r="CG27" s="300">
        <v>0</v>
      </c>
      <c r="CH27" s="300">
        <v>0</v>
      </c>
      <c r="CI27" s="300">
        <v>0</v>
      </c>
      <c r="CJ27" s="300">
        <v>0</v>
      </c>
      <c r="CK27" s="506">
        <f t="shared" si="112"/>
        <v>0</v>
      </c>
      <c r="CL27" s="300"/>
      <c r="CM27" s="300"/>
      <c r="CN27" s="300">
        <v>0</v>
      </c>
      <c r="CO27" s="300"/>
    </row>
    <row r="28" spans="1:93" s="424" customFormat="1" ht="13" x14ac:dyDescent="0.3">
      <c r="A28" s="295" t="str">
        <f>Language!C29</f>
        <v>Concebra</v>
      </c>
      <c r="B28" s="296">
        <v>0</v>
      </c>
      <c r="C28" s="296">
        <v>0</v>
      </c>
      <c r="D28" s="296">
        <v>0</v>
      </c>
      <c r="E28" s="296">
        <v>0</v>
      </c>
      <c r="F28" s="297">
        <v>0</v>
      </c>
      <c r="G28" s="296">
        <v>0</v>
      </c>
      <c r="H28" s="296">
        <v>0</v>
      </c>
      <c r="I28" s="296">
        <v>0</v>
      </c>
      <c r="J28" s="297">
        <v>0</v>
      </c>
      <c r="K28" s="296">
        <v>0</v>
      </c>
      <c r="L28" s="296">
        <v>0</v>
      </c>
      <c r="M28" s="296">
        <v>0</v>
      </c>
      <c r="N28" s="297">
        <v>6400</v>
      </c>
      <c r="O28" s="296">
        <v>8536</v>
      </c>
      <c r="P28" s="296">
        <v>13221</v>
      </c>
      <c r="Q28" s="296">
        <v>12879</v>
      </c>
      <c r="R28" s="297">
        <v>12562</v>
      </c>
      <c r="S28" s="298">
        <v>12659</v>
      </c>
      <c r="T28" s="298">
        <v>11759</v>
      </c>
      <c r="U28" s="298">
        <v>11437</v>
      </c>
      <c r="V28" s="298">
        <v>12659</v>
      </c>
      <c r="W28" s="298">
        <v>11759</v>
      </c>
      <c r="X28" s="299">
        <v>11437</v>
      </c>
      <c r="Y28" s="693">
        <v>11209</v>
      </c>
      <c r="Z28" s="298">
        <f t="shared" si="33"/>
        <v>10942</v>
      </c>
      <c r="AA28" s="298">
        <f t="shared" si="34"/>
        <v>10501</v>
      </c>
      <c r="AB28" s="298">
        <f t="shared" si="35"/>
        <v>10278</v>
      </c>
      <c r="AC28" s="298">
        <v>10942</v>
      </c>
      <c r="AD28" s="298">
        <v>10501</v>
      </c>
      <c r="AE28" s="299">
        <v>10278</v>
      </c>
      <c r="AF28" s="298">
        <v>9964</v>
      </c>
      <c r="AG28" s="298"/>
      <c r="AH28" s="298"/>
      <c r="AI28" s="298"/>
      <c r="AJ28" s="298"/>
      <c r="AK28" s="298"/>
      <c r="AL28" s="298"/>
      <c r="AM28" s="300"/>
      <c r="AN28" s="298"/>
      <c r="AO28" s="298"/>
      <c r="AP28" s="298"/>
      <c r="AQ28" s="298"/>
      <c r="AR28" s="298"/>
      <c r="AS28" s="298"/>
      <c r="AT28" s="300"/>
      <c r="AU28" s="300">
        <f t="shared" si="114"/>
        <v>0</v>
      </c>
      <c r="AV28" s="300">
        <f t="shared" si="115"/>
        <v>0</v>
      </c>
      <c r="AW28" s="300">
        <f t="shared" si="46"/>
        <v>3170</v>
      </c>
      <c r="AX28" s="300">
        <v>0</v>
      </c>
      <c r="AY28" s="300">
        <v>0</v>
      </c>
      <c r="AZ28" s="300">
        <v>3170</v>
      </c>
      <c r="BA28" s="300">
        <v>3170</v>
      </c>
      <c r="BB28" s="300">
        <f t="shared" si="116"/>
        <v>3170</v>
      </c>
      <c r="BC28" s="283">
        <f t="shared" si="103"/>
        <v>3170</v>
      </c>
      <c r="BD28" s="283">
        <f t="shared" si="70"/>
        <v>3170</v>
      </c>
      <c r="BE28" s="300">
        <v>3170</v>
      </c>
      <c r="BF28" s="300">
        <v>3170</v>
      </c>
      <c r="BG28" s="300">
        <v>3170</v>
      </c>
      <c r="BH28" s="300">
        <v>3170</v>
      </c>
      <c r="BI28" s="300">
        <f t="shared" si="117"/>
        <v>3170</v>
      </c>
      <c r="BJ28" s="300">
        <f t="shared" si="117"/>
        <v>3150</v>
      </c>
      <c r="BK28" s="300">
        <f t="shared" si="118"/>
        <v>3103</v>
      </c>
      <c r="BL28" s="300">
        <v>3170</v>
      </c>
      <c r="BM28" s="300">
        <v>3150</v>
      </c>
      <c r="BN28" s="300">
        <v>3103</v>
      </c>
      <c r="BO28" s="300">
        <v>3029</v>
      </c>
      <c r="BP28" s="506">
        <f t="shared" si="104"/>
        <v>199</v>
      </c>
      <c r="BQ28" s="300">
        <f t="shared" si="119"/>
        <v>141</v>
      </c>
      <c r="BR28" s="300">
        <f t="shared" si="120"/>
        <v>109</v>
      </c>
      <c r="BS28" s="300">
        <v>199</v>
      </c>
      <c r="BT28" s="300">
        <v>141</v>
      </c>
      <c r="BU28" s="300">
        <v>109</v>
      </c>
      <c r="BV28" s="300">
        <v>41</v>
      </c>
      <c r="BW28" s="506">
        <f t="shared" si="106"/>
        <v>0</v>
      </c>
      <c r="BX28" s="506">
        <f t="shared" si="107"/>
        <v>0</v>
      </c>
      <c r="BY28" s="506">
        <f t="shared" si="108"/>
        <v>0</v>
      </c>
      <c r="BZ28" s="300">
        <v>0</v>
      </c>
      <c r="CA28" s="300">
        <v>0</v>
      </c>
      <c r="CB28" s="300">
        <v>0</v>
      </c>
      <c r="CC28" s="300">
        <v>564</v>
      </c>
      <c r="CD28" s="506">
        <f t="shared" si="109"/>
        <v>539</v>
      </c>
      <c r="CE28" s="506">
        <f t="shared" si="110"/>
        <v>514</v>
      </c>
      <c r="CF28" s="506">
        <f t="shared" si="111"/>
        <v>512</v>
      </c>
      <c r="CG28" s="300">
        <v>539</v>
      </c>
      <c r="CH28" s="300">
        <v>514</v>
      </c>
      <c r="CI28" s="300">
        <v>512</v>
      </c>
      <c r="CJ28" s="300">
        <v>513</v>
      </c>
      <c r="CK28" s="506">
        <f t="shared" si="112"/>
        <v>501</v>
      </c>
      <c r="CL28" s="300"/>
      <c r="CM28" s="300"/>
      <c r="CN28" s="300">
        <v>501</v>
      </c>
      <c r="CO28" s="300"/>
    </row>
    <row r="29" spans="1:93" s="424" customFormat="1" ht="13" x14ac:dyDescent="0.3">
      <c r="A29" s="295" t="str">
        <f>Language!C30</f>
        <v>Transbrasiliana</v>
      </c>
      <c r="B29" s="296">
        <v>0</v>
      </c>
      <c r="C29" s="296">
        <v>0</v>
      </c>
      <c r="D29" s="296">
        <v>0</v>
      </c>
      <c r="E29" s="296">
        <v>0</v>
      </c>
      <c r="F29" s="297">
        <v>0</v>
      </c>
      <c r="G29" s="296">
        <v>0</v>
      </c>
      <c r="H29" s="296">
        <v>0</v>
      </c>
      <c r="I29" s="296">
        <v>0</v>
      </c>
      <c r="J29" s="297">
        <v>0</v>
      </c>
      <c r="K29" s="296">
        <v>0</v>
      </c>
      <c r="L29" s="296">
        <v>0</v>
      </c>
      <c r="M29" s="296">
        <v>0</v>
      </c>
      <c r="N29" s="297">
        <v>0</v>
      </c>
      <c r="O29" s="296">
        <v>0</v>
      </c>
      <c r="P29" s="296">
        <v>0</v>
      </c>
      <c r="Q29" s="296">
        <v>0</v>
      </c>
      <c r="R29" s="297">
        <v>1182</v>
      </c>
      <c r="S29" s="298">
        <v>5968</v>
      </c>
      <c r="T29" s="298">
        <v>4255</v>
      </c>
      <c r="U29" s="298">
        <v>4843</v>
      </c>
      <c r="V29" s="298">
        <v>5968</v>
      </c>
      <c r="W29" s="298">
        <v>4255</v>
      </c>
      <c r="X29" s="299">
        <v>4843</v>
      </c>
      <c r="Y29" s="300">
        <v>5028</v>
      </c>
      <c r="Z29" s="298">
        <f t="shared" si="33"/>
        <v>4902</v>
      </c>
      <c r="AA29" s="298">
        <f t="shared" si="34"/>
        <v>4543</v>
      </c>
      <c r="AB29" s="298">
        <f t="shared" si="35"/>
        <v>4676</v>
      </c>
      <c r="AC29" s="298">
        <v>4902</v>
      </c>
      <c r="AD29" s="298">
        <v>4543</v>
      </c>
      <c r="AE29" s="299">
        <v>4676</v>
      </c>
      <c r="AF29" s="298">
        <v>4403</v>
      </c>
      <c r="AG29" s="298">
        <f t="shared" si="39"/>
        <v>4223</v>
      </c>
      <c r="AH29" s="298">
        <f t="shared" si="6"/>
        <v>4182</v>
      </c>
      <c r="AI29" s="298">
        <f t="shared" si="7"/>
        <v>4129</v>
      </c>
      <c r="AJ29" s="298">
        <v>4223</v>
      </c>
      <c r="AK29" s="298">
        <v>4182</v>
      </c>
      <c r="AL29" s="298">
        <v>4129</v>
      </c>
      <c r="AM29" s="300">
        <v>4389</v>
      </c>
      <c r="AN29" s="298">
        <f t="shared" si="42"/>
        <v>5368</v>
      </c>
      <c r="AO29" s="298">
        <f t="shared" si="42"/>
        <v>5204</v>
      </c>
      <c r="AP29" s="298">
        <f t="shared" si="42"/>
        <v>4960</v>
      </c>
      <c r="AQ29" s="298">
        <v>5368</v>
      </c>
      <c r="AR29" s="298">
        <v>5204</v>
      </c>
      <c r="AS29" s="298">
        <v>4960</v>
      </c>
      <c r="AT29" s="300">
        <v>5099</v>
      </c>
      <c r="AU29" s="300">
        <f t="shared" si="114"/>
        <v>4867</v>
      </c>
      <c r="AV29" s="300">
        <f t="shared" si="115"/>
        <v>5365</v>
      </c>
      <c r="AW29" s="300">
        <f t="shared" si="46"/>
        <v>6050</v>
      </c>
      <c r="AX29" s="300">
        <v>4867</v>
      </c>
      <c r="AY29" s="300">
        <v>5365</v>
      </c>
      <c r="AZ29" s="300">
        <v>6050</v>
      </c>
      <c r="BA29" s="300">
        <v>5566</v>
      </c>
      <c r="BB29" s="300">
        <f t="shared" si="116"/>
        <v>5327</v>
      </c>
      <c r="BC29" s="283">
        <f t="shared" si="103"/>
        <v>5915</v>
      </c>
      <c r="BD29" s="283">
        <f t="shared" si="70"/>
        <v>5432</v>
      </c>
      <c r="BE29" s="300">
        <v>5327</v>
      </c>
      <c r="BF29" s="300">
        <v>5915</v>
      </c>
      <c r="BG29" s="300">
        <v>5432</v>
      </c>
      <c r="BH29" s="300">
        <v>5042</v>
      </c>
      <c r="BI29" s="300">
        <f t="shared" si="117"/>
        <v>4695</v>
      </c>
      <c r="BJ29" s="300">
        <f t="shared" si="117"/>
        <v>4330</v>
      </c>
      <c r="BK29" s="300">
        <f t="shared" si="118"/>
        <v>4402</v>
      </c>
      <c r="BL29" s="300">
        <v>4695</v>
      </c>
      <c r="BM29" s="300">
        <v>4330</v>
      </c>
      <c r="BN29" s="300">
        <v>4402</v>
      </c>
      <c r="BO29" s="300">
        <v>4436</v>
      </c>
      <c r="BP29" s="506">
        <f t="shared" si="104"/>
        <v>3952</v>
      </c>
      <c r="BQ29" s="300">
        <f t="shared" si="119"/>
        <v>3553</v>
      </c>
      <c r="BR29" s="300">
        <f t="shared" si="120"/>
        <v>3718</v>
      </c>
      <c r="BS29" s="300">
        <v>3952</v>
      </c>
      <c r="BT29" s="300">
        <v>3553</v>
      </c>
      <c r="BU29" s="300">
        <v>3718</v>
      </c>
      <c r="BV29" s="300">
        <v>4177</v>
      </c>
      <c r="BW29" s="506">
        <f t="shared" si="106"/>
        <v>4233</v>
      </c>
      <c r="BX29" s="506">
        <f t="shared" si="107"/>
        <v>6817</v>
      </c>
      <c r="BY29" s="506">
        <f t="shared" si="108"/>
        <v>6918</v>
      </c>
      <c r="BZ29" s="300">
        <v>4233</v>
      </c>
      <c r="CA29" s="300">
        <v>6817</v>
      </c>
      <c r="CB29" s="300">
        <v>6918</v>
      </c>
      <c r="CC29" s="300">
        <v>6563</v>
      </c>
      <c r="CD29" s="506">
        <f t="shared" si="109"/>
        <v>6234</v>
      </c>
      <c r="CE29" s="506">
        <f t="shared" si="110"/>
        <v>5866</v>
      </c>
      <c r="CF29" s="506">
        <f t="shared" si="111"/>
        <v>5158</v>
      </c>
      <c r="CG29" s="300">
        <v>6234</v>
      </c>
      <c r="CH29" s="300">
        <v>5866</v>
      </c>
      <c r="CI29" s="300">
        <v>5158</v>
      </c>
      <c r="CJ29" s="300">
        <v>5089</v>
      </c>
      <c r="CK29" s="506">
        <f t="shared" si="112"/>
        <v>5133</v>
      </c>
      <c r="CL29" s="300"/>
      <c r="CM29" s="300"/>
      <c r="CN29" s="300">
        <v>5133</v>
      </c>
      <c r="CO29" s="300"/>
    </row>
    <row r="30" spans="1:93" s="424" customFormat="1" ht="13" x14ac:dyDescent="0.3">
      <c r="A30" s="295" t="s">
        <v>319</v>
      </c>
      <c r="B30" s="296">
        <v>0</v>
      </c>
      <c r="C30" s="296">
        <v>0</v>
      </c>
      <c r="D30" s="296">
        <v>0</v>
      </c>
      <c r="E30" s="296">
        <v>0</v>
      </c>
      <c r="F30" s="296">
        <v>0</v>
      </c>
      <c r="G30" s="296">
        <v>0</v>
      </c>
      <c r="H30" s="296">
        <v>0</v>
      </c>
      <c r="I30" s="296">
        <v>0</v>
      </c>
      <c r="J30" s="296">
        <v>0</v>
      </c>
      <c r="K30" s="296">
        <v>0</v>
      </c>
      <c r="L30" s="296">
        <v>0</v>
      </c>
      <c r="M30" s="296">
        <v>0</v>
      </c>
      <c r="N30" s="296">
        <v>0</v>
      </c>
      <c r="O30" s="296">
        <v>0</v>
      </c>
      <c r="P30" s="296">
        <v>0</v>
      </c>
      <c r="Q30" s="296">
        <v>0</v>
      </c>
      <c r="R30" s="296">
        <v>0</v>
      </c>
      <c r="S30" s="296">
        <v>0</v>
      </c>
      <c r="T30" s="296">
        <v>0</v>
      </c>
      <c r="U30" s="296">
        <v>0</v>
      </c>
      <c r="V30" s="296">
        <v>0</v>
      </c>
      <c r="W30" s="296">
        <v>0</v>
      </c>
      <c r="X30" s="296">
        <v>0</v>
      </c>
      <c r="Y30" s="296">
        <v>186</v>
      </c>
      <c r="Z30" s="296">
        <f t="shared" si="33"/>
        <v>176</v>
      </c>
      <c r="AA30" s="296">
        <f t="shared" si="34"/>
        <v>165</v>
      </c>
      <c r="AB30" s="296">
        <f t="shared" si="35"/>
        <v>155</v>
      </c>
      <c r="AC30" s="296">
        <v>176</v>
      </c>
      <c r="AD30" s="296">
        <v>165</v>
      </c>
      <c r="AE30" s="296">
        <v>155</v>
      </c>
      <c r="AF30" s="296">
        <v>145</v>
      </c>
      <c r="AG30" s="296"/>
      <c r="AH30" s="296"/>
      <c r="AI30" s="296">
        <f t="shared" si="7"/>
        <v>5961</v>
      </c>
      <c r="AJ30" s="296"/>
      <c r="AK30" s="296"/>
      <c r="AL30" s="296">
        <v>5961</v>
      </c>
      <c r="AM30" s="297">
        <v>5696</v>
      </c>
      <c r="AN30" s="296">
        <f t="shared" si="42"/>
        <v>5709</v>
      </c>
      <c r="AO30" s="296">
        <f t="shared" si="42"/>
        <v>5439</v>
      </c>
      <c r="AP30" s="296">
        <f t="shared" si="42"/>
        <v>4940</v>
      </c>
      <c r="AQ30" s="298">
        <v>5709</v>
      </c>
      <c r="AR30" s="298">
        <v>5439</v>
      </c>
      <c r="AS30" s="296">
        <v>4940</v>
      </c>
      <c r="AT30" s="297">
        <v>0</v>
      </c>
      <c r="AU30" s="300">
        <f t="shared" si="114"/>
        <v>4438</v>
      </c>
      <c r="AV30" s="297">
        <f t="shared" si="115"/>
        <v>4188</v>
      </c>
      <c r="AW30" s="297">
        <f t="shared" si="46"/>
        <v>3940</v>
      </c>
      <c r="AX30" s="297">
        <v>4438</v>
      </c>
      <c r="AY30" s="297">
        <v>4188</v>
      </c>
      <c r="AZ30" s="297">
        <v>3940</v>
      </c>
      <c r="BA30" s="297">
        <v>0</v>
      </c>
      <c r="BB30" s="300">
        <f t="shared" si="116"/>
        <v>0</v>
      </c>
      <c r="BC30" s="283">
        <f t="shared" si="103"/>
        <v>0</v>
      </c>
      <c r="BD30" s="283">
        <f t="shared" si="70"/>
        <v>0</v>
      </c>
      <c r="BE30" s="297">
        <v>0</v>
      </c>
      <c r="BF30" s="297">
        <v>0</v>
      </c>
      <c r="BG30" s="297">
        <v>0</v>
      </c>
      <c r="BH30" s="297">
        <v>0</v>
      </c>
      <c r="BI30" s="300">
        <f t="shared" si="117"/>
        <v>0</v>
      </c>
      <c r="BJ30" s="300">
        <f t="shared" si="117"/>
        <v>0</v>
      </c>
      <c r="BK30" s="300">
        <f t="shared" si="118"/>
        <v>0</v>
      </c>
      <c r="BL30" s="297">
        <v>0</v>
      </c>
      <c r="BM30" s="297">
        <v>0</v>
      </c>
      <c r="BN30" s="297">
        <v>0</v>
      </c>
      <c r="BO30" s="297">
        <v>0</v>
      </c>
      <c r="BP30" s="506">
        <f t="shared" si="104"/>
        <v>0</v>
      </c>
      <c r="BQ30" s="300">
        <f t="shared" si="119"/>
        <v>0</v>
      </c>
      <c r="BR30" s="300">
        <f t="shared" si="120"/>
        <v>0</v>
      </c>
      <c r="BS30" s="297">
        <v>0</v>
      </c>
      <c r="BT30" s="297">
        <v>0</v>
      </c>
      <c r="BU30" s="297">
        <v>0</v>
      </c>
      <c r="BV30" s="297">
        <v>0</v>
      </c>
      <c r="BW30" s="506">
        <f t="shared" si="106"/>
        <v>0</v>
      </c>
      <c r="BX30" s="506">
        <f t="shared" si="107"/>
        <v>0</v>
      </c>
      <c r="BY30" s="506">
        <f t="shared" si="108"/>
        <v>0</v>
      </c>
      <c r="BZ30" s="297">
        <v>0</v>
      </c>
      <c r="CA30" s="297">
        <v>0</v>
      </c>
      <c r="CB30" s="297">
        <v>0</v>
      </c>
      <c r="CC30" s="297">
        <v>0</v>
      </c>
      <c r="CD30" s="506">
        <f t="shared" si="109"/>
        <v>0</v>
      </c>
      <c r="CE30" s="506">
        <f t="shared" si="110"/>
        <v>0</v>
      </c>
      <c r="CF30" s="506">
        <f t="shared" si="111"/>
        <v>0</v>
      </c>
      <c r="CG30" s="297">
        <v>0</v>
      </c>
      <c r="CH30" s="297">
        <v>0</v>
      </c>
      <c r="CI30" s="297">
        <v>0</v>
      </c>
      <c r="CJ30" s="297">
        <v>0</v>
      </c>
      <c r="CK30" s="506">
        <f t="shared" si="112"/>
        <v>0</v>
      </c>
      <c r="CL30" s="297"/>
      <c r="CM30" s="297"/>
      <c r="CN30" s="297">
        <v>0</v>
      </c>
      <c r="CO30" s="297"/>
    </row>
    <row r="31" spans="1:93" s="289" customFormat="1" x14ac:dyDescent="0.25">
      <c r="A31" s="277" t="str">
        <f>Language!C31</f>
        <v>Intangível</v>
      </c>
      <c r="B31" s="289">
        <v>940065</v>
      </c>
      <c r="C31" s="289">
        <v>935465</v>
      </c>
      <c r="D31" s="289">
        <v>935832</v>
      </c>
      <c r="E31" s="289">
        <f t="shared" ref="E31:O31" si="121">SUM(E32,E33,E34,E35,E36)</f>
        <v>948138</v>
      </c>
      <c r="F31" s="290">
        <f t="shared" si="121"/>
        <v>950645</v>
      </c>
      <c r="G31" s="289">
        <f t="shared" si="121"/>
        <v>953073</v>
      </c>
      <c r="H31" s="289">
        <f t="shared" si="121"/>
        <v>957644</v>
      </c>
      <c r="I31" s="289">
        <f t="shared" si="121"/>
        <v>976835</v>
      </c>
      <c r="J31" s="290">
        <f t="shared" si="121"/>
        <v>975796</v>
      </c>
      <c r="K31" s="289">
        <f t="shared" si="121"/>
        <v>975316</v>
      </c>
      <c r="L31" s="289">
        <f t="shared" si="121"/>
        <v>985351</v>
      </c>
      <c r="M31" s="289">
        <f t="shared" si="121"/>
        <v>1033423</v>
      </c>
      <c r="N31" s="290">
        <f t="shared" si="121"/>
        <v>1097394</v>
      </c>
      <c r="O31" s="289">
        <f t="shared" si="121"/>
        <v>1277201</v>
      </c>
      <c r="P31" s="289">
        <f>SUM(P32,P33,P34,P35,P36)</f>
        <v>1446685</v>
      </c>
      <c r="Q31" s="289">
        <f t="shared" ref="Q31" si="122">SUM(Q32,Q33,Q34,Q35,Q36)</f>
        <v>1731939</v>
      </c>
      <c r="R31" s="292">
        <v>2338755</v>
      </c>
      <c r="S31" s="292">
        <v>2553736</v>
      </c>
      <c r="T31" s="292">
        <v>2609159</v>
      </c>
      <c r="U31" s="292">
        <v>2738463</v>
      </c>
      <c r="V31" s="292">
        <v>2553736</v>
      </c>
      <c r="W31" s="292">
        <v>2609159</v>
      </c>
      <c r="X31" s="292">
        <v>2738463</v>
      </c>
      <c r="Y31" s="292">
        <f>SUM(Y32:Y36)</f>
        <v>3214958</v>
      </c>
      <c r="Z31" s="292">
        <f t="shared" si="33"/>
        <v>3249527</v>
      </c>
      <c r="AA31" s="292">
        <f t="shared" si="34"/>
        <v>3236063</v>
      </c>
      <c r="AB31" s="292">
        <f t="shared" si="35"/>
        <v>3205510</v>
      </c>
      <c r="AC31" s="292">
        <f>SUM(AC32:AC36)</f>
        <v>3249527</v>
      </c>
      <c r="AD31" s="292">
        <f>SUM(AD32:AD36)</f>
        <v>3236063</v>
      </c>
      <c r="AE31" s="292">
        <f>SUM(AE32:AE36)</f>
        <v>3205510</v>
      </c>
      <c r="AF31" s="292">
        <f>SUM(AF32:AF36)</f>
        <v>3150363</v>
      </c>
      <c r="AG31" s="292">
        <f t="shared" si="39"/>
        <v>3076345</v>
      </c>
      <c r="AH31" s="292">
        <f t="shared" si="6"/>
        <v>3108253</v>
      </c>
      <c r="AI31" s="292">
        <f t="shared" si="7"/>
        <v>3111288</v>
      </c>
      <c r="AJ31" s="292">
        <f>SUM(AJ32:AJ36)</f>
        <v>3076345</v>
      </c>
      <c r="AK31" s="687">
        <v>3108253</v>
      </c>
      <c r="AL31" s="687">
        <v>3111288</v>
      </c>
      <c r="AM31" s="688">
        <v>3085698</v>
      </c>
      <c r="AN31" s="292">
        <f t="shared" si="42"/>
        <v>3071562</v>
      </c>
      <c r="AO31" s="292">
        <f t="shared" si="42"/>
        <v>3157553</v>
      </c>
      <c r="AP31" s="292">
        <f t="shared" si="42"/>
        <v>2995332</v>
      </c>
      <c r="AQ31" s="292">
        <f>SUM(AQ32:AQ36)</f>
        <v>3071562</v>
      </c>
      <c r="AR31" s="292">
        <f>SUM(AR32:AR36)</f>
        <v>3157553</v>
      </c>
      <c r="AS31" s="687">
        <f>SUM(AS32:AS36)</f>
        <v>2995332</v>
      </c>
      <c r="AT31" s="688">
        <f>SUM(AT32:AT36)</f>
        <v>2967754</v>
      </c>
      <c r="AU31" s="688">
        <f>AX31</f>
        <v>2915185</v>
      </c>
      <c r="AV31" s="688">
        <f>SUM(AV32:AV36)</f>
        <v>2809895</v>
      </c>
      <c r="AW31" s="688">
        <f t="shared" si="46"/>
        <v>2747473</v>
      </c>
      <c r="AX31" s="688">
        <v>2915185</v>
      </c>
      <c r="AY31" s="688">
        <f>SUM(AY32:AY36)</f>
        <v>2809895</v>
      </c>
      <c r="AZ31" s="688">
        <v>2747473</v>
      </c>
      <c r="BA31" s="688">
        <v>2690971</v>
      </c>
      <c r="BB31" s="688">
        <f>BE31</f>
        <v>2644072</v>
      </c>
      <c r="BC31" s="688">
        <f>BF31</f>
        <v>2576342</v>
      </c>
      <c r="BD31" s="688">
        <f t="shared" si="70"/>
        <v>2436877</v>
      </c>
      <c r="BE31" s="688">
        <v>2644072</v>
      </c>
      <c r="BF31" s="688">
        <v>2576342</v>
      </c>
      <c r="BG31" s="688">
        <v>2436877</v>
      </c>
      <c r="BH31" s="688">
        <v>2363536</v>
      </c>
      <c r="BI31" s="688">
        <f t="shared" ref="BI31:BK32" si="123">BL31</f>
        <v>2287354</v>
      </c>
      <c r="BJ31" s="688">
        <f t="shared" si="123"/>
        <v>2280277</v>
      </c>
      <c r="BK31" s="688">
        <f t="shared" si="123"/>
        <v>2236084</v>
      </c>
      <c r="BL31" s="688">
        <v>2287354</v>
      </c>
      <c r="BM31" s="688">
        <v>2280277</v>
      </c>
      <c r="BN31" s="688">
        <v>2236084</v>
      </c>
      <c r="BO31" s="688">
        <v>2219118</v>
      </c>
      <c r="BP31" s="688">
        <f t="shared" si="104"/>
        <v>913885</v>
      </c>
      <c r="BQ31" s="688">
        <f>BT31</f>
        <v>899935</v>
      </c>
      <c r="BR31" s="688">
        <f>BU31</f>
        <v>915308</v>
      </c>
      <c r="BS31" s="688">
        <v>913885</v>
      </c>
      <c r="BT31" s="688">
        <v>899935</v>
      </c>
      <c r="BU31" s="688">
        <v>915308</v>
      </c>
      <c r="BV31" s="688">
        <v>912421</v>
      </c>
      <c r="BW31" s="688">
        <f>BZ31</f>
        <v>913409</v>
      </c>
      <c r="BX31" s="688">
        <f>CA31</f>
        <v>990240</v>
      </c>
      <c r="BY31" s="688">
        <f>CB31</f>
        <v>985736</v>
      </c>
      <c r="BZ31" s="688">
        <v>913409</v>
      </c>
      <c r="CA31" s="688">
        <v>990240</v>
      </c>
      <c r="CB31" s="688">
        <v>985736</v>
      </c>
      <c r="CC31" s="688">
        <v>969198</v>
      </c>
      <c r="CD31" s="688">
        <f>CG31</f>
        <v>985329</v>
      </c>
      <c r="CE31" s="688">
        <f>CH31</f>
        <v>44819</v>
      </c>
      <c r="CF31" s="688">
        <f>CI31</f>
        <v>43695</v>
      </c>
      <c r="CG31" s="688">
        <v>985329</v>
      </c>
      <c r="CH31" s="688">
        <v>44819</v>
      </c>
      <c r="CI31" s="688">
        <v>43695</v>
      </c>
      <c r="CJ31" s="688">
        <v>42528</v>
      </c>
      <c r="CK31" s="506">
        <f t="shared" si="112"/>
        <v>41361</v>
      </c>
      <c r="CL31" s="688"/>
      <c r="CM31" s="688"/>
      <c r="CN31" s="688">
        <v>41361</v>
      </c>
      <c r="CO31" s="688"/>
    </row>
    <row r="32" spans="1:93" s="424" customFormat="1" ht="13" x14ac:dyDescent="0.3">
      <c r="A32" s="295" t="str">
        <f>Language!C32</f>
        <v>Concepa</v>
      </c>
      <c r="B32" s="296">
        <v>0</v>
      </c>
      <c r="C32" s="296">
        <v>0</v>
      </c>
      <c r="D32" s="296">
        <v>0</v>
      </c>
      <c r="E32" s="296">
        <v>310643</v>
      </c>
      <c r="F32" s="297">
        <v>313793</v>
      </c>
      <c r="G32" s="296">
        <v>312169</v>
      </c>
      <c r="H32" s="296">
        <v>314564</v>
      </c>
      <c r="I32" s="296">
        <v>317552</v>
      </c>
      <c r="J32" s="297">
        <v>312884</v>
      </c>
      <c r="K32" s="296">
        <v>306738</v>
      </c>
      <c r="L32" s="296">
        <v>293638</v>
      </c>
      <c r="M32" s="296">
        <v>288388</v>
      </c>
      <c r="N32" s="297">
        <v>280575</v>
      </c>
      <c r="O32" s="296">
        <v>274582</v>
      </c>
      <c r="P32" s="296">
        <v>264303</v>
      </c>
      <c r="Q32" s="296">
        <v>247038</v>
      </c>
      <c r="R32" s="297">
        <v>240715</v>
      </c>
      <c r="S32" s="298">
        <v>223934</v>
      </c>
      <c r="T32" s="298">
        <v>201058</v>
      </c>
      <c r="U32" s="298">
        <v>164252</v>
      </c>
      <c r="V32" s="298">
        <v>223934</v>
      </c>
      <c r="W32" s="298">
        <v>201058</v>
      </c>
      <c r="X32" s="299">
        <v>164252</v>
      </c>
      <c r="Y32" s="300">
        <v>155687</v>
      </c>
      <c r="Z32" s="298">
        <f t="shared" si="33"/>
        <v>139164</v>
      </c>
      <c r="AA32" s="298">
        <f t="shared" si="34"/>
        <v>108325</v>
      </c>
      <c r="AB32" s="298">
        <f t="shared" si="35"/>
        <v>73258</v>
      </c>
      <c r="AC32" s="298">
        <v>139164</v>
      </c>
      <c r="AD32" s="298">
        <v>108325</v>
      </c>
      <c r="AE32" s="299">
        <v>73258</v>
      </c>
      <c r="AF32" s="298">
        <v>32537</v>
      </c>
      <c r="AG32" s="298">
        <f t="shared" si="39"/>
        <v>19</v>
      </c>
      <c r="AH32" s="298">
        <f t="shared" si="6"/>
        <v>19</v>
      </c>
      <c r="AI32" s="298"/>
      <c r="AJ32" s="298">
        <v>19</v>
      </c>
      <c r="AK32" s="298">
        <v>19</v>
      </c>
      <c r="AL32" s="298"/>
      <c r="AM32" s="300"/>
      <c r="AN32" s="298"/>
      <c r="AO32" s="298"/>
      <c r="AP32" s="298"/>
      <c r="AQ32" s="298"/>
      <c r="AR32" s="298"/>
      <c r="AS32" s="298"/>
      <c r="AT32" s="300"/>
      <c r="AU32" s="300"/>
      <c r="AV32" s="300">
        <f>AY32</f>
        <v>0</v>
      </c>
      <c r="AW32" s="300">
        <f t="shared" si="46"/>
        <v>0</v>
      </c>
      <c r="AX32" s="300"/>
      <c r="AY32" s="300"/>
      <c r="AZ32" s="731">
        <v>0</v>
      </c>
      <c r="BA32" s="731">
        <v>0</v>
      </c>
      <c r="BB32" s="731">
        <f>BE32</f>
        <v>0</v>
      </c>
      <c r="BC32" s="731">
        <f>BF32</f>
        <v>0</v>
      </c>
      <c r="BD32" s="283">
        <f t="shared" si="70"/>
        <v>0</v>
      </c>
      <c r="BE32" s="731">
        <v>0</v>
      </c>
      <c r="BF32" s="731">
        <v>0</v>
      </c>
      <c r="BG32" s="731">
        <v>0</v>
      </c>
      <c r="BH32" s="731">
        <v>0</v>
      </c>
      <c r="BI32" s="300">
        <f t="shared" si="123"/>
        <v>0</v>
      </c>
      <c r="BJ32" s="300">
        <f t="shared" si="123"/>
        <v>0</v>
      </c>
      <c r="BK32" s="785">
        <f t="shared" si="123"/>
        <v>0</v>
      </c>
      <c r="BL32" s="731">
        <v>0</v>
      </c>
      <c r="BM32" s="731">
        <v>0</v>
      </c>
      <c r="BN32" s="731">
        <v>0</v>
      </c>
      <c r="BO32" s="731">
        <v>0</v>
      </c>
      <c r="BP32" s="506">
        <f t="shared" si="104"/>
        <v>0</v>
      </c>
      <c r="BQ32" s="731">
        <f>BT32</f>
        <v>0</v>
      </c>
      <c r="BR32" s="764">
        <f>BU32</f>
        <v>0</v>
      </c>
      <c r="BS32" s="731">
        <v>0</v>
      </c>
      <c r="BT32" s="731">
        <v>0</v>
      </c>
      <c r="BU32" s="731"/>
      <c r="BV32" s="731"/>
      <c r="BW32" s="731"/>
      <c r="BX32" s="731"/>
      <c r="BY32" s="731"/>
      <c r="BZ32" s="731"/>
      <c r="CA32" s="731"/>
      <c r="CB32" s="731"/>
      <c r="CC32" s="731"/>
      <c r="CD32" s="731"/>
      <c r="CE32" s="731"/>
      <c r="CF32" s="731"/>
      <c r="CG32" s="731"/>
      <c r="CH32" s="731"/>
      <c r="CI32" s="731"/>
      <c r="CJ32" s="731"/>
      <c r="CK32" s="506">
        <f t="shared" si="112"/>
        <v>0</v>
      </c>
      <c r="CL32" s="731"/>
      <c r="CM32" s="731"/>
      <c r="CN32" s="731"/>
      <c r="CO32" s="731"/>
    </row>
    <row r="33" spans="1:93" s="424" customFormat="1" ht="13" x14ac:dyDescent="0.3">
      <c r="A33" s="295" t="str">
        <f>Language!C33</f>
        <v>Concer</v>
      </c>
      <c r="B33" s="296">
        <v>0</v>
      </c>
      <c r="C33" s="296">
        <v>0</v>
      </c>
      <c r="D33" s="296">
        <v>0</v>
      </c>
      <c r="E33" s="296">
        <v>402368</v>
      </c>
      <c r="F33" s="297">
        <v>401188</v>
      </c>
      <c r="G33" s="296">
        <v>398498</v>
      </c>
      <c r="H33" s="296">
        <v>397376</v>
      </c>
      <c r="I33" s="296">
        <v>402164</v>
      </c>
      <c r="J33" s="297">
        <v>403656</v>
      </c>
      <c r="K33" s="296">
        <v>405260</v>
      </c>
      <c r="L33" s="296">
        <v>418422</v>
      </c>
      <c r="M33" s="296">
        <v>445276</v>
      </c>
      <c r="N33" s="297">
        <v>466655</v>
      </c>
      <c r="O33" s="296">
        <v>470996</v>
      </c>
      <c r="P33" s="296">
        <v>446530</v>
      </c>
      <c r="Q33" s="296">
        <v>485574</v>
      </c>
      <c r="R33" s="297">
        <v>485265</v>
      </c>
      <c r="S33" s="298">
        <v>491215</v>
      </c>
      <c r="T33" s="298">
        <v>493662</v>
      </c>
      <c r="U33" s="298">
        <v>509969</v>
      </c>
      <c r="V33" s="298">
        <v>491215</v>
      </c>
      <c r="W33" s="298">
        <v>493662</v>
      </c>
      <c r="X33" s="299">
        <v>509969</v>
      </c>
      <c r="Y33" s="300">
        <v>822844</v>
      </c>
      <c r="Z33" s="298">
        <f t="shared" si="33"/>
        <v>831885</v>
      </c>
      <c r="AA33" s="298">
        <f t="shared" si="34"/>
        <v>824318</v>
      </c>
      <c r="AB33" s="298">
        <f t="shared" si="35"/>
        <v>831985</v>
      </c>
      <c r="AC33" s="298">
        <v>831885</v>
      </c>
      <c r="AD33" s="298">
        <v>824318</v>
      </c>
      <c r="AE33" s="299">
        <v>831985</v>
      </c>
      <c r="AF33" s="298">
        <v>818796</v>
      </c>
      <c r="AG33" s="298">
        <f t="shared" si="39"/>
        <v>841982</v>
      </c>
      <c r="AH33" s="298">
        <f t="shared" si="6"/>
        <v>826092</v>
      </c>
      <c r="AI33" s="298">
        <f t="shared" si="7"/>
        <v>809573</v>
      </c>
      <c r="AJ33" s="298">
        <v>841982</v>
      </c>
      <c r="AK33" s="298">
        <v>826092</v>
      </c>
      <c r="AL33" s="298">
        <v>809573</v>
      </c>
      <c r="AM33" s="300">
        <v>790859</v>
      </c>
      <c r="AN33" s="298">
        <f t="shared" si="42"/>
        <v>772914</v>
      </c>
      <c r="AO33" s="298">
        <f t="shared" si="42"/>
        <v>847226</v>
      </c>
      <c r="AP33" s="298">
        <f t="shared" si="42"/>
        <v>841733</v>
      </c>
      <c r="AQ33" s="298">
        <v>772914</v>
      </c>
      <c r="AR33" s="298">
        <v>847226</v>
      </c>
      <c r="AS33" s="298">
        <v>841733</v>
      </c>
      <c r="AT33" s="300">
        <v>836364</v>
      </c>
      <c r="AU33" s="300">
        <f>AX33</f>
        <v>806255</v>
      </c>
      <c r="AV33" s="300">
        <f t="shared" ref="AV33:AV36" si="124">AY33</f>
        <v>752226</v>
      </c>
      <c r="AW33" s="300">
        <f t="shared" si="46"/>
        <v>679808</v>
      </c>
      <c r="AX33" s="300">
        <v>806255</v>
      </c>
      <c r="AY33" s="300">
        <v>752226</v>
      </c>
      <c r="AZ33" s="300">
        <v>679808</v>
      </c>
      <c r="BA33" s="300">
        <v>632127</v>
      </c>
      <c r="BB33" s="300">
        <f t="shared" ref="BB33:BB36" si="125">BE33</f>
        <v>595423</v>
      </c>
      <c r="BC33" s="764">
        <f t="shared" ref="BC33:BC36" si="126">BF33</f>
        <v>539618</v>
      </c>
      <c r="BD33" s="283">
        <f t="shared" si="70"/>
        <v>475123</v>
      </c>
      <c r="BE33" s="300">
        <v>595423</v>
      </c>
      <c r="BF33" s="300">
        <v>539618</v>
      </c>
      <c r="BG33" s="300">
        <v>475123</v>
      </c>
      <c r="BH33" s="300">
        <v>411923</v>
      </c>
      <c r="BI33" s="300">
        <f t="shared" ref="BI33:BI36" si="127">BL33</f>
        <v>361004</v>
      </c>
      <c r="BJ33" s="300">
        <f t="shared" ref="BJ33:BJ36" si="128">BM33</f>
        <v>386349</v>
      </c>
      <c r="BK33" s="785">
        <f t="shared" ref="BK33:BK36" si="129">BN33</f>
        <v>366710</v>
      </c>
      <c r="BL33" s="300">
        <v>361004</v>
      </c>
      <c r="BM33" s="300">
        <v>386349</v>
      </c>
      <c r="BN33" s="785">
        <v>366710</v>
      </c>
      <c r="BO33" s="785">
        <v>345401</v>
      </c>
      <c r="BP33" s="506">
        <f t="shared" si="104"/>
        <v>323703</v>
      </c>
      <c r="BQ33" s="785">
        <f t="shared" ref="BQ33:BQ36" si="130">BT33</f>
        <v>301377</v>
      </c>
      <c r="BR33" s="764">
        <f t="shared" ref="BR33:BR36" si="131">BU33</f>
        <v>278549</v>
      </c>
      <c r="BS33" s="785">
        <v>323703</v>
      </c>
      <c r="BT33" s="785">
        <v>301377</v>
      </c>
      <c r="BU33" s="785">
        <v>278549</v>
      </c>
      <c r="BV33" s="785">
        <v>261218</v>
      </c>
      <c r="BW33" s="785">
        <f>BZ33</f>
        <v>245388</v>
      </c>
      <c r="BX33" s="785">
        <f>CA33</f>
        <v>225095</v>
      </c>
      <c r="BY33" s="785">
        <f>CB33</f>
        <v>204137</v>
      </c>
      <c r="BZ33" s="785">
        <v>245388</v>
      </c>
      <c r="CA33" s="785">
        <v>225095</v>
      </c>
      <c r="CB33" s="785">
        <v>204137</v>
      </c>
      <c r="CC33" s="785">
        <v>185161</v>
      </c>
      <c r="CD33" s="785">
        <f>CG33</f>
        <v>169398</v>
      </c>
      <c r="CE33" s="785">
        <f>CH33</f>
        <v>149202</v>
      </c>
      <c r="CF33" s="785">
        <f>CI33</f>
        <v>127301</v>
      </c>
      <c r="CG33" s="785">
        <v>169398</v>
      </c>
      <c r="CH33" s="785">
        <v>149202</v>
      </c>
      <c r="CI33" s="785">
        <v>127301</v>
      </c>
      <c r="CJ33" s="785">
        <v>103460</v>
      </c>
      <c r="CK33" s="506">
        <f t="shared" si="112"/>
        <v>49104</v>
      </c>
      <c r="CL33" s="785"/>
      <c r="CM33" s="785"/>
      <c r="CN33" s="785">
        <v>49104</v>
      </c>
      <c r="CO33" s="785"/>
    </row>
    <row r="34" spans="1:93" s="424" customFormat="1" ht="13" x14ac:dyDescent="0.3">
      <c r="A34" s="295" t="str">
        <f>Language!C34</f>
        <v>Econorte</v>
      </c>
      <c r="B34" s="296">
        <v>0</v>
      </c>
      <c r="C34" s="296">
        <v>0</v>
      </c>
      <c r="D34" s="296">
        <v>0</v>
      </c>
      <c r="E34" s="296">
        <v>235127</v>
      </c>
      <c r="F34" s="297">
        <v>235664</v>
      </c>
      <c r="G34" s="296">
        <v>242406</v>
      </c>
      <c r="H34" s="296">
        <v>245704</v>
      </c>
      <c r="I34" s="296">
        <v>257119</v>
      </c>
      <c r="J34" s="297">
        <v>259256</v>
      </c>
      <c r="K34" s="296">
        <v>263318</v>
      </c>
      <c r="L34" s="296">
        <v>273291</v>
      </c>
      <c r="M34" s="296">
        <v>299759</v>
      </c>
      <c r="N34" s="297">
        <v>318700</v>
      </c>
      <c r="O34" s="296">
        <v>334889</v>
      </c>
      <c r="P34" s="296">
        <v>350120</v>
      </c>
      <c r="Q34" s="296">
        <v>356016</v>
      </c>
      <c r="R34" s="297">
        <v>348585</v>
      </c>
      <c r="S34" s="298">
        <v>345834</v>
      </c>
      <c r="T34" s="298">
        <v>344056</v>
      </c>
      <c r="U34" s="298">
        <v>345523</v>
      </c>
      <c r="V34" s="298">
        <v>345834</v>
      </c>
      <c r="W34" s="298">
        <v>344056</v>
      </c>
      <c r="X34" s="299">
        <v>345523</v>
      </c>
      <c r="Y34" s="300">
        <v>337924</v>
      </c>
      <c r="Z34" s="298">
        <f t="shared" si="33"/>
        <v>331043</v>
      </c>
      <c r="AA34" s="298">
        <f t="shared" si="34"/>
        <v>328591</v>
      </c>
      <c r="AB34" s="298">
        <f t="shared" si="35"/>
        <v>324270</v>
      </c>
      <c r="AC34" s="298">
        <v>331043</v>
      </c>
      <c r="AD34" s="298">
        <v>328591</v>
      </c>
      <c r="AE34" s="299">
        <v>324270</v>
      </c>
      <c r="AF34" s="298">
        <v>316176</v>
      </c>
      <c r="AG34" s="298">
        <f t="shared" si="39"/>
        <v>310774</v>
      </c>
      <c r="AH34" s="298">
        <f t="shared" si="6"/>
        <v>314932</v>
      </c>
      <c r="AI34" s="298">
        <f t="shared" si="7"/>
        <v>314494</v>
      </c>
      <c r="AJ34" s="298">
        <v>310774</v>
      </c>
      <c r="AK34" s="298">
        <v>314932</v>
      </c>
      <c r="AL34" s="298">
        <v>314494</v>
      </c>
      <c r="AM34" s="300">
        <v>296709</v>
      </c>
      <c r="AN34" s="298">
        <f t="shared" si="42"/>
        <v>278799</v>
      </c>
      <c r="AO34" s="298">
        <f t="shared" si="42"/>
        <v>266722</v>
      </c>
      <c r="AP34" s="298">
        <f t="shared" si="42"/>
        <v>52473</v>
      </c>
      <c r="AQ34" s="298">
        <v>278799</v>
      </c>
      <c r="AR34" s="298">
        <v>266722</v>
      </c>
      <c r="AS34" s="298">
        <v>52473</v>
      </c>
      <c r="AT34" s="300">
        <v>61739</v>
      </c>
      <c r="AU34" s="300">
        <f t="shared" ref="AU34:AU36" si="132">AX34</f>
        <v>62510</v>
      </c>
      <c r="AV34" s="300">
        <f t="shared" si="124"/>
        <v>65914</v>
      </c>
      <c r="AW34" s="300">
        <f t="shared" si="46"/>
        <v>78425</v>
      </c>
      <c r="AX34" s="300">
        <v>62510</v>
      </c>
      <c r="AY34" s="300">
        <v>65914</v>
      </c>
      <c r="AZ34" s="300">
        <v>78425</v>
      </c>
      <c r="BA34" s="300">
        <v>82664</v>
      </c>
      <c r="BB34" s="300">
        <f t="shared" si="125"/>
        <v>82629</v>
      </c>
      <c r="BC34" s="764">
        <f t="shared" si="126"/>
        <v>76661</v>
      </c>
      <c r="BD34" s="283">
        <f t="shared" si="70"/>
        <v>73245</v>
      </c>
      <c r="BE34" s="300">
        <v>82629</v>
      </c>
      <c r="BF34" s="300">
        <v>76661</v>
      </c>
      <c r="BG34" s="300">
        <v>73245</v>
      </c>
      <c r="BH34" s="300">
        <v>71212</v>
      </c>
      <c r="BI34" s="300">
        <f t="shared" si="127"/>
        <v>58408</v>
      </c>
      <c r="BJ34" s="300">
        <f t="shared" si="128"/>
        <v>28736</v>
      </c>
      <c r="BK34" s="785">
        <f t="shared" si="129"/>
        <v>0</v>
      </c>
      <c r="BL34" s="300">
        <v>58408</v>
      </c>
      <c r="BM34" s="300">
        <v>28736</v>
      </c>
      <c r="BN34" s="785">
        <v>0</v>
      </c>
      <c r="BO34" s="785">
        <v>6</v>
      </c>
      <c r="BP34" s="506">
        <f t="shared" si="104"/>
        <v>97</v>
      </c>
      <c r="BQ34" s="785">
        <f t="shared" si="130"/>
        <v>0</v>
      </c>
      <c r="BR34" s="764">
        <f t="shared" si="131"/>
        <v>0</v>
      </c>
      <c r="BS34" s="785">
        <v>97</v>
      </c>
      <c r="BT34" s="785">
        <v>0</v>
      </c>
      <c r="BU34" s="785">
        <v>0</v>
      </c>
      <c r="BV34" s="785">
        <v>0</v>
      </c>
      <c r="BW34" s="785">
        <f t="shared" ref="BW34:BW36" si="133">BZ34</f>
        <v>0</v>
      </c>
      <c r="BX34" s="785">
        <f t="shared" ref="BX34:BX36" si="134">CA34</f>
        <v>0</v>
      </c>
      <c r="BY34" s="785">
        <f t="shared" ref="BY34:BY36" si="135">CB34</f>
        <v>0</v>
      </c>
      <c r="BZ34" s="785">
        <v>0</v>
      </c>
      <c r="CA34" s="785">
        <v>0</v>
      </c>
      <c r="CB34" s="785">
        <v>0</v>
      </c>
      <c r="CC34" s="785">
        <v>0</v>
      </c>
      <c r="CD34" s="785">
        <f t="shared" ref="CD34:CD36" si="136">CG34</f>
        <v>0</v>
      </c>
      <c r="CE34" s="785">
        <f t="shared" ref="CE34:CE36" si="137">CH34</f>
        <v>0</v>
      </c>
      <c r="CF34" s="785">
        <f t="shared" ref="CF34:CF36" si="138">CI34</f>
        <v>0</v>
      </c>
      <c r="CG34" s="785">
        <v>0</v>
      </c>
      <c r="CH34" s="785">
        <v>0</v>
      </c>
      <c r="CI34" s="785">
        <v>0</v>
      </c>
      <c r="CJ34" s="785">
        <v>3</v>
      </c>
      <c r="CK34" s="506">
        <f t="shared" si="112"/>
        <v>0</v>
      </c>
      <c r="CL34" s="785"/>
      <c r="CM34" s="785"/>
      <c r="CN34" s="785">
        <v>0</v>
      </c>
      <c r="CO34" s="785"/>
    </row>
    <row r="35" spans="1:93" s="424" customFormat="1" ht="13" x14ac:dyDescent="0.3">
      <c r="A35" s="295" t="str">
        <f>Language!C35</f>
        <v>Concebra</v>
      </c>
      <c r="B35" s="296">
        <v>0</v>
      </c>
      <c r="C35" s="296">
        <v>0</v>
      </c>
      <c r="D35" s="296">
        <v>0</v>
      </c>
      <c r="E35" s="296">
        <v>0</v>
      </c>
      <c r="F35" s="297">
        <v>0</v>
      </c>
      <c r="G35" s="296">
        <v>0</v>
      </c>
      <c r="H35" s="296">
        <v>0</v>
      </c>
      <c r="I35" s="296">
        <v>0</v>
      </c>
      <c r="J35" s="297">
        <v>0</v>
      </c>
      <c r="K35" s="296">
        <v>0</v>
      </c>
      <c r="L35" s="296">
        <v>0</v>
      </c>
      <c r="M35" s="296">
        <v>0</v>
      </c>
      <c r="N35" s="297">
        <v>31464</v>
      </c>
      <c r="O35" s="296">
        <v>196734</v>
      </c>
      <c r="P35" s="296">
        <v>385732</v>
      </c>
      <c r="Q35" s="296">
        <v>643311</v>
      </c>
      <c r="R35" s="297">
        <v>809593</v>
      </c>
      <c r="S35" s="298">
        <v>1094150</v>
      </c>
      <c r="T35" s="298">
        <v>1158093</v>
      </c>
      <c r="U35" s="298">
        <v>1268786</v>
      </c>
      <c r="V35" s="298">
        <v>1094150</v>
      </c>
      <c r="W35" s="298">
        <v>1158093</v>
      </c>
      <c r="X35" s="299">
        <v>1268786</v>
      </c>
      <c r="Y35" s="693">
        <v>1372316</v>
      </c>
      <c r="Z35" s="298">
        <f t="shared" si="33"/>
        <v>1409619</v>
      </c>
      <c r="AA35" s="298">
        <f t="shared" si="34"/>
        <v>1434265</v>
      </c>
      <c r="AB35" s="298">
        <f t="shared" si="35"/>
        <v>1436005</v>
      </c>
      <c r="AC35" s="298">
        <v>1409619</v>
      </c>
      <c r="AD35" s="298">
        <v>1434265</v>
      </c>
      <c r="AE35" s="299">
        <v>1436005</v>
      </c>
      <c r="AF35" s="298">
        <v>1442994</v>
      </c>
      <c r="AG35" s="298">
        <f t="shared" si="39"/>
        <v>1452192</v>
      </c>
      <c r="AH35" s="298">
        <f t="shared" si="6"/>
        <v>1473239</v>
      </c>
      <c r="AI35" s="298">
        <f t="shared" si="7"/>
        <v>1489782</v>
      </c>
      <c r="AJ35" s="298">
        <v>1452192</v>
      </c>
      <c r="AK35" s="298">
        <v>1473239</v>
      </c>
      <c r="AL35" s="298">
        <v>1489782</v>
      </c>
      <c r="AM35" s="300">
        <v>1496748</v>
      </c>
      <c r="AN35" s="298">
        <f t="shared" si="42"/>
        <v>1507566</v>
      </c>
      <c r="AO35" s="298">
        <f t="shared" si="42"/>
        <v>1524433</v>
      </c>
      <c r="AP35" s="298">
        <f t="shared" si="42"/>
        <v>1519761</v>
      </c>
      <c r="AQ35" s="298">
        <v>1507566</v>
      </c>
      <c r="AR35" s="298">
        <v>1524433</v>
      </c>
      <c r="AS35" s="298">
        <v>1519761</v>
      </c>
      <c r="AT35" s="300">
        <v>1540965</v>
      </c>
      <c r="AU35" s="300">
        <f t="shared" si="132"/>
        <v>1513341</v>
      </c>
      <c r="AV35" s="300">
        <f t="shared" si="124"/>
        <v>1461251</v>
      </c>
      <c r="AW35" s="300">
        <f t="shared" si="46"/>
        <v>1469569</v>
      </c>
      <c r="AX35" s="300">
        <v>1513341</v>
      </c>
      <c r="AY35" s="300">
        <v>1461251</v>
      </c>
      <c r="AZ35" s="300">
        <v>1469569</v>
      </c>
      <c r="BA35" s="300">
        <v>1459325</v>
      </c>
      <c r="BB35" s="300">
        <f t="shared" si="125"/>
        <v>1453826</v>
      </c>
      <c r="BC35" s="764">
        <f t="shared" si="126"/>
        <v>1450846</v>
      </c>
      <c r="BD35" s="283">
        <f t="shared" si="70"/>
        <v>1380551</v>
      </c>
      <c r="BE35" s="300">
        <v>1453826</v>
      </c>
      <c r="BF35" s="300">
        <v>1450846</v>
      </c>
      <c r="BG35" s="300">
        <v>1380551</v>
      </c>
      <c r="BH35" s="300">
        <v>1374711</v>
      </c>
      <c r="BI35" s="300">
        <f t="shared" si="127"/>
        <v>1365157</v>
      </c>
      <c r="BJ35" s="300">
        <f t="shared" si="128"/>
        <v>1355140</v>
      </c>
      <c r="BK35" s="785">
        <f t="shared" si="129"/>
        <v>1349070</v>
      </c>
      <c r="BL35" s="300">
        <v>1365157</v>
      </c>
      <c r="BM35" s="300">
        <v>1355140</v>
      </c>
      <c r="BN35" s="785">
        <v>1349070</v>
      </c>
      <c r="BO35" s="785">
        <v>1345581</v>
      </c>
      <c r="BP35" s="506">
        <f t="shared" si="104"/>
        <v>50386</v>
      </c>
      <c r="BQ35" s="785">
        <f t="shared" si="130"/>
        <v>41959</v>
      </c>
      <c r="BR35" s="764">
        <f t="shared" si="131"/>
        <v>41370</v>
      </c>
      <c r="BS35" s="785">
        <v>50386</v>
      </c>
      <c r="BT35" s="785">
        <v>41959</v>
      </c>
      <c r="BU35" s="785">
        <v>41370</v>
      </c>
      <c r="BV35" s="785">
        <v>48530</v>
      </c>
      <c r="BW35" s="785">
        <f t="shared" si="133"/>
        <v>53382</v>
      </c>
      <c r="BX35" s="785">
        <f t="shared" si="134"/>
        <v>139176</v>
      </c>
      <c r="BY35" s="785">
        <f t="shared" si="135"/>
        <v>153177</v>
      </c>
      <c r="BZ35" s="785">
        <v>53382</v>
      </c>
      <c r="CA35" s="785">
        <v>139176</v>
      </c>
      <c r="CB35" s="785">
        <v>153177</v>
      </c>
      <c r="CC35" s="785">
        <v>153728</v>
      </c>
      <c r="CD35" s="785">
        <f t="shared" si="136"/>
        <v>196407</v>
      </c>
      <c r="CE35" s="785">
        <f t="shared" si="137"/>
        <v>211351</v>
      </c>
      <c r="CF35" s="785">
        <f t="shared" si="138"/>
        <v>40601</v>
      </c>
      <c r="CG35" s="785">
        <v>196407</v>
      </c>
      <c r="CH35" s="785">
        <v>211351</v>
      </c>
      <c r="CI35" s="785">
        <v>40601</v>
      </c>
      <c r="CJ35" s="785">
        <v>40169</v>
      </c>
      <c r="CK35" s="506">
        <f t="shared" si="112"/>
        <v>39729</v>
      </c>
      <c r="CL35" s="785"/>
      <c r="CM35" s="785"/>
      <c r="CN35" s="785">
        <v>39729</v>
      </c>
      <c r="CO35" s="785"/>
    </row>
    <row r="36" spans="1:93" s="424" customFormat="1" ht="13" x14ac:dyDescent="0.3">
      <c r="A36" s="295" t="str">
        <f>Language!C36</f>
        <v>Transbrasiliana</v>
      </c>
      <c r="B36" s="296">
        <v>0</v>
      </c>
      <c r="C36" s="296">
        <v>0</v>
      </c>
      <c r="D36" s="296">
        <v>0</v>
      </c>
      <c r="E36" s="296">
        <v>0</v>
      </c>
      <c r="F36" s="297">
        <v>0</v>
      </c>
      <c r="G36" s="296">
        <v>0</v>
      </c>
      <c r="H36" s="296">
        <v>0</v>
      </c>
      <c r="I36" s="296">
        <v>0</v>
      </c>
      <c r="J36" s="297">
        <v>0</v>
      </c>
      <c r="K36" s="296">
        <v>0</v>
      </c>
      <c r="L36" s="296">
        <v>0</v>
      </c>
      <c r="M36" s="296">
        <v>0</v>
      </c>
      <c r="N36" s="297">
        <v>0</v>
      </c>
      <c r="O36" s="296">
        <v>0</v>
      </c>
      <c r="P36" s="296">
        <v>0</v>
      </c>
      <c r="Q36" s="296">
        <v>0</v>
      </c>
      <c r="R36" s="297">
        <v>454597</v>
      </c>
      <c r="S36" s="298">
        <v>398603</v>
      </c>
      <c r="T36" s="298">
        <v>412290</v>
      </c>
      <c r="U36" s="298">
        <v>449933</v>
      </c>
      <c r="V36" s="298">
        <v>398603</v>
      </c>
      <c r="W36" s="298">
        <v>412290</v>
      </c>
      <c r="X36" s="299">
        <v>449933</v>
      </c>
      <c r="Y36" s="300">
        <v>526187</v>
      </c>
      <c r="Z36" s="298">
        <f t="shared" si="33"/>
        <v>537816</v>
      </c>
      <c r="AA36" s="298">
        <f t="shared" si="34"/>
        <v>540564</v>
      </c>
      <c r="AB36" s="298">
        <f t="shared" si="35"/>
        <v>539992</v>
      </c>
      <c r="AC36" s="298">
        <v>537816</v>
      </c>
      <c r="AD36" s="298">
        <v>540564</v>
      </c>
      <c r="AE36" s="299">
        <v>539992</v>
      </c>
      <c r="AF36" s="298">
        <v>539860</v>
      </c>
      <c r="AG36" s="298">
        <f t="shared" si="39"/>
        <v>471378</v>
      </c>
      <c r="AH36" s="298">
        <f t="shared" si="6"/>
        <v>550570</v>
      </c>
      <c r="AI36" s="298">
        <f t="shared" si="7"/>
        <v>553416</v>
      </c>
      <c r="AJ36" s="692">
        <v>471378</v>
      </c>
      <c r="AK36" s="298">
        <v>550570</v>
      </c>
      <c r="AL36" s="298">
        <v>553416</v>
      </c>
      <c r="AM36" s="300">
        <v>556677</v>
      </c>
      <c r="AN36" s="298">
        <f t="shared" si="42"/>
        <v>512283</v>
      </c>
      <c r="AO36" s="298">
        <f t="shared" si="42"/>
        <v>519172</v>
      </c>
      <c r="AP36" s="298">
        <f t="shared" si="42"/>
        <v>581365</v>
      </c>
      <c r="AQ36" s="298">
        <v>512283</v>
      </c>
      <c r="AR36" s="298">
        <v>519172</v>
      </c>
      <c r="AS36" s="298">
        <v>581365</v>
      </c>
      <c r="AT36" s="300">
        <v>528686</v>
      </c>
      <c r="AU36" s="300">
        <f t="shared" si="132"/>
        <v>533079</v>
      </c>
      <c r="AV36" s="300">
        <f t="shared" si="124"/>
        <v>530504</v>
      </c>
      <c r="AW36" s="300">
        <f t="shared" si="46"/>
        <v>519671</v>
      </c>
      <c r="AX36" s="300">
        <v>533079</v>
      </c>
      <c r="AY36" s="300">
        <v>530504</v>
      </c>
      <c r="AZ36" s="300">
        <v>519671</v>
      </c>
      <c r="BA36" s="300">
        <v>516855</v>
      </c>
      <c r="BB36" s="300">
        <f t="shared" si="125"/>
        <v>512194</v>
      </c>
      <c r="BC36" s="764">
        <f t="shared" si="126"/>
        <v>509217</v>
      </c>
      <c r="BD36" s="283">
        <f t="shared" si="70"/>
        <v>507958</v>
      </c>
      <c r="BE36" s="300">
        <v>512194</v>
      </c>
      <c r="BF36" s="300">
        <v>509217</v>
      </c>
      <c r="BG36" s="300">
        <v>507958</v>
      </c>
      <c r="BH36" s="300">
        <v>505690</v>
      </c>
      <c r="BI36" s="300">
        <f t="shared" si="127"/>
        <v>502785</v>
      </c>
      <c r="BJ36" s="300">
        <f t="shared" si="128"/>
        <v>510052</v>
      </c>
      <c r="BK36" s="785">
        <f t="shared" si="129"/>
        <v>520304</v>
      </c>
      <c r="BL36" s="300">
        <v>502785</v>
      </c>
      <c r="BM36" s="300">
        <v>510052</v>
      </c>
      <c r="BN36" s="785">
        <v>520304</v>
      </c>
      <c r="BO36" s="785">
        <v>528130</v>
      </c>
      <c r="BP36" s="506">
        <f t="shared" si="104"/>
        <v>539699</v>
      </c>
      <c r="BQ36" s="785">
        <f t="shared" si="130"/>
        <v>556599</v>
      </c>
      <c r="BR36" s="764">
        <f t="shared" si="131"/>
        <v>595389</v>
      </c>
      <c r="BS36" s="785">
        <v>539699</v>
      </c>
      <c r="BT36" s="785">
        <v>556599</v>
      </c>
      <c r="BU36" s="785">
        <v>595389</v>
      </c>
      <c r="BV36" s="785">
        <v>602673</v>
      </c>
      <c r="BW36" s="785">
        <f t="shared" si="133"/>
        <v>614639</v>
      </c>
      <c r="BX36" s="785">
        <f t="shared" si="134"/>
        <v>625969</v>
      </c>
      <c r="BY36" s="785">
        <f t="shared" si="135"/>
        <v>628422</v>
      </c>
      <c r="BZ36" s="785">
        <v>614639</v>
      </c>
      <c r="CA36" s="785">
        <v>625969</v>
      </c>
      <c r="CB36" s="785">
        <v>628422</v>
      </c>
      <c r="CC36" s="785">
        <v>630309</v>
      </c>
      <c r="CD36" s="785">
        <f t="shared" si="136"/>
        <v>619524</v>
      </c>
      <c r="CE36" s="785">
        <f t="shared" si="137"/>
        <v>618729</v>
      </c>
      <c r="CF36" s="785">
        <f t="shared" si="138"/>
        <v>615356</v>
      </c>
      <c r="CG36" s="785">
        <v>619524</v>
      </c>
      <c r="CH36" s="785">
        <v>618729</v>
      </c>
      <c r="CI36" s="785">
        <v>615356</v>
      </c>
      <c r="CJ36" s="785">
        <v>615239</v>
      </c>
      <c r="CK36" s="506">
        <f t="shared" si="112"/>
        <v>624585</v>
      </c>
      <c r="CL36" s="785"/>
      <c r="CM36" s="785"/>
      <c r="CN36" s="785">
        <v>624585</v>
      </c>
      <c r="CO36" s="785"/>
    </row>
    <row r="37" spans="1:93" s="423" customFormat="1" ht="13" x14ac:dyDescent="0.3">
      <c r="A37" s="267" t="str">
        <f>Language!C37</f>
        <v>PASSIVO TOTAL</v>
      </c>
      <c r="B37" s="268">
        <f t="shared" ref="B37:Q37" si="139">SUM(B38,B55,B71,B82)</f>
        <v>1026742</v>
      </c>
      <c r="C37" s="268">
        <f t="shared" si="139"/>
        <v>1074921</v>
      </c>
      <c r="D37" s="268">
        <f t="shared" si="139"/>
        <v>1057734</v>
      </c>
      <c r="E37" s="268">
        <f t="shared" si="139"/>
        <v>1077812</v>
      </c>
      <c r="F37" s="269">
        <f t="shared" si="139"/>
        <v>1095350</v>
      </c>
      <c r="G37" s="268">
        <f t="shared" si="139"/>
        <v>1094241</v>
      </c>
      <c r="H37" s="268">
        <f t="shared" si="139"/>
        <v>1073727</v>
      </c>
      <c r="I37" s="268">
        <f t="shared" si="139"/>
        <v>1101563</v>
      </c>
      <c r="J37" s="269">
        <f t="shared" si="139"/>
        <v>1121174</v>
      </c>
      <c r="K37" s="268">
        <f t="shared" si="139"/>
        <v>1118058</v>
      </c>
      <c r="L37" s="268">
        <f t="shared" si="139"/>
        <v>1106660</v>
      </c>
      <c r="M37" s="268">
        <f t="shared" si="139"/>
        <v>1159266</v>
      </c>
      <c r="N37" s="269">
        <f t="shared" si="139"/>
        <v>1458036</v>
      </c>
      <c r="O37" s="268">
        <f t="shared" si="139"/>
        <v>1574072</v>
      </c>
      <c r="P37" s="268">
        <f t="shared" si="139"/>
        <v>2024779</v>
      </c>
      <c r="Q37" s="268">
        <f t="shared" si="139"/>
        <v>2283674</v>
      </c>
      <c r="R37" s="270">
        <v>3381770</v>
      </c>
      <c r="S37" s="270">
        <v>3691701</v>
      </c>
      <c r="T37" s="270">
        <v>3756477</v>
      </c>
      <c r="U37" s="270">
        <v>3869838</v>
      </c>
      <c r="V37" s="270">
        <v>3691701</v>
      </c>
      <c r="W37" s="270">
        <v>3756477</v>
      </c>
      <c r="X37" s="270">
        <v>3869838</v>
      </c>
      <c r="Y37" s="270">
        <f>SUM(Y38,Y55,Y71)</f>
        <v>3902878</v>
      </c>
      <c r="Z37" s="270">
        <f t="shared" si="33"/>
        <v>3732106</v>
      </c>
      <c r="AA37" s="270">
        <f t="shared" si="34"/>
        <v>3759957</v>
      </c>
      <c r="AB37" s="270">
        <f t="shared" si="35"/>
        <v>3639318</v>
      </c>
      <c r="AC37" s="270">
        <f>SUM(AC38,AC55,AC71)</f>
        <v>3732106</v>
      </c>
      <c r="AD37" s="270">
        <f>SUM(AD38,AD55,AD71)</f>
        <v>3759957</v>
      </c>
      <c r="AE37" s="270">
        <f>SUM(AE38,AE55,AE71)</f>
        <v>3639318</v>
      </c>
      <c r="AF37" s="270">
        <f>SUM(AF38,AF55,AF71)</f>
        <v>3648561</v>
      </c>
      <c r="AG37" s="270">
        <f t="shared" si="39"/>
        <v>3607957</v>
      </c>
      <c r="AH37" s="270">
        <f t="shared" si="6"/>
        <v>3600328</v>
      </c>
      <c r="AI37" s="270">
        <f t="shared" si="7"/>
        <v>3469240</v>
      </c>
      <c r="AJ37" s="270">
        <f>SUM(AJ38,AJ55,AJ71)</f>
        <v>3607957</v>
      </c>
      <c r="AK37" s="270">
        <f>SUM(AK38,AK55,AK71)</f>
        <v>3600328</v>
      </c>
      <c r="AL37" s="270">
        <f>SUM(AL38,AL55,AL71)</f>
        <v>3469240</v>
      </c>
      <c r="AM37" s="271">
        <f>SUM(AM38,AM55,AM71)</f>
        <v>3469561</v>
      </c>
      <c r="AN37" s="270">
        <f t="shared" si="42"/>
        <v>3450520</v>
      </c>
      <c r="AO37" s="270">
        <f t="shared" si="42"/>
        <v>3561332</v>
      </c>
      <c r="AP37" s="270">
        <f t="shared" si="42"/>
        <v>3306300</v>
      </c>
      <c r="AQ37" s="270">
        <f>SUM(AQ38,AQ55,AQ71)</f>
        <v>3450520</v>
      </c>
      <c r="AR37" s="270">
        <f>SUM(AR38,AR55,AR71)</f>
        <v>3561332</v>
      </c>
      <c r="AS37" s="270">
        <f>SUM(AS38,AS55,AS71)</f>
        <v>3306300</v>
      </c>
      <c r="AT37" s="271">
        <f>SUM(AT38,AT55,AT71)</f>
        <v>3232784</v>
      </c>
      <c r="AU37" s="271">
        <f t="shared" ref="AU37" si="140">SUM(AU38,AU55,AU71)</f>
        <v>3263006</v>
      </c>
      <c r="AV37" s="271">
        <f>SUM(AV38,AV55,AV71)</f>
        <v>3238437</v>
      </c>
      <c r="AW37" s="271">
        <f t="shared" si="46"/>
        <v>3296568</v>
      </c>
      <c r="AX37" s="271">
        <f t="shared" ref="AX37:BE37" si="141">SUM(AX38,AX55,AX71)</f>
        <v>3263006</v>
      </c>
      <c r="AY37" s="271">
        <f t="shared" si="141"/>
        <v>3238437</v>
      </c>
      <c r="AZ37" s="271">
        <f t="shared" si="141"/>
        <v>3296568</v>
      </c>
      <c r="BA37" s="271">
        <f t="shared" si="141"/>
        <v>3203551</v>
      </c>
      <c r="BB37" s="271">
        <f t="shared" si="141"/>
        <v>3156756</v>
      </c>
      <c r="BC37" s="271">
        <f t="shared" si="141"/>
        <v>3092795</v>
      </c>
      <c r="BD37" s="271">
        <f t="shared" si="141"/>
        <v>2878681</v>
      </c>
      <c r="BE37" s="271">
        <f t="shared" si="141"/>
        <v>3156756</v>
      </c>
      <c r="BF37" s="271">
        <f t="shared" ref="BF37:BG37" si="142">SUM(BF38,BF55,BF71)</f>
        <v>3092795</v>
      </c>
      <c r="BG37" s="271">
        <f t="shared" si="142"/>
        <v>2878681</v>
      </c>
      <c r="BH37" s="271">
        <f t="shared" ref="BH37:BL37" si="143">SUM(BH38,BH55,BH71)</f>
        <v>2819455</v>
      </c>
      <c r="BI37" s="271">
        <f t="shared" si="143"/>
        <v>2760897</v>
      </c>
      <c r="BJ37" s="271">
        <f t="shared" si="143"/>
        <v>2775128</v>
      </c>
      <c r="BK37" s="271">
        <f t="shared" si="143"/>
        <v>2705608</v>
      </c>
      <c r="BL37" s="271">
        <f t="shared" si="143"/>
        <v>2760897</v>
      </c>
      <c r="BM37" s="271">
        <f t="shared" ref="BM37:BN37" si="144">SUM(BM38,BM55,BM71)</f>
        <v>2775128</v>
      </c>
      <c r="BN37" s="271">
        <f t="shared" si="144"/>
        <v>2705608</v>
      </c>
      <c r="BO37" s="271">
        <f>SUM(BO38,BO55,BO71)-1</f>
        <v>2550758</v>
      </c>
      <c r="BP37" s="271">
        <f t="shared" ref="BP37:BU37" si="145">SUM(BP38,BP55,BP71)</f>
        <v>2712190</v>
      </c>
      <c r="BQ37" s="271">
        <f t="shared" si="145"/>
        <v>2611909</v>
      </c>
      <c r="BR37" s="271">
        <f t="shared" si="145"/>
        <v>2545314</v>
      </c>
      <c r="BS37" s="271">
        <f t="shared" si="145"/>
        <v>2712190</v>
      </c>
      <c r="BT37" s="271">
        <f t="shared" si="145"/>
        <v>2611909</v>
      </c>
      <c r="BU37" s="271">
        <f t="shared" si="145"/>
        <v>2545314</v>
      </c>
      <c r="BV37" s="271">
        <f t="shared" ref="BV37:BY37" si="146">SUM(BV38,BV55,BV71)</f>
        <v>2487939</v>
      </c>
      <c r="BW37" s="271">
        <f t="shared" si="146"/>
        <v>2411305</v>
      </c>
      <c r="BX37" s="271">
        <f t="shared" si="146"/>
        <v>2470047</v>
      </c>
      <c r="BY37" s="271">
        <f t="shared" si="146"/>
        <v>2436693</v>
      </c>
      <c r="BZ37" s="271">
        <f t="shared" ref="BZ37:CA37" si="147">SUM(BZ38,BZ55,BZ71)</f>
        <v>2411305</v>
      </c>
      <c r="CA37" s="271">
        <f t="shared" si="147"/>
        <v>2470047</v>
      </c>
      <c r="CB37" s="271">
        <f t="shared" ref="CB37:CC37" si="148">SUM(CB38,CB55,CB71)</f>
        <v>2436693</v>
      </c>
      <c r="CC37" s="271">
        <f t="shared" si="148"/>
        <v>2402275</v>
      </c>
      <c r="CD37" s="271">
        <f t="shared" ref="CD37" si="149">SUM(CD38,CD55,CD71)</f>
        <v>2400290</v>
      </c>
      <c r="CE37" s="271">
        <f t="shared" ref="CE37:CG37" si="150">SUM(CE38,CE55,CE71)</f>
        <v>2339548</v>
      </c>
      <c r="CF37" s="271">
        <f t="shared" si="150"/>
        <v>2310553</v>
      </c>
      <c r="CG37" s="271">
        <f t="shared" si="150"/>
        <v>2400290</v>
      </c>
      <c r="CH37" s="271">
        <f t="shared" ref="CH37:CI37" si="151">SUM(CH38,CH55,CH71)</f>
        <v>2339548</v>
      </c>
      <c r="CI37" s="271">
        <f t="shared" si="151"/>
        <v>2310553</v>
      </c>
      <c r="CJ37" s="271">
        <v>2261210</v>
      </c>
      <c r="CK37" s="271">
        <f>SUM(CK38,CK55,CK71)+1</f>
        <v>2179403</v>
      </c>
      <c r="CL37" s="271">
        <f t="shared" ref="CL37:CO37" si="152">SUM(CL38,CL55,CL71)</f>
        <v>0</v>
      </c>
      <c r="CM37" s="271">
        <f t="shared" si="152"/>
        <v>0</v>
      </c>
      <c r="CN37" s="271">
        <f t="shared" si="152"/>
        <v>2179403</v>
      </c>
      <c r="CO37" s="271">
        <f t="shared" si="152"/>
        <v>0</v>
      </c>
    </row>
    <row r="38" spans="1:93" s="423" customFormat="1" ht="13" x14ac:dyDescent="0.3">
      <c r="A38" s="272" t="str">
        <f>Language!C38</f>
        <v>Passivo Circulante</v>
      </c>
      <c r="B38" s="273">
        <f t="shared" ref="B38:M38" si="153">SUM(B39:B54)</f>
        <v>140159</v>
      </c>
      <c r="C38" s="273">
        <f t="shared" si="153"/>
        <v>128603</v>
      </c>
      <c r="D38" s="273">
        <f t="shared" si="153"/>
        <v>143002</v>
      </c>
      <c r="E38" s="273">
        <f t="shared" si="153"/>
        <v>174918</v>
      </c>
      <c r="F38" s="274">
        <f t="shared" si="153"/>
        <v>131522</v>
      </c>
      <c r="G38" s="273">
        <f t="shared" si="153"/>
        <v>128382</v>
      </c>
      <c r="H38" s="273">
        <f t="shared" si="153"/>
        <v>165676</v>
      </c>
      <c r="I38" s="273">
        <f t="shared" si="153"/>
        <v>193031</v>
      </c>
      <c r="J38" s="274">
        <f t="shared" si="153"/>
        <v>209786</v>
      </c>
      <c r="K38" s="273">
        <f t="shared" si="153"/>
        <v>270914</v>
      </c>
      <c r="L38" s="273">
        <f t="shared" si="153"/>
        <v>145346</v>
      </c>
      <c r="M38" s="273">
        <f t="shared" si="153"/>
        <v>236537</v>
      </c>
      <c r="N38" s="274">
        <f t="shared" ref="N38:Q38" si="154">SUM(N39:N54)</f>
        <v>287698</v>
      </c>
      <c r="O38" s="273">
        <f t="shared" si="154"/>
        <v>401648</v>
      </c>
      <c r="P38" s="273">
        <f t="shared" si="154"/>
        <v>494712</v>
      </c>
      <c r="Q38" s="273">
        <f t="shared" si="154"/>
        <v>574294</v>
      </c>
      <c r="R38" s="275">
        <v>1478942</v>
      </c>
      <c r="S38" s="275">
        <v>1967092</v>
      </c>
      <c r="T38" s="275">
        <v>2088956</v>
      </c>
      <c r="U38" s="275">
        <v>2114430</v>
      </c>
      <c r="V38" s="275">
        <v>1967092</v>
      </c>
      <c r="W38" s="275">
        <v>2088956</v>
      </c>
      <c r="X38" s="275">
        <v>2114430</v>
      </c>
      <c r="Y38" s="275">
        <f t="shared" ref="Y38" si="155">SUM(Y39:Y54)</f>
        <v>2029486</v>
      </c>
      <c r="Z38" s="275">
        <f t="shared" si="33"/>
        <v>1941155</v>
      </c>
      <c r="AA38" s="275">
        <f t="shared" si="34"/>
        <v>2002532</v>
      </c>
      <c r="AB38" s="275">
        <f t="shared" si="35"/>
        <v>1940539</v>
      </c>
      <c r="AC38" s="275">
        <f t="shared" ref="AC38" si="156">SUM(AC39:AC54)</f>
        <v>1941155</v>
      </c>
      <c r="AD38" s="275">
        <f t="shared" ref="AD38" si="157">SUM(AD39:AD54)</f>
        <v>2002532</v>
      </c>
      <c r="AE38" s="275">
        <f t="shared" ref="AE38:AF38" si="158">SUM(AE39:AE54)</f>
        <v>1940539</v>
      </c>
      <c r="AF38" s="275">
        <f t="shared" si="158"/>
        <v>1865046</v>
      </c>
      <c r="AG38" s="275">
        <f t="shared" si="39"/>
        <v>1895889</v>
      </c>
      <c r="AH38" s="275">
        <f t="shared" si="6"/>
        <v>1856161</v>
      </c>
      <c r="AI38" s="275">
        <f t="shared" si="7"/>
        <v>1657973</v>
      </c>
      <c r="AJ38" s="275">
        <f t="shared" ref="AJ38" si="159">SUM(AJ39:AJ54)</f>
        <v>1895889</v>
      </c>
      <c r="AK38" s="275">
        <f t="shared" ref="AK38:AM38" si="160">SUM(AK39:AK54)</f>
        <v>1856161</v>
      </c>
      <c r="AL38" s="275">
        <f t="shared" si="160"/>
        <v>1657973</v>
      </c>
      <c r="AM38" s="276">
        <f t="shared" si="160"/>
        <v>1797810</v>
      </c>
      <c r="AN38" s="275">
        <f t="shared" si="42"/>
        <v>1725443</v>
      </c>
      <c r="AO38" s="275">
        <f t="shared" si="42"/>
        <v>1804708</v>
      </c>
      <c r="AP38" s="275">
        <f t="shared" si="42"/>
        <v>1881457</v>
      </c>
      <c r="AQ38" s="275">
        <f t="shared" ref="AQ38:AR38" si="161">SUM(AQ39:AQ54)</f>
        <v>1725443</v>
      </c>
      <c r="AR38" s="275">
        <f t="shared" si="161"/>
        <v>1804708</v>
      </c>
      <c r="AS38" s="275">
        <f t="shared" ref="AS38:AU38" si="162">SUM(AS39:AS54)</f>
        <v>1881457</v>
      </c>
      <c r="AT38" s="276">
        <f t="shared" si="162"/>
        <v>1673692</v>
      </c>
      <c r="AU38" s="276">
        <f t="shared" si="162"/>
        <v>1833508</v>
      </c>
      <c r="AV38" s="276">
        <f t="shared" ref="AV38:AY38" si="163">SUM(AV39:AV54)</f>
        <v>1868396</v>
      </c>
      <c r="AW38" s="276">
        <f t="shared" si="46"/>
        <v>859989</v>
      </c>
      <c r="AX38" s="276">
        <f t="shared" ref="AX38" si="164">SUM(AX39:AX54)</f>
        <v>1833508</v>
      </c>
      <c r="AY38" s="276">
        <f t="shared" si="163"/>
        <v>1868396</v>
      </c>
      <c r="AZ38" s="276">
        <f t="shared" ref="AZ38:BA38" si="165">SUM(AZ39:AZ54)</f>
        <v>859989</v>
      </c>
      <c r="BA38" s="276">
        <f t="shared" si="165"/>
        <v>1033114</v>
      </c>
      <c r="BB38" s="276">
        <f t="shared" ref="BB38:BC38" si="166">SUM(BB39:BB54)</f>
        <v>940077</v>
      </c>
      <c r="BC38" s="276">
        <f t="shared" si="166"/>
        <v>919591</v>
      </c>
      <c r="BD38" s="276">
        <f t="shared" ref="BD38" si="167">SUM(BD39:BD54)</f>
        <v>820870</v>
      </c>
      <c r="BE38" s="276">
        <f t="shared" ref="BE38:BF38" si="168">SUM(BE39:BE54)</f>
        <v>940077</v>
      </c>
      <c r="BF38" s="276">
        <f t="shared" si="168"/>
        <v>919591</v>
      </c>
      <c r="BG38" s="276">
        <f t="shared" ref="BG38:BH38" si="169">SUM(BG39:BG54)</f>
        <v>820870</v>
      </c>
      <c r="BH38" s="276">
        <f t="shared" si="169"/>
        <v>805885</v>
      </c>
      <c r="BI38" s="276">
        <f t="shared" ref="BI38:BL38" si="170">SUM(BI39:BI54)</f>
        <v>608879</v>
      </c>
      <c r="BJ38" s="276">
        <f t="shared" si="170"/>
        <v>580382</v>
      </c>
      <c r="BK38" s="276">
        <f t="shared" si="170"/>
        <v>573388</v>
      </c>
      <c r="BL38" s="276">
        <f t="shared" si="170"/>
        <v>608879</v>
      </c>
      <c r="BM38" s="276">
        <f t="shared" ref="BM38:BN38" si="171">SUM(BM39:BM54)</f>
        <v>580382</v>
      </c>
      <c r="BN38" s="276">
        <f t="shared" si="171"/>
        <v>573388</v>
      </c>
      <c r="BO38" s="276">
        <f t="shared" ref="BO38:BP38" si="172">SUM(BO39:BO54)</f>
        <v>576986</v>
      </c>
      <c r="BP38" s="276">
        <f t="shared" si="172"/>
        <v>504778</v>
      </c>
      <c r="BQ38" s="276">
        <f t="shared" ref="BQ38:BS38" si="173">SUM(BQ39:BQ54)</f>
        <v>553081</v>
      </c>
      <c r="BR38" s="276">
        <f t="shared" si="173"/>
        <v>586402</v>
      </c>
      <c r="BS38" s="276">
        <f t="shared" si="173"/>
        <v>504778</v>
      </c>
      <c r="BT38" s="276">
        <f t="shared" ref="BT38:BU38" si="174">SUM(BT39:BT54)</f>
        <v>553081</v>
      </c>
      <c r="BU38" s="276">
        <f t="shared" si="174"/>
        <v>586402</v>
      </c>
      <c r="BV38" s="276">
        <f t="shared" ref="BV38:BY38" si="175">SUM(BV39:BV54)</f>
        <v>595616</v>
      </c>
      <c r="BW38" s="276">
        <f t="shared" si="175"/>
        <v>564250</v>
      </c>
      <c r="BX38" s="276">
        <f t="shared" si="175"/>
        <v>583809</v>
      </c>
      <c r="BY38" s="276">
        <f t="shared" si="175"/>
        <v>559857</v>
      </c>
      <c r="BZ38" s="276">
        <f t="shared" ref="BZ38:CA38" si="176">SUM(BZ39:BZ54)</f>
        <v>564250</v>
      </c>
      <c r="CA38" s="276">
        <f t="shared" si="176"/>
        <v>583809</v>
      </c>
      <c r="CB38" s="276">
        <f t="shared" ref="CB38:CC38" si="177">SUM(CB39:CB54)</f>
        <v>559857</v>
      </c>
      <c r="CC38" s="276">
        <f t="shared" si="177"/>
        <v>512864</v>
      </c>
      <c r="CD38" s="276">
        <f t="shared" ref="CD38" si="178">SUM(CD39:CD54)</f>
        <v>486165</v>
      </c>
      <c r="CE38" s="276">
        <f t="shared" ref="CE38:CG38" si="179">SUM(CE39:CE54)</f>
        <v>422215</v>
      </c>
      <c r="CF38" s="276">
        <f t="shared" si="179"/>
        <v>1118389</v>
      </c>
      <c r="CG38" s="276">
        <f t="shared" si="179"/>
        <v>486165</v>
      </c>
      <c r="CH38" s="276">
        <f t="shared" ref="CH38:CI38" si="180">SUM(CH39:CH54)</f>
        <v>422215</v>
      </c>
      <c r="CI38" s="276">
        <f t="shared" si="180"/>
        <v>1118389</v>
      </c>
      <c r="CJ38" s="276">
        <v>1338748</v>
      </c>
      <c r="CK38" s="276">
        <f t="shared" ref="CK38" si="181">SUM(CK39:CK54)</f>
        <v>1279138</v>
      </c>
      <c r="CL38" s="276">
        <f t="shared" ref="CL38:CO38" si="182">SUM(CL39:CL54)</f>
        <v>0</v>
      </c>
      <c r="CM38" s="276">
        <f t="shared" si="182"/>
        <v>0</v>
      </c>
      <c r="CN38" s="276">
        <f t="shared" si="182"/>
        <v>1279138</v>
      </c>
      <c r="CO38" s="276">
        <f t="shared" si="182"/>
        <v>0</v>
      </c>
    </row>
    <row r="39" spans="1:93" s="289" customFormat="1" x14ac:dyDescent="0.25">
      <c r="A39" s="301" t="str">
        <f>Language!C39</f>
        <v>Fornecedores</v>
      </c>
      <c r="B39" s="280">
        <v>12765</v>
      </c>
      <c r="C39" s="280">
        <v>12128</v>
      </c>
      <c r="D39" s="280">
        <v>12708</v>
      </c>
      <c r="E39" s="280">
        <v>17054</v>
      </c>
      <c r="F39" s="279">
        <v>10512</v>
      </c>
      <c r="G39" s="280">
        <v>10365</v>
      </c>
      <c r="H39" s="280">
        <v>11309</v>
      </c>
      <c r="I39" s="280">
        <v>14282</v>
      </c>
      <c r="J39" s="279">
        <v>15628</v>
      </c>
      <c r="K39" s="280">
        <v>11256</v>
      </c>
      <c r="L39" s="280">
        <v>12597</v>
      </c>
      <c r="M39" s="280">
        <v>18438</v>
      </c>
      <c r="N39" s="279">
        <v>27176</v>
      </c>
      <c r="O39" s="280">
        <v>29992</v>
      </c>
      <c r="P39" s="280">
        <v>29385</v>
      </c>
      <c r="Q39" s="280">
        <v>56764</v>
      </c>
      <c r="R39" s="279">
        <v>103586</v>
      </c>
      <c r="S39" s="281">
        <v>196461</v>
      </c>
      <c r="T39" s="281">
        <v>181102</v>
      </c>
      <c r="U39" s="281">
        <v>177690</v>
      </c>
      <c r="V39" s="281">
        <v>196461</v>
      </c>
      <c r="W39" s="281">
        <v>181102</v>
      </c>
      <c r="X39" s="282">
        <v>177690</v>
      </c>
      <c r="Y39" s="283">
        <v>155050</v>
      </c>
      <c r="Z39" s="281">
        <f t="shared" si="33"/>
        <v>118239</v>
      </c>
      <c r="AA39" s="281">
        <f t="shared" si="34"/>
        <v>109355</v>
      </c>
      <c r="AB39" s="281">
        <f t="shared" si="35"/>
        <v>96304</v>
      </c>
      <c r="AC39" s="281">
        <v>118239</v>
      </c>
      <c r="AD39" s="281">
        <v>109355</v>
      </c>
      <c r="AE39" s="282">
        <v>96304</v>
      </c>
      <c r="AF39" s="281">
        <v>93945</v>
      </c>
      <c r="AG39" s="281">
        <f t="shared" si="39"/>
        <v>100173</v>
      </c>
      <c r="AH39" s="281">
        <f t="shared" si="6"/>
        <v>95619</v>
      </c>
      <c r="AI39" s="281">
        <f t="shared" si="7"/>
        <v>89068</v>
      </c>
      <c r="AJ39" s="302">
        <v>100173</v>
      </c>
      <c r="AK39" s="302">
        <v>95619</v>
      </c>
      <c r="AL39" s="281">
        <v>89068</v>
      </c>
      <c r="AM39" s="283">
        <v>78873</v>
      </c>
      <c r="AN39" s="281">
        <f t="shared" si="42"/>
        <v>72916</v>
      </c>
      <c r="AO39" s="281">
        <f t="shared" si="42"/>
        <v>66746</v>
      </c>
      <c r="AP39" s="281">
        <f t="shared" si="42"/>
        <v>68529</v>
      </c>
      <c r="AQ39" s="302">
        <v>72916</v>
      </c>
      <c r="AR39" s="302">
        <v>66746</v>
      </c>
      <c r="AS39" s="281">
        <v>68529</v>
      </c>
      <c r="AT39" s="283">
        <v>61833</v>
      </c>
      <c r="AU39" s="283">
        <f>AX39</f>
        <v>61862</v>
      </c>
      <c r="AV39" s="283">
        <f>AY39</f>
        <v>55049</v>
      </c>
      <c r="AW39" s="283">
        <f t="shared" si="46"/>
        <v>50471</v>
      </c>
      <c r="AX39" s="283">
        <v>61862</v>
      </c>
      <c r="AY39" s="283">
        <v>55049</v>
      </c>
      <c r="AZ39" s="283">
        <v>50471</v>
      </c>
      <c r="BA39" s="283">
        <v>50272</v>
      </c>
      <c r="BB39" s="283">
        <f>BE39</f>
        <v>40955</v>
      </c>
      <c r="BC39" s="283">
        <f>BF39</f>
        <v>41215</v>
      </c>
      <c r="BD39" s="283">
        <f>BG39</f>
        <v>41085</v>
      </c>
      <c r="BE39" s="283">
        <v>40955</v>
      </c>
      <c r="BF39" s="506">
        <v>41215</v>
      </c>
      <c r="BG39" s="506">
        <v>41085</v>
      </c>
      <c r="BH39" s="506">
        <v>40720</v>
      </c>
      <c r="BI39" s="506">
        <f>BL39</f>
        <v>49121</v>
      </c>
      <c r="BJ39" s="506">
        <f>BM39</f>
        <v>57806</v>
      </c>
      <c r="BK39" s="506">
        <f>BN39</f>
        <v>61100</v>
      </c>
      <c r="BL39" s="506">
        <v>49121</v>
      </c>
      <c r="BM39" s="506">
        <v>57806</v>
      </c>
      <c r="BN39" s="506">
        <v>61100</v>
      </c>
      <c r="BO39" s="506">
        <v>77869</v>
      </c>
      <c r="BP39" s="506">
        <f>BS39</f>
        <v>68065</v>
      </c>
      <c r="BQ39" s="506">
        <f>BT39</f>
        <v>66148</v>
      </c>
      <c r="BR39" s="506">
        <f>BU39</f>
        <v>77072</v>
      </c>
      <c r="BS39" s="506">
        <v>68065</v>
      </c>
      <c r="BT39" s="506">
        <v>66148</v>
      </c>
      <c r="BU39" s="506">
        <v>77072</v>
      </c>
      <c r="BV39" s="506">
        <v>91192</v>
      </c>
      <c r="BW39" s="506">
        <f>BZ39</f>
        <v>98436</v>
      </c>
      <c r="BX39" s="506">
        <f>CA39</f>
        <v>107964</v>
      </c>
      <c r="BY39" s="506">
        <f>CB39</f>
        <v>83865</v>
      </c>
      <c r="BZ39" s="506">
        <v>98436</v>
      </c>
      <c r="CA39" s="506">
        <v>107964</v>
      </c>
      <c r="CB39" s="506">
        <v>83865</v>
      </c>
      <c r="CC39" s="506">
        <v>95046</v>
      </c>
      <c r="CD39" s="506">
        <f>CG39</f>
        <v>114625</v>
      </c>
      <c r="CE39" s="506">
        <f>CH39</f>
        <v>101823</v>
      </c>
      <c r="CF39" s="506">
        <f>CI39</f>
        <v>81501</v>
      </c>
      <c r="CG39" s="506">
        <v>114625</v>
      </c>
      <c r="CH39" s="506">
        <v>101823</v>
      </c>
      <c r="CI39" s="506">
        <v>81501</v>
      </c>
      <c r="CJ39" s="506">
        <v>90073</v>
      </c>
      <c r="CK39" s="506">
        <f>CN39</f>
        <v>72332</v>
      </c>
      <c r="CL39" s="506"/>
      <c r="CM39" s="506"/>
      <c r="CN39" s="506">
        <v>72332</v>
      </c>
      <c r="CO39" s="506"/>
    </row>
    <row r="40" spans="1:93" s="289" customFormat="1" x14ac:dyDescent="0.25">
      <c r="A40" s="301" t="str">
        <f>Language!C40</f>
        <v>Empréstimos e Financiamentos</v>
      </c>
      <c r="B40" s="280">
        <v>88694</v>
      </c>
      <c r="C40" s="280">
        <v>67366</v>
      </c>
      <c r="D40" s="280">
        <v>74237</v>
      </c>
      <c r="E40" s="280">
        <v>81774</v>
      </c>
      <c r="F40" s="279">
        <v>40444</v>
      </c>
      <c r="G40" s="280">
        <v>39906</v>
      </c>
      <c r="H40" s="280">
        <v>63699</v>
      </c>
      <c r="I40" s="280">
        <v>77155</v>
      </c>
      <c r="J40" s="279">
        <v>90412</v>
      </c>
      <c r="K40" s="280">
        <v>90109</v>
      </c>
      <c r="L40" s="280">
        <v>46409</v>
      </c>
      <c r="M40" s="280">
        <v>116855</v>
      </c>
      <c r="N40" s="279">
        <v>154592</v>
      </c>
      <c r="O40" s="280">
        <v>206593</v>
      </c>
      <c r="P40" s="280">
        <v>288275</v>
      </c>
      <c r="Q40" s="280">
        <v>333364</v>
      </c>
      <c r="R40" s="279">
        <v>872086</v>
      </c>
      <c r="S40" s="281">
        <v>940066</v>
      </c>
      <c r="T40" s="281">
        <v>1041944</v>
      </c>
      <c r="U40" s="281">
        <v>1095014</v>
      </c>
      <c r="V40" s="281">
        <v>940066</v>
      </c>
      <c r="W40" s="281">
        <v>1041944</v>
      </c>
      <c r="X40" s="282">
        <v>1095014</v>
      </c>
      <c r="Y40" s="283">
        <v>1066139</v>
      </c>
      <c r="Z40" s="281">
        <f t="shared" si="33"/>
        <v>1199338</v>
      </c>
      <c r="AA40" s="281">
        <f t="shared" si="34"/>
        <v>1253983</v>
      </c>
      <c r="AB40" s="281">
        <f t="shared" si="35"/>
        <v>1259986</v>
      </c>
      <c r="AC40" s="281">
        <v>1199338</v>
      </c>
      <c r="AD40" s="281">
        <v>1253983</v>
      </c>
      <c r="AE40" s="282">
        <v>1259986</v>
      </c>
      <c r="AF40" s="281">
        <v>1138656</v>
      </c>
      <c r="AG40" s="281">
        <f t="shared" si="39"/>
        <v>1165778</v>
      </c>
      <c r="AH40" s="281">
        <f t="shared" si="6"/>
        <v>1213974</v>
      </c>
      <c r="AI40" s="281">
        <f t="shared" si="7"/>
        <v>925862</v>
      </c>
      <c r="AJ40" s="281">
        <v>1165778</v>
      </c>
      <c r="AK40" s="302">
        <v>1213974</v>
      </c>
      <c r="AL40" s="281">
        <v>925862</v>
      </c>
      <c r="AM40" s="283">
        <v>933831</v>
      </c>
      <c r="AN40" s="281">
        <f t="shared" si="42"/>
        <v>979643</v>
      </c>
      <c r="AO40" s="281">
        <f t="shared" si="42"/>
        <v>1022500</v>
      </c>
      <c r="AP40" s="281">
        <f t="shared" si="42"/>
        <v>1065490</v>
      </c>
      <c r="AQ40" s="281">
        <v>979643</v>
      </c>
      <c r="AR40" s="302">
        <v>1022500</v>
      </c>
      <c r="AS40" s="281">
        <v>1065490</v>
      </c>
      <c r="AT40" s="283">
        <v>1093846</v>
      </c>
      <c r="AU40" s="283">
        <f t="shared" ref="AU40:AU54" si="183">AX40</f>
        <v>1170307</v>
      </c>
      <c r="AV40" s="283">
        <f t="shared" ref="AV40:AV54" si="184">AY40</f>
        <v>1235195</v>
      </c>
      <c r="AW40" s="283">
        <f t="shared" si="46"/>
        <v>243869</v>
      </c>
      <c r="AX40" s="283">
        <v>1170307</v>
      </c>
      <c r="AY40" s="283">
        <v>1235195</v>
      </c>
      <c r="AZ40" s="283">
        <v>243869</v>
      </c>
      <c r="BA40" s="283">
        <v>414554</v>
      </c>
      <c r="BB40" s="283">
        <f t="shared" ref="BB40:BB54" si="185">BE40</f>
        <v>336538</v>
      </c>
      <c r="BC40" s="283">
        <f t="shared" ref="BC40:BC54" si="186">BF40</f>
        <v>359295</v>
      </c>
      <c r="BD40" s="283">
        <f t="shared" ref="BD40:BD54" si="187">BG40</f>
        <v>340413</v>
      </c>
      <c r="BE40" s="283">
        <v>336538</v>
      </c>
      <c r="BF40" s="283">
        <v>359295</v>
      </c>
      <c r="BG40" s="283">
        <v>340413</v>
      </c>
      <c r="BH40" s="283">
        <v>339002</v>
      </c>
      <c r="BI40" s="506">
        <f t="shared" ref="BI40:BI54" si="188">BL40</f>
        <v>300391</v>
      </c>
      <c r="BJ40" s="506">
        <f t="shared" ref="BJ40:BJ54" si="189">BM40</f>
        <v>276551</v>
      </c>
      <c r="BK40" s="506">
        <f t="shared" ref="BK40:BK54" si="190">BN40</f>
        <v>287959</v>
      </c>
      <c r="BL40" s="283">
        <v>300391</v>
      </c>
      <c r="BM40" s="283">
        <v>276551</v>
      </c>
      <c r="BN40" s="283">
        <v>287959</v>
      </c>
      <c r="BO40" s="283">
        <v>264252</v>
      </c>
      <c r="BP40" s="506">
        <f t="shared" ref="BP40:BP54" si="191">BS40</f>
        <v>232240</v>
      </c>
      <c r="BQ40" s="506">
        <f t="shared" ref="BQ40:BQ54" si="192">BT40</f>
        <v>265584</v>
      </c>
      <c r="BR40" s="506">
        <f t="shared" ref="BR40:BR54" si="193">BU40</f>
        <v>298536</v>
      </c>
      <c r="BS40" s="283">
        <v>232240</v>
      </c>
      <c r="BT40" s="283">
        <v>265584</v>
      </c>
      <c r="BU40" s="283">
        <v>298536</v>
      </c>
      <c r="BV40" s="283">
        <v>266566</v>
      </c>
      <c r="BW40" s="506">
        <f t="shared" ref="BW40:BW54" si="194">BZ40</f>
        <v>205763</v>
      </c>
      <c r="BX40" s="506">
        <f t="shared" ref="BX40:BX54" si="195">CA40</f>
        <v>243317</v>
      </c>
      <c r="BY40" s="506">
        <f t="shared" ref="BY40:BY54" si="196">CB40</f>
        <v>237524</v>
      </c>
      <c r="BZ40" s="283">
        <v>205763</v>
      </c>
      <c r="CA40" s="283">
        <v>243317</v>
      </c>
      <c r="CB40" s="283">
        <v>237524</v>
      </c>
      <c r="CC40" s="283">
        <v>197749</v>
      </c>
      <c r="CD40" s="506">
        <f t="shared" ref="CD40:CD54" si="197">CG40</f>
        <v>161807</v>
      </c>
      <c r="CE40" s="506">
        <f t="shared" ref="CE40:CE54" si="198">CH40</f>
        <v>135136</v>
      </c>
      <c r="CF40" s="506">
        <f t="shared" ref="CF40:CF54" si="199">CI40</f>
        <v>821768</v>
      </c>
      <c r="CG40" s="283">
        <v>161807</v>
      </c>
      <c r="CH40" s="283">
        <v>135136</v>
      </c>
      <c r="CI40" s="283">
        <v>821768</v>
      </c>
      <c r="CJ40" s="283">
        <v>1027318</v>
      </c>
      <c r="CK40" s="506">
        <f t="shared" ref="CK40:CK54" si="200">CN40</f>
        <v>989760</v>
      </c>
      <c r="CL40" s="283"/>
      <c r="CM40" s="283"/>
      <c r="CN40" s="283">
        <v>989760</v>
      </c>
      <c r="CO40" s="283"/>
    </row>
    <row r="41" spans="1:93" s="289" customFormat="1" x14ac:dyDescent="0.25">
      <c r="A41" s="301" t="str">
        <f>Language!C41</f>
        <v>Notas Promissórias</v>
      </c>
      <c r="B41" s="280">
        <v>0</v>
      </c>
      <c r="C41" s="280">
        <v>0</v>
      </c>
      <c r="D41" s="280">
        <v>0</v>
      </c>
      <c r="E41" s="280">
        <v>0</v>
      </c>
      <c r="F41" s="279">
        <v>0</v>
      </c>
      <c r="G41" s="280">
        <v>0</v>
      </c>
      <c r="H41" s="280">
        <v>0</v>
      </c>
      <c r="I41" s="280">
        <v>0</v>
      </c>
      <c r="J41" s="279">
        <v>0</v>
      </c>
      <c r="K41" s="280">
        <v>63584</v>
      </c>
      <c r="L41" s="280">
        <v>0</v>
      </c>
      <c r="M41" s="280">
        <v>0</v>
      </c>
      <c r="N41" s="279">
        <v>0</v>
      </c>
      <c r="O41" s="280">
        <v>0</v>
      </c>
      <c r="P41" s="280">
        <v>0</v>
      </c>
      <c r="Q41" s="280">
        <v>0</v>
      </c>
      <c r="R41" s="279">
        <v>222783</v>
      </c>
      <c r="S41" s="281">
        <v>224423</v>
      </c>
      <c r="T41" s="281">
        <v>133145</v>
      </c>
      <c r="U41" s="281">
        <v>136487</v>
      </c>
      <c r="V41" s="281">
        <v>224423</v>
      </c>
      <c r="W41" s="281">
        <v>133145</v>
      </c>
      <c r="X41" s="282">
        <v>136487</v>
      </c>
      <c r="Y41" s="283">
        <v>133731</v>
      </c>
      <c r="Z41" s="281">
        <f t="shared" si="33"/>
        <v>142381</v>
      </c>
      <c r="AA41" s="281">
        <f t="shared" si="34"/>
        <v>149429</v>
      </c>
      <c r="AB41" s="281">
        <f t="shared" si="35"/>
        <v>141002</v>
      </c>
      <c r="AC41" s="281">
        <v>142381</v>
      </c>
      <c r="AD41" s="281">
        <v>149429</v>
      </c>
      <c r="AE41" s="282">
        <v>141002</v>
      </c>
      <c r="AF41" s="281">
        <v>133230</v>
      </c>
      <c r="AG41" s="281">
        <f t="shared" si="39"/>
        <v>131367</v>
      </c>
      <c r="AH41" s="281">
        <f t="shared" si="6"/>
        <v>120413</v>
      </c>
      <c r="AI41" s="281">
        <f t="shared" si="7"/>
        <v>35313</v>
      </c>
      <c r="AJ41" s="281">
        <v>131367</v>
      </c>
      <c r="AK41" s="302">
        <v>120413</v>
      </c>
      <c r="AL41" s="281">
        <v>35313</v>
      </c>
      <c r="AM41" s="283">
        <v>35313</v>
      </c>
      <c r="AN41" s="281">
        <f t="shared" si="42"/>
        <v>35304</v>
      </c>
      <c r="AO41" s="281">
        <f t="shared" si="42"/>
        <v>39729</v>
      </c>
      <c r="AP41" s="281">
        <f t="shared" si="42"/>
        <v>40657</v>
      </c>
      <c r="AQ41" s="281">
        <v>35304</v>
      </c>
      <c r="AR41" s="302">
        <v>39729</v>
      </c>
      <c r="AS41" s="281">
        <v>40657</v>
      </c>
      <c r="AT41" s="283">
        <v>42917</v>
      </c>
      <c r="AU41" s="283">
        <f t="shared" si="183"/>
        <v>44397</v>
      </c>
      <c r="AV41" s="283">
        <f t="shared" si="184"/>
        <v>44382</v>
      </c>
      <c r="AW41" s="283">
        <f t="shared" si="46"/>
        <v>44370</v>
      </c>
      <c r="AX41" s="283">
        <v>44397</v>
      </c>
      <c r="AY41" s="283">
        <v>44382</v>
      </c>
      <c r="AZ41" s="283">
        <v>44370</v>
      </c>
      <c r="BA41" s="283">
        <v>40676</v>
      </c>
      <c r="BB41" s="283">
        <f t="shared" si="185"/>
        <v>36160</v>
      </c>
      <c r="BC41" s="283">
        <f t="shared" si="186"/>
        <v>23338</v>
      </c>
      <c r="BD41" s="283">
        <f t="shared" si="187"/>
        <v>9349</v>
      </c>
      <c r="BE41" s="283">
        <v>36160</v>
      </c>
      <c r="BF41" s="283">
        <v>23338</v>
      </c>
      <c r="BG41" s="283">
        <v>9349</v>
      </c>
      <c r="BH41" s="283">
        <v>0</v>
      </c>
      <c r="BI41" s="506">
        <f t="shared" si="188"/>
        <v>0</v>
      </c>
      <c r="BJ41" s="506">
        <f t="shared" si="189"/>
        <v>0</v>
      </c>
      <c r="BK41" s="506">
        <f t="shared" si="190"/>
        <v>0</v>
      </c>
      <c r="BL41" s="283">
        <v>0</v>
      </c>
      <c r="BM41" s="283">
        <v>0</v>
      </c>
      <c r="BN41" s="283">
        <v>0</v>
      </c>
      <c r="BO41" s="283">
        <v>0</v>
      </c>
      <c r="BP41" s="506">
        <f t="shared" si="191"/>
        <v>0</v>
      </c>
      <c r="BQ41" s="506">
        <f t="shared" si="192"/>
        <v>0</v>
      </c>
      <c r="BR41" s="506">
        <f t="shared" si="193"/>
        <v>0</v>
      </c>
      <c r="BS41" s="283">
        <v>0</v>
      </c>
      <c r="BT41" s="283">
        <v>0</v>
      </c>
      <c r="BU41" s="283">
        <v>0</v>
      </c>
      <c r="BV41" s="283">
        <v>0</v>
      </c>
      <c r="BW41" s="506">
        <f t="shared" si="194"/>
        <v>0</v>
      </c>
      <c r="BX41" s="506">
        <f t="shared" si="195"/>
        <v>0</v>
      </c>
      <c r="BY41" s="506">
        <f t="shared" si="196"/>
        <v>0</v>
      </c>
      <c r="BZ41" s="283">
        <v>0</v>
      </c>
      <c r="CA41" s="283">
        <v>0</v>
      </c>
      <c r="CB41" s="283">
        <v>0</v>
      </c>
      <c r="CC41" s="283">
        <v>0</v>
      </c>
      <c r="CD41" s="506">
        <f t="shared" si="197"/>
        <v>0</v>
      </c>
      <c r="CE41" s="506">
        <f t="shared" si="198"/>
        <v>0</v>
      </c>
      <c r="CF41" s="506">
        <f t="shared" si="199"/>
        <v>0</v>
      </c>
      <c r="CG41" s="283">
        <v>0</v>
      </c>
      <c r="CH41" s="283">
        <v>0</v>
      </c>
      <c r="CI41" s="283">
        <v>0</v>
      </c>
      <c r="CJ41" s="283">
        <v>0</v>
      </c>
      <c r="CK41" s="506">
        <f t="shared" si="200"/>
        <v>0</v>
      </c>
      <c r="CL41" s="283"/>
      <c r="CM41" s="283"/>
      <c r="CN41" s="283">
        <v>0</v>
      </c>
      <c r="CO41" s="283"/>
    </row>
    <row r="42" spans="1:93" s="289" customFormat="1" x14ac:dyDescent="0.25">
      <c r="A42" s="301" t="s">
        <v>633</v>
      </c>
      <c r="B42" s="281">
        <v>0</v>
      </c>
      <c r="C42" s="281">
        <v>0</v>
      </c>
      <c r="D42" s="281">
        <v>0</v>
      </c>
      <c r="E42" s="281">
        <v>0</v>
      </c>
      <c r="F42" s="281">
        <v>0</v>
      </c>
      <c r="G42" s="281">
        <v>0</v>
      </c>
      <c r="H42" s="281">
        <v>0</v>
      </c>
      <c r="I42" s="281">
        <v>0</v>
      </c>
      <c r="J42" s="281">
        <v>0</v>
      </c>
      <c r="K42" s="281">
        <v>0</v>
      </c>
      <c r="L42" s="281">
        <v>0</v>
      </c>
      <c r="M42" s="281">
        <v>0</v>
      </c>
      <c r="N42" s="281">
        <v>0</v>
      </c>
      <c r="O42" s="281">
        <v>0</v>
      </c>
      <c r="P42" s="281">
        <v>0</v>
      </c>
      <c r="Q42" s="281">
        <v>0</v>
      </c>
      <c r="R42" s="279">
        <v>0</v>
      </c>
      <c r="S42" s="281">
        <v>0</v>
      </c>
      <c r="T42" s="281">
        <v>0</v>
      </c>
      <c r="U42" s="281">
        <v>0</v>
      </c>
      <c r="V42" s="281">
        <v>0</v>
      </c>
      <c r="W42" s="281">
        <v>0</v>
      </c>
      <c r="X42" s="281">
        <v>0</v>
      </c>
      <c r="Y42" s="281"/>
      <c r="Z42" s="281"/>
      <c r="AA42" s="281"/>
      <c r="AB42" s="281">
        <f t="shared" si="35"/>
        <v>10</v>
      </c>
      <c r="AC42" s="281"/>
      <c r="AD42" s="281"/>
      <c r="AE42" s="281">
        <v>10</v>
      </c>
      <c r="AF42" s="281">
        <v>637</v>
      </c>
      <c r="AG42" s="281">
        <f t="shared" si="39"/>
        <v>5867</v>
      </c>
      <c r="AH42" s="281">
        <f t="shared" si="6"/>
        <v>6476</v>
      </c>
      <c r="AI42" s="281">
        <f t="shared" si="7"/>
        <v>9466</v>
      </c>
      <c r="AJ42" s="281">
        <v>5867</v>
      </c>
      <c r="AK42" s="302">
        <v>6476</v>
      </c>
      <c r="AL42" s="281">
        <v>9466</v>
      </c>
      <c r="AM42" s="283">
        <v>10589</v>
      </c>
      <c r="AN42" s="281">
        <f t="shared" si="42"/>
        <v>11997</v>
      </c>
      <c r="AO42" s="281">
        <f t="shared" si="42"/>
        <v>14512</v>
      </c>
      <c r="AP42" s="281">
        <f t="shared" si="42"/>
        <v>16813</v>
      </c>
      <c r="AQ42" s="281">
        <v>11997</v>
      </c>
      <c r="AR42" s="302">
        <v>14512</v>
      </c>
      <c r="AS42" s="281">
        <v>16813</v>
      </c>
      <c r="AT42" s="283">
        <v>18384</v>
      </c>
      <c r="AU42" s="283">
        <f t="shared" si="183"/>
        <v>0</v>
      </c>
      <c r="AV42" s="283">
        <f t="shared" si="184"/>
        <v>0</v>
      </c>
      <c r="AW42" s="283">
        <f t="shared" si="46"/>
        <v>0</v>
      </c>
      <c r="AX42" s="283">
        <v>0</v>
      </c>
      <c r="AY42" s="283">
        <v>0</v>
      </c>
      <c r="AZ42" s="731">
        <v>0</v>
      </c>
      <c r="BA42" s="731">
        <v>0</v>
      </c>
      <c r="BB42" s="283">
        <f t="shared" si="185"/>
        <v>0</v>
      </c>
      <c r="BC42" s="283">
        <f t="shared" si="186"/>
        <v>0</v>
      </c>
      <c r="BD42" s="283">
        <f t="shared" si="187"/>
        <v>0</v>
      </c>
      <c r="BE42" s="731">
        <v>0</v>
      </c>
      <c r="BF42" s="731">
        <v>0</v>
      </c>
      <c r="BG42" s="731">
        <v>0</v>
      </c>
      <c r="BH42" s="731">
        <v>0</v>
      </c>
      <c r="BI42" s="506">
        <f t="shared" si="188"/>
        <v>0</v>
      </c>
      <c r="BJ42" s="506">
        <f t="shared" si="189"/>
        <v>0</v>
      </c>
      <c r="BK42" s="506">
        <f t="shared" si="190"/>
        <v>0</v>
      </c>
      <c r="BL42" s="731">
        <v>0</v>
      </c>
      <c r="BM42" s="731">
        <v>0</v>
      </c>
      <c r="BN42" s="731">
        <v>0</v>
      </c>
      <c r="BO42" s="731">
        <v>0</v>
      </c>
      <c r="BP42" s="506">
        <f t="shared" si="191"/>
        <v>0</v>
      </c>
      <c r="BQ42" s="506">
        <f t="shared" si="192"/>
        <v>0</v>
      </c>
      <c r="BR42" s="506">
        <f t="shared" si="193"/>
        <v>0</v>
      </c>
      <c r="BS42" s="731">
        <v>0</v>
      </c>
      <c r="BT42" s="731">
        <v>0</v>
      </c>
      <c r="BU42" s="731">
        <v>0</v>
      </c>
      <c r="BV42" s="731">
        <v>0</v>
      </c>
      <c r="BW42" s="506">
        <f t="shared" si="194"/>
        <v>0</v>
      </c>
      <c r="BX42" s="506">
        <f t="shared" si="195"/>
        <v>0</v>
      </c>
      <c r="BY42" s="506">
        <f t="shared" si="196"/>
        <v>0</v>
      </c>
      <c r="BZ42" s="731">
        <v>0</v>
      </c>
      <c r="CA42" s="731">
        <v>0</v>
      </c>
      <c r="CB42" s="731">
        <v>0</v>
      </c>
      <c r="CC42" s="731">
        <v>0</v>
      </c>
      <c r="CD42" s="506">
        <f t="shared" si="197"/>
        <v>0</v>
      </c>
      <c r="CE42" s="506">
        <f t="shared" si="198"/>
        <v>0</v>
      </c>
      <c r="CF42" s="506">
        <f t="shared" si="199"/>
        <v>0</v>
      </c>
      <c r="CG42" s="731">
        <v>0</v>
      </c>
      <c r="CH42" s="731">
        <v>0</v>
      </c>
      <c r="CI42" s="731">
        <v>0</v>
      </c>
      <c r="CJ42" s="731">
        <v>0</v>
      </c>
      <c r="CK42" s="506">
        <f t="shared" si="200"/>
        <v>0</v>
      </c>
      <c r="CL42" s="731"/>
      <c r="CM42" s="731"/>
      <c r="CN42" s="731">
        <v>0</v>
      </c>
      <c r="CO42" s="731"/>
    </row>
    <row r="43" spans="1:93" s="289" customFormat="1" x14ac:dyDescent="0.25">
      <c r="A43" s="301" t="str">
        <f>Language!C42</f>
        <v>Debêntures</v>
      </c>
      <c r="B43" s="280">
        <v>10856</v>
      </c>
      <c r="C43" s="280">
        <v>25859</v>
      </c>
      <c r="D43" s="280">
        <v>29263</v>
      </c>
      <c r="E43" s="280">
        <v>24418</v>
      </c>
      <c r="F43" s="279">
        <v>40888</v>
      </c>
      <c r="G43" s="280">
        <v>42435</v>
      </c>
      <c r="H43" s="280">
        <v>52601</v>
      </c>
      <c r="I43" s="280">
        <v>53223</v>
      </c>
      <c r="J43" s="279">
        <v>57335</v>
      </c>
      <c r="K43" s="280">
        <v>59819</v>
      </c>
      <c r="L43" s="280">
        <v>54087</v>
      </c>
      <c r="M43" s="280">
        <v>55487</v>
      </c>
      <c r="N43" s="279">
        <v>63124</v>
      </c>
      <c r="O43" s="280">
        <v>62117</v>
      </c>
      <c r="P43" s="280">
        <v>70565</v>
      </c>
      <c r="Q43" s="280">
        <v>76517</v>
      </c>
      <c r="R43" s="279">
        <v>176270</v>
      </c>
      <c r="S43" s="281">
        <v>452055</v>
      </c>
      <c r="T43" s="281">
        <v>534980</v>
      </c>
      <c r="U43" s="281">
        <v>502409</v>
      </c>
      <c r="V43" s="281">
        <v>452055</v>
      </c>
      <c r="W43" s="281">
        <v>534980</v>
      </c>
      <c r="X43" s="282">
        <v>502409</v>
      </c>
      <c r="Y43" s="283">
        <v>477525</v>
      </c>
      <c r="Z43" s="281">
        <f t="shared" si="33"/>
        <v>209005</v>
      </c>
      <c r="AA43" s="281">
        <f t="shared" si="34"/>
        <v>226497</v>
      </c>
      <c r="AB43" s="281">
        <f t="shared" si="35"/>
        <v>187004</v>
      </c>
      <c r="AC43" s="281">
        <v>209005</v>
      </c>
      <c r="AD43" s="281">
        <v>226497</v>
      </c>
      <c r="AE43" s="282">
        <v>187004</v>
      </c>
      <c r="AF43" s="281">
        <v>216171</v>
      </c>
      <c r="AG43" s="281">
        <f t="shared" si="39"/>
        <v>210869</v>
      </c>
      <c r="AH43" s="281">
        <f t="shared" si="6"/>
        <v>165726</v>
      </c>
      <c r="AI43" s="281">
        <f t="shared" si="7"/>
        <v>97685</v>
      </c>
      <c r="AJ43" s="281">
        <v>210869</v>
      </c>
      <c r="AK43" s="302">
        <v>165726</v>
      </c>
      <c r="AL43" s="281">
        <v>97685</v>
      </c>
      <c r="AM43" s="283">
        <v>269296</v>
      </c>
      <c r="AN43" s="281">
        <f t="shared" si="42"/>
        <v>157508</v>
      </c>
      <c r="AO43" s="281">
        <f t="shared" si="42"/>
        <v>162512</v>
      </c>
      <c r="AP43" s="281">
        <f t="shared" si="42"/>
        <v>190661</v>
      </c>
      <c r="AQ43" s="281">
        <v>157508</v>
      </c>
      <c r="AR43" s="302">
        <v>162512</v>
      </c>
      <c r="AS43" s="281">
        <v>190661</v>
      </c>
      <c r="AT43" s="283">
        <v>168542</v>
      </c>
      <c r="AU43" s="283">
        <f t="shared" si="183"/>
        <v>204353</v>
      </c>
      <c r="AV43" s="283">
        <f t="shared" si="184"/>
        <v>202509</v>
      </c>
      <c r="AW43" s="283">
        <f t="shared" si="46"/>
        <v>213561</v>
      </c>
      <c r="AX43" s="283">
        <v>204353</v>
      </c>
      <c r="AY43" s="283">
        <v>202509</v>
      </c>
      <c r="AZ43" s="283">
        <v>213561</v>
      </c>
      <c r="BA43" s="283">
        <v>211060</v>
      </c>
      <c r="BB43" s="283">
        <f t="shared" si="185"/>
        <v>208192</v>
      </c>
      <c r="BC43" s="283">
        <f t="shared" si="186"/>
        <v>186101</v>
      </c>
      <c r="BD43" s="283">
        <f t="shared" si="187"/>
        <v>151633</v>
      </c>
      <c r="BE43" s="283">
        <v>208192</v>
      </c>
      <c r="BF43" s="283">
        <v>186101</v>
      </c>
      <c r="BG43" s="283">
        <v>151633</v>
      </c>
      <c r="BH43" s="283">
        <v>149797</v>
      </c>
      <c r="BI43" s="506">
        <f t="shared" si="188"/>
        <v>0</v>
      </c>
      <c r="BJ43" s="506">
        <f t="shared" si="189"/>
        <v>2645</v>
      </c>
      <c r="BK43" s="506">
        <f t="shared" si="190"/>
        <v>5800</v>
      </c>
      <c r="BL43" s="283">
        <v>0</v>
      </c>
      <c r="BM43" s="283">
        <v>2645</v>
      </c>
      <c r="BN43" s="283">
        <v>5800</v>
      </c>
      <c r="BO43" s="283">
        <v>5800</v>
      </c>
      <c r="BP43" s="506">
        <f t="shared" si="191"/>
        <v>0</v>
      </c>
      <c r="BQ43" s="506">
        <f t="shared" si="192"/>
        <v>0</v>
      </c>
      <c r="BR43" s="506">
        <f t="shared" si="193"/>
        <v>0</v>
      </c>
      <c r="BS43" s="283">
        <v>0</v>
      </c>
      <c r="BT43" s="283">
        <v>0</v>
      </c>
      <c r="BU43" s="283">
        <v>0</v>
      </c>
      <c r="BV43" s="283">
        <v>12714</v>
      </c>
      <c r="BW43" s="506">
        <f t="shared" si="194"/>
        <v>33474</v>
      </c>
      <c r="BX43" s="506">
        <f t="shared" si="195"/>
        <v>11017</v>
      </c>
      <c r="BY43" s="506">
        <f t="shared" si="196"/>
        <v>18485</v>
      </c>
      <c r="BZ43" s="283">
        <v>33474</v>
      </c>
      <c r="CA43" s="283">
        <v>11017</v>
      </c>
      <c r="CB43" s="283">
        <v>18485</v>
      </c>
      <c r="CC43" s="283">
        <v>11252</v>
      </c>
      <c r="CD43" s="506">
        <f t="shared" si="197"/>
        <v>19317</v>
      </c>
      <c r="CE43" s="506">
        <f t="shared" si="198"/>
        <v>11343</v>
      </c>
      <c r="CF43" s="506">
        <f t="shared" si="199"/>
        <v>19489</v>
      </c>
      <c r="CG43" s="283">
        <v>19317</v>
      </c>
      <c r="CH43" s="283">
        <v>11343</v>
      </c>
      <c r="CI43" s="283">
        <v>19489</v>
      </c>
      <c r="CJ43" s="283">
        <v>12041</v>
      </c>
      <c r="CK43" s="506">
        <f t="shared" si="200"/>
        <v>21549</v>
      </c>
      <c r="CL43" s="283"/>
      <c r="CM43" s="283"/>
      <c r="CN43" s="283">
        <v>21549</v>
      </c>
      <c r="CO43" s="283"/>
    </row>
    <row r="44" spans="1:93" s="289" customFormat="1" x14ac:dyDescent="0.25">
      <c r="A44" s="301" t="str">
        <f>Language!C43</f>
        <v>Provisão para Manutenção</v>
      </c>
      <c r="B44" s="280"/>
      <c r="C44" s="280"/>
      <c r="D44" s="280"/>
      <c r="E44" s="280"/>
      <c r="F44" s="279"/>
      <c r="G44" s="280"/>
      <c r="H44" s="280"/>
      <c r="I44" s="280"/>
      <c r="J44" s="279"/>
      <c r="K44" s="280">
        <v>6857</v>
      </c>
      <c r="L44" s="280">
        <v>6857</v>
      </c>
      <c r="M44" s="280">
        <v>12507</v>
      </c>
      <c r="N44" s="279">
        <v>14557</v>
      </c>
      <c r="O44" s="280">
        <v>13961</v>
      </c>
      <c r="P44" s="280">
        <v>374</v>
      </c>
      <c r="Q44" s="280">
        <v>9562</v>
      </c>
      <c r="R44" s="279">
        <v>8708</v>
      </c>
      <c r="S44" s="281">
        <v>7629</v>
      </c>
      <c r="T44" s="281">
        <v>6247</v>
      </c>
      <c r="U44" s="281">
        <v>7749</v>
      </c>
      <c r="V44" s="281">
        <v>7629</v>
      </c>
      <c r="W44" s="281">
        <v>6247</v>
      </c>
      <c r="X44" s="282">
        <v>7749</v>
      </c>
      <c r="Y44" s="283">
        <v>12388</v>
      </c>
      <c r="Z44" s="281">
        <f t="shared" si="33"/>
        <v>17515</v>
      </c>
      <c r="AA44" s="281">
        <f t="shared" si="34"/>
        <v>22332</v>
      </c>
      <c r="AB44" s="281">
        <f t="shared" si="35"/>
        <v>23314</v>
      </c>
      <c r="AC44" s="281">
        <v>17515</v>
      </c>
      <c r="AD44" s="281">
        <v>22332</v>
      </c>
      <c r="AE44" s="282">
        <v>23314</v>
      </c>
      <c r="AF44" s="281">
        <v>26921</v>
      </c>
      <c r="AG44" s="281">
        <f t="shared" si="39"/>
        <v>30803</v>
      </c>
      <c r="AH44" s="281">
        <f t="shared" si="6"/>
        <v>33583</v>
      </c>
      <c r="AI44" s="281">
        <f t="shared" si="7"/>
        <v>25695</v>
      </c>
      <c r="AJ44" s="281">
        <v>30803</v>
      </c>
      <c r="AK44" s="302">
        <v>33583</v>
      </c>
      <c r="AL44" s="281">
        <v>25695</v>
      </c>
      <c r="AM44" s="283">
        <v>28924</v>
      </c>
      <c r="AN44" s="281">
        <f t="shared" si="42"/>
        <v>32018</v>
      </c>
      <c r="AO44" s="281">
        <f t="shared" si="42"/>
        <v>35214</v>
      </c>
      <c r="AP44" s="281">
        <f t="shared" si="42"/>
        <v>30436</v>
      </c>
      <c r="AQ44" s="281">
        <v>32018</v>
      </c>
      <c r="AR44" s="302">
        <v>35214</v>
      </c>
      <c r="AS44" s="281">
        <v>30436</v>
      </c>
      <c r="AT44" s="283">
        <v>33424</v>
      </c>
      <c r="AU44" s="283">
        <f t="shared" si="183"/>
        <v>37493</v>
      </c>
      <c r="AV44" s="283">
        <f t="shared" si="184"/>
        <v>41675</v>
      </c>
      <c r="AW44" s="283">
        <f t="shared" si="46"/>
        <v>41882</v>
      </c>
      <c r="AX44" s="283">
        <v>37493</v>
      </c>
      <c r="AY44" s="283">
        <v>41675</v>
      </c>
      <c r="AZ44" s="283">
        <v>41882</v>
      </c>
      <c r="BA44" s="283">
        <v>49252</v>
      </c>
      <c r="BB44" s="283">
        <f t="shared" si="185"/>
        <v>54757</v>
      </c>
      <c r="BC44" s="283">
        <f t="shared" si="186"/>
        <v>53979</v>
      </c>
      <c r="BD44" s="283">
        <f t="shared" si="187"/>
        <v>46711</v>
      </c>
      <c r="BE44" s="283">
        <v>54757</v>
      </c>
      <c r="BF44" s="283">
        <v>53979</v>
      </c>
      <c r="BG44" s="283">
        <v>46711</v>
      </c>
      <c r="BH44" s="283">
        <v>38870</v>
      </c>
      <c r="BI44" s="506">
        <f t="shared" si="188"/>
        <v>29934</v>
      </c>
      <c r="BJ44" s="506">
        <f t="shared" si="189"/>
        <v>16790</v>
      </c>
      <c r="BK44" s="506">
        <f t="shared" si="190"/>
        <v>4600</v>
      </c>
      <c r="BL44" s="283">
        <v>29934</v>
      </c>
      <c r="BM44" s="283">
        <v>16790</v>
      </c>
      <c r="BN44" s="283">
        <v>4600</v>
      </c>
      <c r="BO44" s="283">
        <v>4941</v>
      </c>
      <c r="BP44" s="506">
        <f t="shared" si="191"/>
        <v>5282</v>
      </c>
      <c r="BQ44" s="506">
        <f t="shared" si="192"/>
        <v>5623</v>
      </c>
      <c r="BR44" s="506">
        <f t="shared" si="193"/>
        <v>5964</v>
      </c>
      <c r="BS44" s="283">
        <v>5282</v>
      </c>
      <c r="BT44" s="283">
        <v>5623</v>
      </c>
      <c r="BU44" s="283">
        <v>5964</v>
      </c>
      <c r="BV44" s="283">
        <v>6682</v>
      </c>
      <c r="BW44" s="506">
        <f t="shared" si="194"/>
        <v>7400</v>
      </c>
      <c r="BX44" s="506">
        <f t="shared" si="195"/>
        <v>8118</v>
      </c>
      <c r="BY44" s="506">
        <f t="shared" si="196"/>
        <v>8836</v>
      </c>
      <c r="BZ44" s="283">
        <v>7400</v>
      </c>
      <c r="CA44" s="283">
        <v>8118</v>
      </c>
      <c r="CB44" s="283">
        <v>8836</v>
      </c>
      <c r="CC44" s="283">
        <v>9685</v>
      </c>
      <c r="CD44" s="506">
        <f t="shared" si="197"/>
        <v>683</v>
      </c>
      <c r="CE44" s="506">
        <f t="shared" si="198"/>
        <v>705</v>
      </c>
      <c r="CF44" s="506">
        <f t="shared" si="199"/>
        <v>748</v>
      </c>
      <c r="CG44" s="283">
        <v>683</v>
      </c>
      <c r="CH44" s="283">
        <v>705</v>
      </c>
      <c r="CI44" s="283">
        <v>748</v>
      </c>
      <c r="CJ44" s="283">
        <v>867</v>
      </c>
      <c r="CK44" s="506">
        <f t="shared" si="200"/>
        <v>985</v>
      </c>
      <c r="CL44" s="283"/>
      <c r="CM44" s="283"/>
      <c r="CN44" s="283">
        <v>985</v>
      </c>
      <c r="CO44" s="283"/>
    </row>
    <row r="45" spans="1:93" s="289" customFormat="1" x14ac:dyDescent="0.25">
      <c r="A45" s="301" t="str">
        <f>Language!C44</f>
        <v>Obrigações da Concessão</v>
      </c>
      <c r="B45" s="280">
        <v>3534</v>
      </c>
      <c r="C45" s="280">
        <v>4422</v>
      </c>
      <c r="D45" s="280">
        <v>5094</v>
      </c>
      <c r="E45" s="280">
        <v>6096</v>
      </c>
      <c r="F45" s="279">
        <v>6891</v>
      </c>
      <c r="G45" s="280">
        <v>8342</v>
      </c>
      <c r="H45" s="280">
        <v>8342</v>
      </c>
      <c r="I45" s="280">
        <v>8308</v>
      </c>
      <c r="J45" s="279">
        <v>0</v>
      </c>
      <c r="K45" s="280">
        <v>0</v>
      </c>
      <c r="L45" s="280">
        <v>0</v>
      </c>
      <c r="M45" s="280">
        <v>0</v>
      </c>
      <c r="N45" s="279">
        <v>0</v>
      </c>
      <c r="O45" s="280"/>
      <c r="P45" s="280">
        <v>14642</v>
      </c>
      <c r="Q45" s="280">
        <v>4754</v>
      </c>
      <c r="R45" s="279">
        <v>2653</v>
      </c>
      <c r="S45" s="281">
        <v>3434</v>
      </c>
      <c r="T45" s="281">
        <v>4357</v>
      </c>
      <c r="U45" s="281">
        <v>5015</v>
      </c>
      <c r="V45" s="281">
        <v>3434</v>
      </c>
      <c r="W45" s="281">
        <v>4357</v>
      </c>
      <c r="X45" s="282">
        <v>5015</v>
      </c>
      <c r="Y45" s="283">
        <v>6776</v>
      </c>
      <c r="Z45" s="281">
        <f t="shared" si="33"/>
        <v>5929</v>
      </c>
      <c r="AA45" s="281">
        <f t="shared" si="34"/>
        <v>1260</v>
      </c>
      <c r="AB45" s="281">
        <f t="shared" si="35"/>
        <v>903</v>
      </c>
      <c r="AC45" s="281">
        <v>5929</v>
      </c>
      <c r="AD45" s="281">
        <v>1260</v>
      </c>
      <c r="AE45" s="282">
        <v>903</v>
      </c>
      <c r="AF45" s="281">
        <v>1279</v>
      </c>
      <c r="AG45" s="281">
        <f t="shared" si="39"/>
        <v>322</v>
      </c>
      <c r="AH45" s="281">
        <f t="shared" si="6"/>
        <v>1736</v>
      </c>
      <c r="AI45" s="281">
        <f t="shared" si="7"/>
        <v>1835</v>
      </c>
      <c r="AJ45" s="281">
        <v>322</v>
      </c>
      <c r="AK45" s="302">
        <v>1736</v>
      </c>
      <c r="AL45" s="281">
        <v>1835</v>
      </c>
      <c r="AM45" s="283">
        <v>1669</v>
      </c>
      <c r="AN45" s="281">
        <f t="shared" si="42"/>
        <v>1752</v>
      </c>
      <c r="AO45" s="281">
        <f t="shared" si="42"/>
        <v>1958</v>
      </c>
      <c r="AP45" s="281">
        <f t="shared" si="42"/>
        <v>1692</v>
      </c>
      <c r="AQ45" s="281">
        <v>1752</v>
      </c>
      <c r="AR45" s="302">
        <v>1958</v>
      </c>
      <c r="AS45" s="281">
        <v>1692</v>
      </c>
      <c r="AT45" s="283">
        <v>2031</v>
      </c>
      <c r="AU45" s="283">
        <f t="shared" si="183"/>
        <v>1728</v>
      </c>
      <c r="AV45" s="283">
        <f t="shared" si="184"/>
        <v>1544</v>
      </c>
      <c r="AW45" s="283">
        <f t="shared" si="46"/>
        <v>1711</v>
      </c>
      <c r="AX45" s="283">
        <v>1728</v>
      </c>
      <c r="AY45" s="283">
        <v>1544</v>
      </c>
      <c r="AZ45" s="283">
        <v>1711</v>
      </c>
      <c r="BA45" s="283">
        <v>2081</v>
      </c>
      <c r="BB45" s="283">
        <f t="shared" si="185"/>
        <v>2713</v>
      </c>
      <c r="BC45" s="283">
        <f t="shared" si="186"/>
        <v>3148</v>
      </c>
      <c r="BD45" s="283">
        <f t="shared" si="187"/>
        <v>13054</v>
      </c>
      <c r="BE45" s="283">
        <v>2713</v>
      </c>
      <c r="BF45" s="283">
        <v>3148</v>
      </c>
      <c r="BG45" s="283">
        <v>13054</v>
      </c>
      <c r="BH45" s="283">
        <v>2172</v>
      </c>
      <c r="BI45" s="506">
        <f t="shared" si="188"/>
        <v>1171</v>
      </c>
      <c r="BJ45" s="506">
        <f t="shared" si="189"/>
        <v>1078</v>
      </c>
      <c r="BK45" s="506">
        <f t="shared" si="190"/>
        <v>6177</v>
      </c>
      <c r="BL45" s="283">
        <v>1171</v>
      </c>
      <c r="BM45" s="283">
        <v>1078</v>
      </c>
      <c r="BN45" s="283">
        <v>6177</v>
      </c>
      <c r="BO45" s="283">
        <v>4086</v>
      </c>
      <c r="BP45" s="506">
        <f t="shared" si="191"/>
        <v>3065</v>
      </c>
      <c r="BQ45" s="506">
        <f t="shared" si="192"/>
        <v>1608</v>
      </c>
      <c r="BR45" s="506">
        <f t="shared" si="193"/>
        <v>73</v>
      </c>
      <c r="BS45" s="283">
        <v>3065</v>
      </c>
      <c r="BT45" s="283">
        <v>1608</v>
      </c>
      <c r="BU45" s="283">
        <v>73</v>
      </c>
      <c r="BV45" s="283">
        <v>27</v>
      </c>
      <c r="BW45" s="506">
        <f t="shared" si="194"/>
        <v>27</v>
      </c>
      <c r="BX45" s="506">
        <f t="shared" si="195"/>
        <v>27</v>
      </c>
      <c r="BY45" s="506">
        <f t="shared" si="196"/>
        <v>20</v>
      </c>
      <c r="BZ45" s="283">
        <v>27</v>
      </c>
      <c r="CA45" s="283">
        <v>27</v>
      </c>
      <c r="CB45" s="283">
        <v>20</v>
      </c>
      <c r="CC45" s="283">
        <v>19</v>
      </c>
      <c r="CD45" s="506">
        <f t="shared" si="197"/>
        <v>19</v>
      </c>
      <c r="CE45" s="506">
        <f t="shared" si="198"/>
        <v>19</v>
      </c>
      <c r="CF45" s="506">
        <f t="shared" si="199"/>
        <v>19</v>
      </c>
      <c r="CG45" s="283">
        <v>19</v>
      </c>
      <c r="CH45" s="283">
        <v>19</v>
      </c>
      <c r="CI45" s="283">
        <v>19</v>
      </c>
      <c r="CJ45" s="283">
        <v>19</v>
      </c>
      <c r="CK45" s="506">
        <f t="shared" si="200"/>
        <v>0</v>
      </c>
      <c r="CL45" s="283"/>
      <c r="CM45" s="283"/>
      <c r="CN45" s="283">
        <v>0</v>
      </c>
      <c r="CO45" s="283"/>
    </row>
    <row r="46" spans="1:93" s="289" customFormat="1" x14ac:dyDescent="0.25">
      <c r="A46" s="301" t="str">
        <f>Language!C45</f>
        <v>Salários, Provisões e Contribuições Sociais</v>
      </c>
      <c r="B46" s="280">
        <v>3804</v>
      </c>
      <c r="C46" s="280">
        <v>5138</v>
      </c>
      <c r="D46" s="280">
        <v>5577</v>
      </c>
      <c r="E46" s="280">
        <v>4831</v>
      </c>
      <c r="F46" s="279">
        <v>4935</v>
      </c>
      <c r="G46" s="280">
        <v>5500</v>
      </c>
      <c r="H46" s="280">
        <v>6148</v>
      </c>
      <c r="I46" s="280">
        <v>4969</v>
      </c>
      <c r="J46" s="279">
        <v>5968</v>
      </c>
      <c r="K46" s="280">
        <v>6722</v>
      </c>
      <c r="L46" s="280">
        <v>7141</v>
      </c>
      <c r="M46" s="280">
        <v>6643</v>
      </c>
      <c r="N46" s="279">
        <v>7429</v>
      </c>
      <c r="O46" s="280">
        <v>8718</v>
      </c>
      <c r="P46" s="280">
        <v>11432</v>
      </c>
      <c r="Q46" s="280">
        <v>11465</v>
      </c>
      <c r="R46" s="279">
        <v>16618</v>
      </c>
      <c r="S46" s="281">
        <v>20584</v>
      </c>
      <c r="T46" s="281">
        <v>27047</v>
      </c>
      <c r="U46" s="281">
        <v>24217</v>
      </c>
      <c r="V46" s="281">
        <v>20584</v>
      </c>
      <c r="W46" s="281">
        <v>27047</v>
      </c>
      <c r="X46" s="282">
        <v>24217</v>
      </c>
      <c r="Y46" s="283">
        <v>26251</v>
      </c>
      <c r="Z46" s="281">
        <f t="shared" si="33"/>
        <v>31324</v>
      </c>
      <c r="AA46" s="281">
        <f t="shared" si="34"/>
        <v>34014</v>
      </c>
      <c r="AB46" s="281">
        <f t="shared" si="35"/>
        <v>26451</v>
      </c>
      <c r="AC46" s="281">
        <v>31324</v>
      </c>
      <c r="AD46" s="281">
        <v>34014</v>
      </c>
      <c r="AE46" s="282">
        <v>26451</v>
      </c>
      <c r="AF46" s="281">
        <v>27301</v>
      </c>
      <c r="AG46" s="281">
        <f t="shared" si="39"/>
        <v>29994</v>
      </c>
      <c r="AH46" s="281">
        <f t="shared" si="6"/>
        <v>29606</v>
      </c>
      <c r="AI46" s="281">
        <f t="shared" si="7"/>
        <v>22072</v>
      </c>
      <c r="AJ46" s="281">
        <v>29994</v>
      </c>
      <c r="AK46" s="302">
        <v>29606</v>
      </c>
      <c r="AL46" s="281">
        <v>22072</v>
      </c>
      <c r="AM46" s="283">
        <v>23400</v>
      </c>
      <c r="AN46" s="281">
        <f t="shared" si="42"/>
        <v>26284</v>
      </c>
      <c r="AO46" s="281">
        <f t="shared" si="42"/>
        <v>25551</v>
      </c>
      <c r="AP46" s="281">
        <f t="shared" si="42"/>
        <v>23086</v>
      </c>
      <c r="AQ46" s="281">
        <v>26284</v>
      </c>
      <c r="AR46" s="302">
        <v>25551</v>
      </c>
      <c r="AS46" s="281">
        <v>23086</v>
      </c>
      <c r="AT46" s="283">
        <v>26418</v>
      </c>
      <c r="AU46" s="283">
        <f t="shared" si="183"/>
        <v>24943</v>
      </c>
      <c r="AV46" s="283">
        <f t="shared" si="184"/>
        <v>26249</v>
      </c>
      <c r="AW46" s="283">
        <f t="shared" si="46"/>
        <v>24126</v>
      </c>
      <c r="AX46" s="283">
        <v>24943</v>
      </c>
      <c r="AY46" s="283">
        <v>26249</v>
      </c>
      <c r="AZ46" s="283">
        <v>24126</v>
      </c>
      <c r="BA46" s="283">
        <v>27073</v>
      </c>
      <c r="BB46" s="283">
        <f t="shared" si="185"/>
        <v>32331</v>
      </c>
      <c r="BC46" s="283">
        <f t="shared" si="186"/>
        <v>34522</v>
      </c>
      <c r="BD46" s="283">
        <f t="shared" si="187"/>
        <v>29580</v>
      </c>
      <c r="BE46" s="283">
        <v>32331</v>
      </c>
      <c r="BF46" s="283">
        <v>34522</v>
      </c>
      <c r="BG46" s="283">
        <v>29580</v>
      </c>
      <c r="BH46" s="283">
        <v>31618</v>
      </c>
      <c r="BI46" s="506">
        <f t="shared" si="188"/>
        <v>31988</v>
      </c>
      <c r="BJ46" s="506">
        <f t="shared" si="189"/>
        <v>32036</v>
      </c>
      <c r="BK46" s="506">
        <f t="shared" si="190"/>
        <v>24996</v>
      </c>
      <c r="BL46" s="283">
        <v>31988</v>
      </c>
      <c r="BM46" s="283">
        <v>32036</v>
      </c>
      <c r="BN46" s="283">
        <v>24996</v>
      </c>
      <c r="BO46" s="283">
        <v>26870</v>
      </c>
      <c r="BP46" s="506">
        <f t="shared" si="191"/>
        <v>26440</v>
      </c>
      <c r="BQ46" s="506">
        <f t="shared" si="192"/>
        <v>24624</v>
      </c>
      <c r="BR46" s="506">
        <f t="shared" si="193"/>
        <v>24737</v>
      </c>
      <c r="BS46" s="283">
        <v>26440</v>
      </c>
      <c r="BT46" s="283">
        <v>24624</v>
      </c>
      <c r="BU46" s="283">
        <v>24737</v>
      </c>
      <c r="BV46" s="283">
        <v>25748</v>
      </c>
      <c r="BW46" s="506">
        <f t="shared" si="194"/>
        <v>26734</v>
      </c>
      <c r="BX46" s="506">
        <f t="shared" si="195"/>
        <v>26144</v>
      </c>
      <c r="BY46" s="506">
        <f t="shared" si="196"/>
        <v>21596</v>
      </c>
      <c r="BZ46" s="283">
        <v>26734</v>
      </c>
      <c r="CA46" s="283">
        <v>26144</v>
      </c>
      <c r="CB46" s="283">
        <v>21596</v>
      </c>
      <c r="CC46" s="283">
        <v>24683</v>
      </c>
      <c r="CD46" s="506">
        <f t="shared" si="197"/>
        <v>26423</v>
      </c>
      <c r="CE46" s="506">
        <f t="shared" si="198"/>
        <v>26432</v>
      </c>
      <c r="CF46" s="506">
        <f t="shared" si="199"/>
        <v>29354</v>
      </c>
      <c r="CG46" s="283">
        <v>26423</v>
      </c>
      <c r="CH46" s="283">
        <v>26432</v>
      </c>
      <c r="CI46" s="283">
        <v>29354</v>
      </c>
      <c r="CJ46" s="283">
        <v>30487</v>
      </c>
      <c r="CK46" s="506">
        <f t="shared" si="200"/>
        <v>23507</v>
      </c>
      <c r="CL46" s="283"/>
      <c r="CM46" s="283"/>
      <c r="CN46" s="283">
        <v>23507</v>
      </c>
      <c r="CO46" s="283"/>
    </row>
    <row r="47" spans="1:93" s="289" customFormat="1" x14ac:dyDescent="0.25">
      <c r="A47" s="301" t="str">
        <f>Language!C46</f>
        <v>Impostos, Taxas e Contribuições</v>
      </c>
      <c r="B47" s="280">
        <v>9366</v>
      </c>
      <c r="C47" s="280">
        <v>9563</v>
      </c>
      <c r="D47" s="280">
        <v>11666</v>
      </c>
      <c r="E47" s="280">
        <v>16752</v>
      </c>
      <c r="F47" s="279">
        <v>11228</v>
      </c>
      <c r="G47" s="280">
        <v>11767</v>
      </c>
      <c r="H47" s="280">
        <v>12841</v>
      </c>
      <c r="I47" s="280">
        <v>16875</v>
      </c>
      <c r="J47" s="279">
        <v>22904</v>
      </c>
      <c r="K47" s="280">
        <v>11942</v>
      </c>
      <c r="L47" s="280">
        <v>12098</v>
      </c>
      <c r="M47" s="280">
        <v>16094</v>
      </c>
      <c r="N47" s="279">
        <v>12602</v>
      </c>
      <c r="O47" s="280">
        <v>9983</v>
      </c>
      <c r="P47" s="280">
        <v>14797</v>
      </c>
      <c r="Q47" s="280">
        <v>15142</v>
      </c>
      <c r="R47" s="279">
        <v>40390</v>
      </c>
      <c r="S47" s="281">
        <v>40826</v>
      </c>
      <c r="T47" s="281">
        <v>67999</v>
      </c>
      <c r="U47" s="281">
        <v>84333</v>
      </c>
      <c r="V47" s="281">
        <v>40826</v>
      </c>
      <c r="W47" s="281">
        <v>67999</v>
      </c>
      <c r="X47" s="282">
        <v>84333</v>
      </c>
      <c r="Y47" s="283">
        <v>93621</v>
      </c>
      <c r="Z47" s="281">
        <f t="shared" si="33"/>
        <v>103302</v>
      </c>
      <c r="AA47" s="281">
        <f t="shared" si="34"/>
        <v>92631</v>
      </c>
      <c r="AB47" s="281">
        <f t="shared" si="35"/>
        <v>99677</v>
      </c>
      <c r="AC47" s="281">
        <v>103302</v>
      </c>
      <c r="AD47" s="281">
        <v>92631</v>
      </c>
      <c r="AE47" s="282">
        <v>99677</v>
      </c>
      <c r="AF47" s="281">
        <v>102030</v>
      </c>
      <c r="AG47" s="281">
        <f t="shared" si="39"/>
        <v>107522</v>
      </c>
      <c r="AH47" s="281">
        <f t="shared" si="6"/>
        <v>51418</v>
      </c>
      <c r="AI47" s="281">
        <f t="shared" si="7"/>
        <v>108878</v>
      </c>
      <c r="AJ47" s="281">
        <v>107522</v>
      </c>
      <c r="AK47" s="302">
        <v>51418</v>
      </c>
      <c r="AL47" s="281">
        <v>108878</v>
      </c>
      <c r="AM47" s="283">
        <v>91903</v>
      </c>
      <c r="AN47" s="281">
        <f t="shared" si="42"/>
        <v>87732</v>
      </c>
      <c r="AO47" s="281">
        <f t="shared" si="42"/>
        <v>80400</v>
      </c>
      <c r="AP47" s="281">
        <f t="shared" si="42"/>
        <v>74932</v>
      </c>
      <c r="AQ47" s="281">
        <v>87732</v>
      </c>
      <c r="AR47" s="302">
        <v>80400</v>
      </c>
      <c r="AS47" s="281">
        <v>74932</v>
      </c>
      <c r="AT47" s="283">
        <v>23773</v>
      </c>
      <c r="AU47" s="283">
        <f t="shared" si="183"/>
        <v>61424</v>
      </c>
      <c r="AV47" s="283">
        <f t="shared" si="184"/>
        <v>38060</v>
      </c>
      <c r="AW47" s="283">
        <f t="shared" si="46"/>
        <v>42662</v>
      </c>
      <c r="AX47" s="283">
        <v>61424</v>
      </c>
      <c r="AY47" s="283">
        <v>38060</v>
      </c>
      <c r="AZ47" s="283">
        <v>42662</v>
      </c>
      <c r="BA47" s="283">
        <v>42674</v>
      </c>
      <c r="BB47" s="283">
        <f t="shared" si="185"/>
        <v>37386</v>
      </c>
      <c r="BC47" s="283">
        <f t="shared" si="186"/>
        <v>32836</v>
      </c>
      <c r="BD47" s="283">
        <f t="shared" si="187"/>
        <v>30563</v>
      </c>
      <c r="BE47" s="283">
        <v>37386</v>
      </c>
      <c r="BF47" s="283">
        <v>32836</v>
      </c>
      <c r="BG47" s="283">
        <v>30563</v>
      </c>
      <c r="BH47" s="283">
        <v>26843</v>
      </c>
      <c r="BI47" s="506">
        <f t="shared" si="188"/>
        <v>28456</v>
      </c>
      <c r="BJ47" s="506">
        <f t="shared" si="189"/>
        <v>36571</v>
      </c>
      <c r="BK47" s="506">
        <f t="shared" si="190"/>
        <v>29549</v>
      </c>
      <c r="BL47" s="283">
        <v>28456</v>
      </c>
      <c r="BM47" s="283">
        <v>36571</v>
      </c>
      <c r="BN47" s="283">
        <v>29549</v>
      </c>
      <c r="BO47" s="283">
        <v>30281</v>
      </c>
      <c r="BP47" s="506">
        <f t="shared" si="191"/>
        <v>31931</v>
      </c>
      <c r="BQ47" s="506">
        <f t="shared" si="192"/>
        <v>37482</v>
      </c>
      <c r="BR47" s="506">
        <f t="shared" si="193"/>
        <v>28601</v>
      </c>
      <c r="BS47" s="283">
        <v>31931</v>
      </c>
      <c r="BT47" s="283">
        <v>37482</v>
      </c>
      <c r="BU47" s="283">
        <v>28601</v>
      </c>
      <c r="BV47" s="283">
        <v>24557</v>
      </c>
      <c r="BW47" s="506">
        <f t="shared" si="194"/>
        <v>27204</v>
      </c>
      <c r="BX47" s="506">
        <f t="shared" si="195"/>
        <v>31403</v>
      </c>
      <c r="BY47" s="506">
        <f t="shared" si="196"/>
        <v>37463</v>
      </c>
      <c r="BZ47" s="283">
        <v>27204</v>
      </c>
      <c r="CA47" s="283">
        <v>31403</v>
      </c>
      <c r="CB47" s="283">
        <v>37463</v>
      </c>
      <c r="CC47" s="283">
        <v>26247</v>
      </c>
      <c r="CD47" s="506">
        <f t="shared" si="197"/>
        <v>39619</v>
      </c>
      <c r="CE47" s="506">
        <f t="shared" si="198"/>
        <v>38338</v>
      </c>
      <c r="CF47" s="506">
        <f t="shared" si="199"/>
        <v>42449</v>
      </c>
      <c r="CG47" s="283">
        <v>39619</v>
      </c>
      <c r="CH47" s="283">
        <v>38338</v>
      </c>
      <c r="CI47" s="283">
        <v>42449</v>
      </c>
      <c r="CJ47" s="283">
        <v>43830</v>
      </c>
      <c r="CK47" s="506">
        <f t="shared" si="200"/>
        <v>42968</v>
      </c>
      <c r="CL47" s="283"/>
      <c r="CM47" s="283"/>
      <c r="CN47" s="283">
        <v>42968</v>
      </c>
      <c r="CO47" s="283"/>
    </row>
    <row r="48" spans="1:93" s="289" customFormat="1" x14ac:dyDescent="0.25">
      <c r="A48" s="301" t="str">
        <f>Language!C47</f>
        <v>Adiantamento de Clientes</v>
      </c>
      <c r="B48" s="280">
        <v>546</v>
      </c>
      <c r="C48" s="280">
        <v>1099</v>
      </c>
      <c r="D48" s="280">
        <v>1145</v>
      </c>
      <c r="E48" s="280">
        <v>400</v>
      </c>
      <c r="F48" s="279">
        <v>339</v>
      </c>
      <c r="G48" s="280">
        <v>356</v>
      </c>
      <c r="H48" s="280">
        <v>0</v>
      </c>
      <c r="I48" s="280">
        <v>346</v>
      </c>
      <c r="J48" s="279">
        <v>321</v>
      </c>
      <c r="K48" s="280">
        <v>342</v>
      </c>
      <c r="L48" s="280">
        <v>325</v>
      </c>
      <c r="M48" s="280">
        <v>338</v>
      </c>
      <c r="N48" s="279">
        <v>324</v>
      </c>
      <c r="O48" s="280">
        <v>314</v>
      </c>
      <c r="P48" s="280">
        <v>313</v>
      </c>
      <c r="Q48" s="280">
        <v>843</v>
      </c>
      <c r="R48" s="279">
        <v>854</v>
      </c>
      <c r="S48" s="281">
        <v>712</v>
      </c>
      <c r="T48" s="281">
        <v>695</v>
      </c>
      <c r="U48" s="281">
        <v>692</v>
      </c>
      <c r="V48" s="281">
        <v>712</v>
      </c>
      <c r="W48" s="281">
        <v>695</v>
      </c>
      <c r="X48" s="282">
        <v>692</v>
      </c>
      <c r="Y48" s="283">
        <v>478</v>
      </c>
      <c r="Z48" s="281">
        <f t="shared" si="33"/>
        <v>505</v>
      </c>
      <c r="AA48" s="281">
        <f t="shared" si="34"/>
        <v>492</v>
      </c>
      <c r="AB48" s="281">
        <f t="shared" si="35"/>
        <v>299</v>
      </c>
      <c r="AC48" s="281">
        <v>505</v>
      </c>
      <c r="AD48" s="281">
        <v>492</v>
      </c>
      <c r="AE48" s="282">
        <v>299</v>
      </c>
      <c r="AF48" s="281">
        <v>491</v>
      </c>
      <c r="AG48" s="281">
        <f t="shared" si="39"/>
        <v>140</v>
      </c>
      <c r="AH48" s="281">
        <f t="shared" si="6"/>
        <v>636</v>
      </c>
      <c r="AI48" s="281">
        <f t="shared" si="7"/>
        <v>1555</v>
      </c>
      <c r="AJ48" s="281">
        <v>140</v>
      </c>
      <c r="AK48" s="302">
        <v>636</v>
      </c>
      <c r="AL48" s="281">
        <v>1555</v>
      </c>
      <c r="AM48" s="283">
        <v>501</v>
      </c>
      <c r="AN48" s="281">
        <f t="shared" si="42"/>
        <v>425</v>
      </c>
      <c r="AO48" s="281">
        <f t="shared" si="42"/>
        <v>449</v>
      </c>
      <c r="AP48" s="281">
        <f t="shared" si="42"/>
        <v>350</v>
      </c>
      <c r="AQ48" s="281">
        <v>425</v>
      </c>
      <c r="AR48" s="302">
        <v>449</v>
      </c>
      <c r="AS48" s="281">
        <v>350</v>
      </c>
      <c r="AT48" s="283">
        <v>325</v>
      </c>
      <c r="AU48" s="283">
        <f t="shared" si="183"/>
        <v>324</v>
      </c>
      <c r="AV48" s="283">
        <f t="shared" si="184"/>
        <v>508</v>
      </c>
      <c r="AW48" s="283">
        <f t="shared" si="46"/>
        <v>320</v>
      </c>
      <c r="AX48" s="283">
        <v>324</v>
      </c>
      <c r="AY48" s="283">
        <v>508</v>
      </c>
      <c r="AZ48" s="283">
        <v>320</v>
      </c>
      <c r="BA48" s="283">
        <v>340</v>
      </c>
      <c r="BB48" s="283">
        <f t="shared" si="185"/>
        <v>311</v>
      </c>
      <c r="BC48" s="283">
        <f t="shared" si="186"/>
        <v>255</v>
      </c>
      <c r="BD48" s="283">
        <f t="shared" si="187"/>
        <v>-1</v>
      </c>
      <c r="BE48" s="283">
        <v>311</v>
      </c>
      <c r="BF48" s="283">
        <v>255</v>
      </c>
      <c r="BG48" s="283">
        <v>-1</v>
      </c>
      <c r="BH48" s="283">
        <v>0</v>
      </c>
      <c r="BI48" s="506">
        <f t="shared" si="188"/>
        <v>0</v>
      </c>
      <c r="BJ48" s="506">
        <f t="shared" si="189"/>
        <v>0</v>
      </c>
      <c r="BK48" s="506">
        <f t="shared" si="190"/>
        <v>0</v>
      </c>
      <c r="BL48" s="283">
        <v>0</v>
      </c>
      <c r="BM48" s="283">
        <v>0</v>
      </c>
      <c r="BN48" s="283">
        <v>0</v>
      </c>
      <c r="BO48" s="283">
        <v>9</v>
      </c>
      <c r="BP48" s="506">
        <f t="shared" si="191"/>
        <v>109998</v>
      </c>
      <c r="BQ48" s="506">
        <f t="shared" si="192"/>
        <v>-8</v>
      </c>
      <c r="BR48" s="506">
        <f t="shared" si="193"/>
        <v>11</v>
      </c>
      <c r="BS48" s="283">
        <v>109998</v>
      </c>
      <c r="BT48" s="283">
        <v>-8</v>
      </c>
      <c r="BU48" s="283">
        <v>11</v>
      </c>
      <c r="BV48" s="283">
        <v>-22</v>
      </c>
      <c r="BW48" s="506">
        <f t="shared" si="194"/>
        <v>-28</v>
      </c>
      <c r="BX48" s="506">
        <f t="shared" si="195"/>
        <v>-17</v>
      </c>
      <c r="BY48" s="506">
        <f t="shared" si="196"/>
        <v>-19</v>
      </c>
      <c r="BZ48" s="283">
        <v>-28</v>
      </c>
      <c r="CA48" s="283">
        <v>-17</v>
      </c>
      <c r="CB48" s="283">
        <v>-19</v>
      </c>
      <c r="CC48" s="283">
        <v>0</v>
      </c>
      <c r="CD48" s="506">
        <f t="shared" si="197"/>
        <v>0</v>
      </c>
      <c r="CE48" s="506">
        <f t="shared" si="198"/>
        <v>2</v>
      </c>
      <c r="CF48" s="506">
        <f t="shared" si="199"/>
        <v>0</v>
      </c>
      <c r="CG48" s="283">
        <v>0</v>
      </c>
      <c r="CH48" s="283">
        <v>2</v>
      </c>
      <c r="CI48" s="283">
        <v>0</v>
      </c>
      <c r="CJ48" s="283">
        <v>1</v>
      </c>
      <c r="CK48" s="506">
        <f t="shared" si="200"/>
        <v>15</v>
      </c>
      <c r="CL48" s="283"/>
      <c r="CM48" s="283"/>
      <c r="CN48" s="283">
        <v>15</v>
      </c>
      <c r="CO48" s="283"/>
    </row>
    <row r="49" spans="1:93" s="289" customFormat="1" x14ac:dyDescent="0.25">
      <c r="A49" s="301" t="str">
        <f>Language!C48</f>
        <v>Dividendos Propostos</v>
      </c>
      <c r="B49" s="280">
        <v>5043</v>
      </c>
      <c r="C49" s="280">
        <v>94</v>
      </c>
      <c r="D49" s="280">
        <v>94</v>
      </c>
      <c r="E49" s="280">
        <v>16875</v>
      </c>
      <c r="F49" s="279">
        <v>8126</v>
      </c>
      <c r="G49" s="280">
        <v>3751</v>
      </c>
      <c r="H49" s="280">
        <v>6876</v>
      </c>
      <c r="I49" s="280">
        <v>6679</v>
      </c>
      <c r="J49" s="279">
        <v>1737</v>
      </c>
      <c r="K49" s="280">
        <v>13012</v>
      </c>
      <c r="L49" s="280">
        <v>876</v>
      </c>
      <c r="M49" s="280">
        <v>509</v>
      </c>
      <c r="N49" s="279">
        <v>1043</v>
      </c>
      <c r="O49" s="280">
        <v>58953</v>
      </c>
      <c r="P49" s="280">
        <v>59885</v>
      </c>
      <c r="Q49" s="280">
        <v>48355</v>
      </c>
      <c r="R49" s="279">
        <v>2516</v>
      </c>
      <c r="S49" s="281">
        <v>3080</v>
      </c>
      <c r="T49" s="281">
        <v>3080</v>
      </c>
      <c r="U49" s="281">
        <v>6184</v>
      </c>
      <c r="V49" s="281">
        <v>3080</v>
      </c>
      <c r="W49" s="281">
        <v>3080</v>
      </c>
      <c r="X49" s="282">
        <v>6184</v>
      </c>
      <c r="Y49" s="283">
        <v>8261</v>
      </c>
      <c r="Z49" s="281">
        <f t="shared" si="33"/>
        <v>2452</v>
      </c>
      <c r="AA49" s="281">
        <f t="shared" si="34"/>
        <v>1548</v>
      </c>
      <c r="AB49" s="281">
        <f t="shared" si="35"/>
        <v>1547</v>
      </c>
      <c r="AC49" s="281">
        <v>2452</v>
      </c>
      <c r="AD49" s="281">
        <v>1548</v>
      </c>
      <c r="AE49" s="282">
        <v>1547</v>
      </c>
      <c r="AF49" s="281">
        <v>1544</v>
      </c>
      <c r="AG49" s="281">
        <f t="shared" si="39"/>
        <v>1544</v>
      </c>
      <c r="AH49" s="281">
        <f t="shared" si="6"/>
        <v>1544</v>
      </c>
      <c r="AI49" s="281">
        <f t="shared" si="7"/>
        <v>2493</v>
      </c>
      <c r="AJ49" s="281">
        <v>1544</v>
      </c>
      <c r="AK49" s="302">
        <v>1544</v>
      </c>
      <c r="AL49" s="281">
        <v>2493</v>
      </c>
      <c r="AM49" s="283">
        <v>2493</v>
      </c>
      <c r="AN49" s="281">
        <f t="shared" si="42"/>
        <v>1544</v>
      </c>
      <c r="AO49" s="281">
        <f t="shared" si="42"/>
        <v>1544</v>
      </c>
      <c r="AP49" s="281">
        <f t="shared" si="42"/>
        <v>1544</v>
      </c>
      <c r="AQ49" s="281">
        <v>1544</v>
      </c>
      <c r="AR49" s="302">
        <v>1544</v>
      </c>
      <c r="AS49" s="281">
        <v>1544</v>
      </c>
      <c r="AT49" s="283">
        <v>1544</v>
      </c>
      <c r="AU49" s="283">
        <f t="shared" si="183"/>
        <v>2931</v>
      </c>
      <c r="AV49" s="283">
        <f t="shared" si="184"/>
        <v>2931</v>
      </c>
      <c r="AW49" s="283">
        <f t="shared" si="46"/>
        <v>1784</v>
      </c>
      <c r="AX49" s="283">
        <v>2931</v>
      </c>
      <c r="AY49" s="283">
        <v>2931</v>
      </c>
      <c r="AZ49" s="283">
        <v>1784</v>
      </c>
      <c r="BA49" s="283">
        <v>1545</v>
      </c>
      <c r="BB49" s="283">
        <f t="shared" si="185"/>
        <v>1545</v>
      </c>
      <c r="BC49" s="283">
        <f t="shared" si="186"/>
        <v>1544</v>
      </c>
      <c r="BD49" s="283">
        <f t="shared" si="187"/>
        <v>1545</v>
      </c>
      <c r="BE49" s="283">
        <v>1545</v>
      </c>
      <c r="BF49" s="283">
        <v>1544</v>
      </c>
      <c r="BG49" s="283">
        <v>1545</v>
      </c>
      <c r="BH49" s="283">
        <v>1545</v>
      </c>
      <c r="BI49" s="506">
        <f t="shared" si="188"/>
        <v>1545</v>
      </c>
      <c r="BJ49" s="506">
        <f t="shared" si="189"/>
        <v>1545</v>
      </c>
      <c r="BK49" s="506">
        <f t="shared" si="190"/>
        <v>1545</v>
      </c>
      <c r="BL49" s="283">
        <v>1545</v>
      </c>
      <c r="BM49" s="283">
        <v>1545</v>
      </c>
      <c r="BN49" s="283">
        <v>1545</v>
      </c>
      <c r="BO49" s="283">
        <v>1545</v>
      </c>
      <c r="BP49" s="506">
        <f t="shared" si="191"/>
        <v>1545</v>
      </c>
      <c r="BQ49" s="506">
        <f t="shared" si="192"/>
        <v>1545</v>
      </c>
      <c r="BR49" s="506">
        <f t="shared" si="193"/>
        <v>1545</v>
      </c>
      <c r="BS49" s="283">
        <v>1545</v>
      </c>
      <c r="BT49" s="283">
        <v>1545</v>
      </c>
      <c r="BU49" s="283">
        <v>1545</v>
      </c>
      <c r="BV49" s="283">
        <v>1545</v>
      </c>
      <c r="BW49" s="506">
        <f t="shared" si="194"/>
        <v>1545</v>
      </c>
      <c r="BX49" s="506">
        <f t="shared" si="195"/>
        <v>1545</v>
      </c>
      <c r="BY49" s="506">
        <f t="shared" si="196"/>
        <v>1545</v>
      </c>
      <c r="BZ49" s="283">
        <v>1545</v>
      </c>
      <c r="CA49" s="283">
        <v>1545</v>
      </c>
      <c r="CB49" s="283">
        <v>1545</v>
      </c>
      <c r="CC49" s="283">
        <v>1546</v>
      </c>
      <c r="CD49" s="506">
        <f t="shared" si="197"/>
        <v>1544</v>
      </c>
      <c r="CE49" s="506">
        <f t="shared" si="198"/>
        <v>1545</v>
      </c>
      <c r="CF49" s="506">
        <f t="shared" si="199"/>
        <v>1545</v>
      </c>
      <c r="CG49" s="283">
        <v>1544</v>
      </c>
      <c r="CH49" s="283">
        <v>1545</v>
      </c>
      <c r="CI49" s="283">
        <v>1545</v>
      </c>
      <c r="CJ49" s="283">
        <v>1545</v>
      </c>
      <c r="CK49" s="506">
        <f t="shared" si="200"/>
        <v>1545</v>
      </c>
      <c r="CL49" s="283"/>
      <c r="CM49" s="283"/>
      <c r="CN49" s="283">
        <v>1545</v>
      </c>
      <c r="CO49" s="283"/>
    </row>
    <row r="50" spans="1:93" s="289" customFormat="1" x14ac:dyDescent="0.25">
      <c r="A50" s="301" t="str">
        <f>Language!C49</f>
        <v>Contas a Pagar – Partes Relacionadas</v>
      </c>
      <c r="B50" s="280">
        <v>1765</v>
      </c>
      <c r="C50" s="280">
        <v>345</v>
      </c>
      <c r="D50" s="280">
        <v>986</v>
      </c>
      <c r="E50" s="280">
        <v>4178</v>
      </c>
      <c r="F50" s="279">
        <v>3291</v>
      </c>
      <c r="G50" s="280">
        <v>4518</v>
      </c>
      <c r="H50" s="280">
        <v>1453</v>
      </c>
      <c r="I50" s="280">
        <v>9927</v>
      </c>
      <c r="J50" s="279">
        <v>4745</v>
      </c>
      <c r="K50" s="280">
        <v>5409</v>
      </c>
      <c r="L50" s="280">
        <v>3789</v>
      </c>
      <c r="M50" s="280">
        <v>7844</v>
      </c>
      <c r="N50" s="279">
        <v>1810</v>
      </c>
      <c r="O50" s="280">
        <v>4942</v>
      </c>
      <c r="P50" s="280">
        <v>1989</v>
      </c>
      <c r="Q50" s="280">
        <v>14357</v>
      </c>
      <c r="R50" s="279">
        <v>25716</v>
      </c>
      <c r="S50" s="281">
        <v>72211</v>
      </c>
      <c r="T50" s="281">
        <v>84361</v>
      </c>
      <c r="U50" s="281">
        <v>70711</v>
      </c>
      <c r="V50" s="281">
        <v>72211</v>
      </c>
      <c r="W50" s="281">
        <v>84361</v>
      </c>
      <c r="X50" s="282">
        <v>70711</v>
      </c>
      <c r="Y50" s="283">
        <v>40489</v>
      </c>
      <c r="Z50" s="281">
        <f t="shared" si="33"/>
        <v>102345</v>
      </c>
      <c r="AA50" s="281">
        <f t="shared" si="34"/>
        <v>100276</v>
      </c>
      <c r="AB50" s="281">
        <f t="shared" si="35"/>
        <v>93193</v>
      </c>
      <c r="AC50" s="281">
        <v>102345</v>
      </c>
      <c r="AD50" s="281">
        <v>100276</v>
      </c>
      <c r="AE50" s="282">
        <v>93193</v>
      </c>
      <c r="AF50" s="281">
        <v>104178</v>
      </c>
      <c r="AG50" s="281">
        <f t="shared" si="39"/>
        <v>90068</v>
      </c>
      <c r="AH50" s="281">
        <f t="shared" si="6"/>
        <v>115207</v>
      </c>
      <c r="AI50" s="281">
        <f t="shared" si="7"/>
        <v>318767</v>
      </c>
      <c r="AJ50" s="281">
        <v>90068</v>
      </c>
      <c r="AK50" s="302">
        <v>115207</v>
      </c>
      <c r="AL50" s="281">
        <v>318767</v>
      </c>
      <c r="AM50" s="283">
        <v>295040</v>
      </c>
      <c r="AN50" s="281">
        <f t="shared" si="42"/>
        <v>295118</v>
      </c>
      <c r="AO50" s="281">
        <f t="shared" si="42"/>
        <v>333645</v>
      </c>
      <c r="AP50" s="281">
        <f t="shared" si="42"/>
        <v>346826</v>
      </c>
      <c r="AQ50" s="281">
        <v>295118</v>
      </c>
      <c r="AR50" s="302">
        <v>333645</v>
      </c>
      <c r="AS50" s="281">
        <v>346826</v>
      </c>
      <c r="AT50" s="283">
        <v>154282</v>
      </c>
      <c r="AU50" s="283">
        <f t="shared" si="183"/>
        <v>189089</v>
      </c>
      <c r="AV50" s="283">
        <f t="shared" si="184"/>
        <v>190158</v>
      </c>
      <c r="AW50" s="283">
        <f t="shared" si="46"/>
        <v>164904</v>
      </c>
      <c r="AX50" s="283">
        <v>189089</v>
      </c>
      <c r="AY50" s="283">
        <v>190158</v>
      </c>
      <c r="AZ50" s="283">
        <v>164904</v>
      </c>
      <c r="BA50" s="283">
        <v>158886</v>
      </c>
      <c r="BB50" s="283">
        <f t="shared" si="185"/>
        <v>154194</v>
      </c>
      <c r="BC50" s="283">
        <f t="shared" si="186"/>
        <v>152369</v>
      </c>
      <c r="BD50" s="283">
        <f t="shared" si="187"/>
        <v>135015</v>
      </c>
      <c r="BE50" s="283">
        <v>154194</v>
      </c>
      <c r="BF50" s="283">
        <v>152369</v>
      </c>
      <c r="BG50" s="283">
        <v>135015</v>
      </c>
      <c r="BH50" s="283">
        <v>135426</v>
      </c>
      <c r="BI50" s="506">
        <f t="shared" si="188"/>
        <v>129573</v>
      </c>
      <c r="BJ50" s="506">
        <f t="shared" si="189"/>
        <v>131447</v>
      </c>
      <c r="BK50" s="506">
        <f t="shared" si="190"/>
        <v>129606</v>
      </c>
      <c r="BL50" s="283">
        <v>129573</v>
      </c>
      <c r="BM50" s="283">
        <v>131447</v>
      </c>
      <c r="BN50" s="283">
        <v>129606</v>
      </c>
      <c r="BO50" s="283">
        <v>131230</v>
      </c>
      <c r="BP50" s="506">
        <f t="shared" si="191"/>
        <v>-5917</v>
      </c>
      <c r="BQ50" s="506">
        <f t="shared" si="192"/>
        <v>111303</v>
      </c>
      <c r="BR50" s="506">
        <f t="shared" si="193"/>
        <v>113653</v>
      </c>
      <c r="BS50" s="283">
        <v>-5917</v>
      </c>
      <c r="BT50" s="283">
        <v>111303</v>
      </c>
      <c r="BU50" s="283">
        <v>113653</v>
      </c>
      <c r="BV50" s="283">
        <v>113520</v>
      </c>
      <c r="BW50" s="506">
        <f t="shared" si="194"/>
        <v>113297</v>
      </c>
      <c r="BX50" s="506">
        <f t="shared" si="195"/>
        <v>114918</v>
      </c>
      <c r="BY50" s="506">
        <f t="shared" si="196"/>
        <v>108795</v>
      </c>
      <c r="BZ50" s="283">
        <v>113297</v>
      </c>
      <c r="CA50" s="283">
        <v>114918</v>
      </c>
      <c r="CB50" s="283">
        <v>108795</v>
      </c>
      <c r="CC50" s="283">
        <v>97848</v>
      </c>
      <c r="CD50" s="506">
        <f t="shared" si="197"/>
        <v>93517</v>
      </c>
      <c r="CE50" s="506">
        <f t="shared" si="198"/>
        <v>89458</v>
      </c>
      <c r="CF50" s="506">
        <f t="shared" si="199"/>
        <v>93745</v>
      </c>
      <c r="CG50" s="283">
        <v>93517</v>
      </c>
      <c r="CH50" s="283">
        <v>89458</v>
      </c>
      <c r="CI50" s="283">
        <v>93745</v>
      </c>
      <c r="CJ50" s="283">
        <v>94671</v>
      </c>
      <c r="CK50" s="506">
        <f t="shared" si="200"/>
        <v>91438</v>
      </c>
      <c r="CL50" s="283"/>
      <c r="CM50" s="283"/>
      <c r="CN50" s="283">
        <v>91438</v>
      </c>
      <c r="CO50" s="283"/>
    </row>
    <row r="51" spans="1:93" s="289" customFormat="1" x14ac:dyDescent="0.25">
      <c r="A51" s="301" t="str">
        <f>Language!C50</f>
        <v>Contratos de Aquisição de Ativos</v>
      </c>
      <c r="B51" s="280">
        <v>0</v>
      </c>
      <c r="C51" s="280">
        <v>0</v>
      </c>
      <c r="D51" s="280">
        <v>0</v>
      </c>
      <c r="E51" s="280">
        <v>0</v>
      </c>
      <c r="F51" s="279">
        <v>0</v>
      </c>
      <c r="G51" s="280">
        <v>0</v>
      </c>
      <c r="H51" s="280">
        <v>0</v>
      </c>
      <c r="I51" s="280">
        <v>0</v>
      </c>
      <c r="J51" s="279">
        <v>0</v>
      </c>
      <c r="K51" s="280">
        <v>0</v>
      </c>
      <c r="L51" s="280">
        <v>0</v>
      </c>
      <c r="M51" s="280">
        <v>0</v>
      </c>
      <c r="N51" s="279">
        <v>0</v>
      </c>
      <c r="O51" s="280">
        <v>0</v>
      </c>
      <c r="P51" s="280">
        <v>0</v>
      </c>
      <c r="Q51" s="280">
        <v>0</v>
      </c>
      <c r="R51" s="279">
        <v>0</v>
      </c>
      <c r="S51" s="281">
        <v>0</v>
      </c>
      <c r="T51" s="281">
        <v>0</v>
      </c>
      <c r="U51" s="281">
        <v>0</v>
      </c>
      <c r="V51" s="281">
        <v>0</v>
      </c>
      <c r="W51" s="281">
        <v>0</v>
      </c>
      <c r="X51" s="282">
        <v>0</v>
      </c>
      <c r="Y51" s="283"/>
      <c r="Z51" s="281"/>
      <c r="AA51" s="281"/>
      <c r="AB51" s="281"/>
      <c r="AC51" s="281"/>
      <c r="AD51" s="281"/>
      <c r="AE51" s="282"/>
      <c r="AF51" s="281"/>
      <c r="AG51" s="281"/>
      <c r="AH51" s="281"/>
      <c r="AI51" s="281"/>
      <c r="AJ51" s="281"/>
      <c r="AK51" s="302"/>
      <c r="AL51" s="281"/>
      <c r="AM51" s="283"/>
      <c r="AN51" s="281"/>
      <c r="AO51" s="281"/>
      <c r="AP51" s="281"/>
      <c r="AQ51" s="281"/>
      <c r="AR51" s="302"/>
      <c r="AS51" s="281"/>
      <c r="AT51" s="283"/>
      <c r="AU51" s="283">
        <f t="shared" si="183"/>
        <v>0</v>
      </c>
      <c r="AV51" s="283">
        <f t="shared" si="184"/>
        <v>0</v>
      </c>
      <c r="AW51" s="283">
        <f t="shared" si="46"/>
        <v>0</v>
      </c>
      <c r="AX51" s="283"/>
      <c r="AY51" s="283">
        <v>0</v>
      </c>
      <c r="AZ51" s="731">
        <v>0</v>
      </c>
      <c r="BA51" s="731">
        <v>0</v>
      </c>
      <c r="BB51" s="283">
        <f t="shared" si="185"/>
        <v>0</v>
      </c>
      <c r="BC51" s="283">
        <f t="shared" si="186"/>
        <v>0</v>
      </c>
      <c r="BD51" s="283">
        <f t="shared" si="187"/>
        <v>0</v>
      </c>
      <c r="BE51" s="731">
        <v>0</v>
      </c>
      <c r="BF51" s="731">
        <v>0</v>
      </c>
      <c r="BG51" s="731">
        <v>0</v>
      </c>
      <c r="BH51" s="731">
        <v>0</v>
      </c>
      <c r="BI51" s="506">
        <f t="shared" si="188"/>
        <v>0</v>
      </c>
      <c r="BJ51" s="506">
        <f t="shared" si="189"/>
        <v>0</v>
      </c>
      <c r="BK51" s="506">
        <f t="shared" si="190"/>
        <v>0</v>
      </c>
      <c r="BL51" s="731">
        <v>0</v>
      </c>
      <c r="BM51" s="731">
        <v>0</v>
      </c>
      <c r="BN51" s="731">
        <v>0</v>
      </c>
      <c r="BO51" s="731">
        <v>0</v>
      </c>
      <c r="BP51" s="506">
        <f t="shared" si="191"/>
        <v>0</v>
      </c>
      <c r="BQ51" s="506">
        <f t="shared" si="192"/>
        <v>0</v>
      </c>
      <c r="BR51" s="506">
        <f t="shared" si="193"/>
        <v>0</v>
      </c>
      <c r="BS51" s="731">
        <v>0</v>
      </c>
      <c r="BT51" s="731">
        <v>0</v>
      </c>
      <c r="BU51" s="731">
        <v>0</v>
      </c>
      <c r="BV51" s="731">
        <v>0</v>
      </c>
      <c r="BW51" s="506">
        <f t="shared" si="194"/>
        <v>0</v>
      </c>
      <c r="BX51" s="506">
        <f t="shared" si="195"/>
        <v>0</v>
      </c>
      <c r="BY51" s="506">
        <f t="shared" si="196"/>
        <v>0</v>
      </c>
      <c r="BZ51" s="731">
        <v>0</v>
      </c>
      <c r="CA51" s="731">
        <v>0</v>
      </c>
      <c r="CB51" s="731">
        <v>0</v>
      </c>
      <c r="CC51" s="731">
        <v>0</v>
      </c>
      <c r="CD51" s="506">
        <f t="shared" si="197"/>
        <v>0</v>
      </c>
      <c r="CE51" s="506">
        <f t="shared" si="198"/>
        <v>0</v>
      </c>
      <c r="CF51" s="506">
        <f t="shared" si="199"/>
        <v>0</v>
      </c>
      <c r="CG51" s="731">
        <v>0</v>
      </c>
      <c r="CH51" s="731">
        <v>0</v>
      </c>
      <c r="CI51" s="731">
        <v>0</v>
      </c>
      <c r="CJ51" s="731">
        <v>0</v>
      </c>
      <c r="CK51" s="506">
        <f t="shared" si="200"/>
        <v>0</v>
      </c>
      <c r="CL51" s="731"/>
      <c r="CM51" s="731"/>
      <c r="CN51" s="731">
        <v>0</v>
      </c>
      <c r="CO51" s="731"/>
    </row>
    <row r="52" spans="1:93" s="289" customFormat="1" x14ac:dyDescent="0.25">
      <c r="A52" s="301" t="str">
        <f>Language!C52</f>
        <v>Arrendamento mercantil</v>
      </c>
      <c r="B52" s="280">
        <v>0</v>
      </c>
      <c r="C52" s="280">
        <v>0</v>
      </c>
      <c r="D52" s="280">
        <v>0</v>
      </c>
      <c r="E52" s="280">
        <v>0</v>
      </c>
      <c r="F52" s="279">
        <v>0</v>
      </c>
      <c r="G52" s="280">
        <v>0</v>
      </c>
      <c r="H52" s="280">
        <v>0</v>
      </c>
      <c r="I52" s="280">
        <v>0</v>
      </c>
      <c r="J52" s="279">
        <v>0</v>
      </c>
      <c r="K52" s="280">
        <v>0</v>
      </c>
      <c r="L52" s="280">
        <v>0</v>
      </c>
      <c r="M52" s="280">
        <v>0</v>
      </c>
      <c r="N52" s="279">
        <v>0</v>
      </c>
      <c r="O52" s="280">
        <v>370</v>
      </c>
      <c r="P52" s="280">
        <v>333</v>
      </c>
      <c r="Q52" s="280">
        <v>674</v>
      </c>
      <c r="R52" s="279">
        <v>822</v>
      </c>
      <c r="S52" s="281">
        <v>1408</v>
      </c>
      <c r="T52" s="281">
        <v>1355</v>
      </c>
      <c r="U52" s="281">
        <v>1302</v>
      </c>
      <c r="V52" s="281">
        <v>1408</v>
      </c>
      <c r="W52" s="281">
        <v>1355</v>
      </c>
      <c r="X52" s="282">
        <v>1302</v>
      </c>
      <c r="Y52" s="283"/>
      <c r="Z52" s="281"/>
      <c r="AA52" s="281"/>
      <c r="AB52" s="281"/>
      <c r="AC52" s="281"/>
      <c r="AD52" s="281"/>
      <c r="AE52" s="282"/>
      <c r="AF52" s="281"/>
      <c r="AG52" s="281"/>
      <c r="AH52" s="281"/>
      <c r="AI52" s="281"/>
      <c r="AJ52" s="281"/>
      <c r="AK52" s="302"/>
      <c r="AL52" s="281"/>
      <c r="AM52" s="283"/>
      <c r="AN52" s="281"/>
      <c r="AO52" s="281"/>
      <c r="AP52" s="281"/>
      <c r="AQ52" s="281"/>
      <c r="AR52" s="302"/>
      <c r="AS52" s="281"/>
      <c r="AT52" s="283">
        <v>21671</v>
      </c>
      <c r="AU52" s="283">
        <f t="shared" si="183"/>
        <v>0</v>
      </c>
      <c r="AV52" s="283">
        <f t="shared" si="184"/>
        <v>0</v>
      </c>
      <c r="AW52" s="283">
        <f t="shared" si="46"/>
        <v>0</v>
      </c>
      <c r="AX52" s="283"/>
      <c r="AY52" s="283"/>
      <c r="AZ52" s="731">
        <v>0</v>
      </c>
      <c r="BA52" s="731">
        <v>0</v>
      </c>
      <c r="BB52" s="283">
        <f t="shared" si="185"/>
        <v>0</v>
      </c>
      <c r="BC52" s="283">
        <f t="shared" si="186"/>
        <v>0</v>
      </c>
      <c r="BD52" s="283">
        <f t="shared" si="187"/>
        <v>0</v>
      </c>
      <c r="BE52" s="731">
        <v>0</v>
      </c>
      <c r="BF52" s="731">
        <v>0</v>
      </c>
      <c r="BG52" s="731">
        <v>0</v>
      </c>
      <c r="BH52" s="731">
        <v>0</v>
      </c>
      <c r="BI52" s="506">
        <f t="shared" si="188"/>
        <v>0</v>
      </c>
      <c r="BJ52" s="506">
        <f t="shared" si="189"/>
        <v>0</v>
      </c>
      <c r="BK52" s="506">
        <f t="shared" si="190"/>
        <v>0</v>
      </c>
      <c r="BL52" s="731">
        <v>0</v>
      </c>
      <c r="BM52" s="731">
        <v>0</v>
      </c>
      <c r="BN52" s="731">
        <v>0</v>
      </c>
      <c r="BO52" s="731">
        <v>0</v>
      </c>
      <c r="BP52" s="506">
        <f t="shared" si="191"/>
        <v>0</v>
      </c>
      <c r="BQ52" s="506">
        <f t="shared" si="192"/>
        <v>0</v>
      </c>
      <c r="BR52" s="506">
        <f t="shared" si="193"/>
        <v>0</v>
      </c>
      <c r="BS52" s="731">
        <v>0</v>
      </c>
      <c r="BT52" s="731">
        <v>0</v>
      </c>
      <c r="BU52" s="731">
        <v>0</v>
      </c>
      <c r="BV52" s="731">
        <v>0</v>
      </c>
      <c r="BW52" s="506">
        <f t="shared" si="194"/>
        <v>0</v>
      </c>
      <c r="BX52" s="506">
        <f t="shared" si="195"/>
        <v>0</v>
      </c>
      <c r="BY52" s="506">
        <f t="shared" si="196"/>
        <v>0</v>
      </c>
      <c r="BZ52" s="731">
        <v>0</v>
      </c>
      <c r="CA52" s="731">
        <v>0</v>
      </c>
      <c r="CB52" s="731">
        <v>0</v>
      </c>
      <c r="CC52" s="731">
        <v>0</v>
      </c>
      <c r="CD52" s="506">
        <f t="shared" si="197"/>
        <v>0</v>
      </c>
      <c r="CE52" s="506">
        <f t="shared" si="198"/>
        <v>0</v>
      </c>
      <c r="CF52" s="506">
        <f t="shared" si="199"/>
        <v>0</v>
      </c>
      <c r="CG52" s="731">
        <v>0</v>
      </c>
      <c r="CH52" s="731">
        <v>0</v>
      </c>
      <c r="CI52" s="731">
        <v>0</v>
      </c>
      <c r="CJ52" s="731">
        <v>0</v>
      </c>
      <c r="CK52" s="506">
        <f t="shared" si="200"/>
        <v>0</v>
      </c>
      <c r="CL52" s="731"/>
      <c r="CM52" s="731"/>
      <c r="CN52" s="731">
        <v>0</v>
      </c>
      <c r="CO52" s="731"/>
    </row>
    <row r="53" spans="1:93" s="289" customFormat="1" x14ac:dyDescent="0.25">
      <c r="A53" s="703" t="s">
        <v>686</v>
      </c>
      <c r="B53" s="280"/>
      <c r="C53" s="280"/>
      <c r="D53" s="280"/>
      <c r="E53" s="280"/>
      <c r="F53" s="279"/>
      <c r="G53" s="280"/>
      <c r="H53" s="280"/>
      <c r="I53" s="280"/>
      <c r="J53" s="279"/>
      <c r="K53" s="280"/>
      <c r="L53" s="280"/>
      <c r="M53" s="280"/>
      <c r="N53" s="279"/>
      <c r="O53" s="280"/>
      <c r="P53" s="280"/>
      <c r="Q53" s="280"/>
      <c r="R53" s="279"/>
      <c r="S53" s="281"/>
      <c r="T53" s="281"/>
      <c r="U53" s="281"/>
      <c r="V53" s="281"/>
      <c r="W53" s="281"/>
      <c r="X53" s="282"/>
      <c r="Y53" s="283"/>
      <c r="Z53" s="281"/>
      <c r="AA53" s="281"/>
      <c r="AB53" s="281"/>
      <c r="AC53" s="281"/>
      <c r="AD53" s="281"/>
      <c r="AE53" s="282"/>
      <c r="AF53" s="281"/>
      <c r="AG53" s="281"/>
      <c r="AH53" s="281"/>
      <c r="AI53" s="281"/>
      <c r="AJ53" s="281"/>
      <c r="AK53" s="302"/>
      <c r="AL53" s="281"/>
      <c r="AM53" s="283"/>
      <c r="AN53" s="281"/>
      <c r="AO53" s="281"/>
      <c r="AP53" s="281"/>
      <c r="AQ53" s="281"/>
      <c r="AR53" s="302"/>
      <c r="AS53" s="281"/>
      <c r="AT53" s="283"/>
      <c r="AU53" s="283">
        <f t="shared" si="183"/>
        <v>10170</v>
      </c>
      <c r="AV53" s="283">
        <f t="shared" si="184"/>
        <v>10272</v>
      </c>
      <c r="AW53" s="283">
        <f t="shared" si="46"/>
        <v>8431</v>
      </c>
      <c r="AX53" s="283">
        <v>10170</v>
      </c>
      <c r="AY53" s="283">
        <v>10272</v>
      </c>
      <c r="AZ53" s="283">
        <v>8431</v>
      </c>
      <c r="BA53" s="283">
        <v>6633</v>
      </c>
      <c r="BB53" s="283">
        <f t="shared" si="185"/>
        <v>6688</v>
      </c>
      <c r="BC53" s="283">
        <f t="shared" si="186"/>
        <v>4245</v>
      </c>
      <c r="BD53" s="283">
        <f t="shared" si="187"/>
        <v>7208</v>
      </c>
      <c r="BE53" s="283">
        <v>6688</v>
      </c>
      <c r="BF53" s="283">
        <v>4245</v>
      </c>
      <c r="BG53" s="283">
        <v>7208</v>
      </c>
      <c r="BH53" s="283">
        <v>5013</v>
      </c>
      <c r="BI53" s="506">
        <f t="shared" si="188"/>
        <v>5719</v>
      </c>
      <c r="BJ53" s="506">
        <f t="shared" si="189"/>
        <v>3915</v>
      </c>
      <c r="BK53" s="506">
        <f t="shared" si="190"/>
        <v>1126</v>
      </c>
      <c r="BL53" s="283">
        <v>5719</v>
      </c>
      <c r="BM53" s="283">
        <v>3915</v>
      </c>
      <c r="BN53" s="283">
        <v>1126</v>
      </c>
      <c r="BO53" s="283">
        <v>1703</v>
      </c>
      <c r="BP53" s="506">
        <f t="shared" si="191"/>
        <v>4871</v>
      </c>
      <c r="BQ53" s="506">
        <f t="shared" si="192"/>
        <v>4312</v>
      </c>
      <c r="BR53" s="506">
        <f t="shared" si="193"/>
        <v>3164</v>
      </c>
      <c r="BS53" s="283">
        <v>4871</v>
      </c>
      <c r="BT53" s="283">
        <v>4312</v>
      </c>
      <c r="BU53" s="283">
        <v>3164</v>
      </c>
      <c r="BV53" s="283">
        <v>2315</v>
      </c>
      <c r="BW53" s="506">
        <f t="shared" si="194"/>
        <v>2770</v>
      </c>
      <c r="BX53" s="506">
        <f t="shared" si="195"/>
        <v>2696</v>
      </c>
      <c r="BY53" s="506">
        <f t="shared" si="196"/>
        <v>2546</v>
      </c>
      <c r="BZ53" s="283">
        <v>2770</v>
      </c>
      <c r="CA53" s="283">
        <v>2696</v>
      </c>
      <c r="CB53" s="283">
        <v>2546</v>
      </c>
      <c r="CC53" s="283">
        <v>2812</v>
      </c>
      <c r="CD53" s="506">
        <f t="shared" si="197"/>
        <v>4595</v>
      </c>
      <c r="CE53" s="506">
        <f t="shared" si="198"/>
        <v>3127</v>
      </c>
      <c r="CF53" s="506">
        <f t="shared" si="199"/>
        <v>2037</v>
      </c>
      <c r="CG53" s="283">
        <v>4595</v>
      </c>
      <c r="CH53" s="283">
        <v>3127</v>
      </c>
      <c r="CI53" s="283">
        <v>2037</v>
      </c>
      <c r="CJ53" s="283">
        <v>2686</v>
      </c>
      <c r="CK53" s="506">
        <f t="shared" si="200"/>
        <v>2103</v>
      </c>
      <c r="CL53" s="283"/>
      <c r="CM53" s="283"/>
      <c r="CN53" s="283">
        <v>2103</v>
      </c>
      <c r="CO53" s="283"/>
    </row>
    <row r="54" spans="1:93" s="289" customFormat="1" x14ac:dyDescent="0.25">
      <c r="A54" s="301" t="str">
        <f>Language!C53</f>
        <v>Outras Obrigações</v>
      </c>
      <c r="B54" s="280">
        <v>3786</v>
      </c>
      <c r="C54" s="280">
        <v>2589</v>
      </c>
      <c r="D54" s="280">
        <v>2232</v>
      </c>
      <c r="E54" s="280">
        <v>2540</v>
      </c>
      <c r="F54" s="279">
        <v>4868</v>
      </c>
      <c r="G54" s="280">
        <v>1442</v>
      </c>
      <c r="H54" s="280">
        <v>2407</v>
      </c>
      <c r="I54" s="280">
        <v>1267</v>
      </c>
      <c r="J54" s="279">
        <v>10736</v>
      </c>
      <c r="K54" s="280">
        <v>1862</v>
      </c>
      <c r="L54" s="280">
        <v>1167</v>
      </c>
      <c r="M54" s="280">
        <v>1822</v>
      </c>
      <c r="N54" s="279">
        <v>5041</v>
      </c>
      <c r="O54" s="280">
        <v>5705</v>
      </c>
      <c r="P54" s="280">
        <v>2722</v>
      </c>
      <c r="Q54" s="280">
        <v>2497</v>
      </c>
      <c r="R54" s="279">
        <v>5940</v>
      </c>
      <c r="S54" s="281">
        <v>4203</v>
      </c>
      <c r="T54" s="281">
        <v>2644</v>
      </c>
      <c r="U54" s="281">
        <v>2627</v>
      </c>
      <c r="V54" s="281">
        <v>4203</v>
      </c>
      <c r="W54" s="281">
        <v>2644</v>
      </c>
      <c r="X54" s="282">
        <v>2627</v>
      </c>
      <c r="Y54" s="283">
        <v>8777</v>
      </c>
      <c r="Z54" s="281">
        <f t="shared" si="33"/>
        <v>8820</v>
      </c>
      <c r="AA54" s="281">
        <f t="shared" si="34"/>
        <v>10715</v>
      </c>
      <c r="AB54" s="281">
        <f t="shared" si="35"/>
        <v>10849</v>
      </c>
      <c r="AC54" s="281">
        <v>8820</v>
      </c>
      <c r="AD54" s="281">
        <v>10715</v>
      </c>
      <c r="AE54" s="282">
        <v>10849</v>
      </c>
      <c r="AF54" s="281">
        <v>18663</v>
      </c>
      <c r="AG54" s="281">
        <f t="shared" si="39"/>
        <v>21442</v>
      </c>
      <c r="AH54" s="281">
        <f t="shared" si="6"/>
        <v>20223</v>
      </c>
      <c r="AI54" s="281">
        <f t="shared" si="7"/>
        <v>19284</v>
      </c>
      <c r="AJ54" s="281">
        <v>21442</v>
      </c>
      <c r="AK54" s="302">
        <v>20223</v>
      </c>
      <c r="AL54" s="281">
        <v>19284</v>
      </c>
      <c r="AM54" s="283">
        <v>25978</v>
      </c>
      <c r="AN54" s="281">
        <f t="shared" si="42"/>
        <v>23202</v>
      </c>
      <c r="AO54" s="281">
        <f t="shared" si="42"/>
        <v>19948</v>
      </c>
      <c r="AP54" s="281">
        <f t="shared" si="42"/>
        <v>20441</v>
      </c>
      <c r="AQ54" s="281">
        <v>23202</v>
      </c>
      <c r="AR54" s="302">
        <v>19948</v>
      </c>
      <c r="AS54" s="281">
        <v>20441</v>
      </c>
      <c r="AT54" s="283">
        <v>24702</v>
      </c>
      <c r="AU54" s="283">
        <f t="shared" si="183"/>
        <v>24487</v>
      </c>
      <c r="AV54" s="283">
        <f t="shared" si="184"/>
        <v>19864</v>
      </c>
      <c r="AW54" s="283">
        <f t="shared" si="46"/>
        <v>21898</v>
      </c>
      <c r="AX54" s="283">
        <v>24487</v>
      </c>
      <c r="AY54" s="283">
        <v>19864</v>
      </c>
      <c r="AZ54" s="283">
        <v>21898</v>
      </c>
      <c r="BA54" s="283">
        <v>28068</v>
      </c>
      <c r="BB54" s="283">
        <f t="shared" si="185"/>
        <v>28307</v>
      </c>
      <c r="BC54" s="283">
        <f t="shared" si="186"/>
        <v>26744</v>
      </c>
      <c r="BD54" s="283">
        <f t="shared" si="187"/>
        <v>14715</v>
      </c>
      <c r="BE54" s="283">
        <v>28307</v>
      </c>
      <c r="BF54" s="283">
        <v>26744</v>
      </c>
      <c r="BG54" s="283">
        <v>14715</v>
      </c>
      <c r="BH54" s="283">
        <v>34879</v>
      </c>
      <c r="BI54" s="506">
        <f t="shared" si="188"/>
        <v>30981</v>
      </c>
      <c r="BJ54" s="506">
        <f t="shared" si="189"/>
        <v>19998</v>
      </c>
      <c r="BK54" s="506">
        <f t="shared" si="190"/>
        <v>20930</v>
      </c>
      <c r="BL54" s="283">
        <v>30981</v>
      </c>
      <c r="BM54" s="283">
        <v>19998</v>
      </c>
      <c r="BN54" s="283">
        <v>20930</v>
      </c>
      <c r="BO54" s="283">
        <v>28400</v>
      </c>
      <c r="BP54" s="506">
        <f t="shared" si="191"/>
        <v>27258</v>
      </c>
      <c r="BQ54" s="506">
        <f t="shared" si="192"/>
        <v>34860</v>
      </c>
      <c r="BR54" s="506">
        <f t="shared" si="193"/>
        <v>33046</v>
      </c>
      <c r="BS54" s="283">
        <v>27258</v>
      </c>
      <c r="BT54" s="283">
        <v>34860</v>
      </c>
      <c r="BU54" s="283">
        <v>33046</v>
      </c>
      <c r="BV54" s="283">
        <v>50772</v>
      </c>
      <c r="BW54" s="506">
        <f t="shared" si="194"/>
        <v>47628</v>
      </c>
      <c r="BX54" s="506">
        <f t="shared" si="195"/>
        <v>36677</v>
      </c>
      <c r="BY54" s="506">
        <f t="shared" si="196"/>
        <v>39201</v>
      </c>
      <c r="BZ54" s="283">
        <v>47628</v>
      </c>
      <c r="CA54" s="283">
        <v>36677</v>
      </c>
      <c r="CB54" s="283">
        <v>39201</v>
      </c>
      <c r="CC54" s="283">
        <v>45977</v>
      </c>
      <c r="CD54" s="506">
        <f t="shared" si="197"/>
        <v>24016</v>
      </c>
      <c r="CE54" s="506">
        <f t="shared" si="198"/>
        <v>14287</v>
      </c>
      <c r="CF54" s="506">
        <f t="shared" si="199"/>
        <v>25734</v>
      </c>
      <c r="CG54" s="283">
        <v>24016</v>
      </c>
      <c r="CH54" s="283">
        <v>14287</v>
      </c>
      <c r="CI54" s="283">
        <v>25734</v>
      </c>
      <c r="CJ54" s="283">
        <v>35210</v>
      </c>
      <c r="CK54" s="506">
        <f t="shared" si="200"/>
        <v>32936</v>
      </c>
      <c r="CL54" s="283"/>
      <c r="CM54" s="283"/>
      <c r="CN54" s="283">
        <v>32936</v>
      </c>
      <c r="CO54" s="283"/>
    </row>
    <row r="55" spans="1:93" s="423" customFormat="1" ht="13" x14ac:dyDescent="0.3">
      <c r="A55" s="284" t="str">
        <f>Language!C54</f>
        <v>Passivo Não Circulante</v>
      </c>
      <c r="B55" s="285">
        <f t="shared" ref="B55:Q55" si="201">SUM(B56:B70)</f>
        <v>353390</v>
      </c>
      <c r="C55" s="285">
        <f t="shared" si="201"/>
        <v>440326</v>
      </c>
      <c r="D55" s="285">
        <f t="shared" si="201"/>
        <v>399842</v>
      </c>
      <c r="E55" s="285">
        <f t="shared" si="201"/>
        <v>394824</v>
      </c>
      <c r="F55" s="286">
        <f t="shared" si="201"/>
        <v>477914</v>
      </c>
      <c r="G55" s="285">
        <f t="shared" si="201"/>
        <v>467412</v>
      </c>
      <c r="H55" s="285">
        <f t="shared" si="201"/>
        <v>430074</v>
      </c>
      <c r="I55" s="285">
        <f t="shared" si="201"/>
        <v>417843</v>
      </c>
      <c r="J55" s="286">
        <f t="shared" si="201"/>
        <v>396612</v>
      </c>
      <c r="K55" s="285">
        <f t="shared" si="201"/>
        <v>386479</v>
      </c>
      <c r="L55" s="285">
        <f t="shared" si="201"/>
        <v>487425</v>
      </c>
      <c r="M55" s="285">
        <f t="shared" si="201"/>
        <v>469870</v>
      </c>
      <c r="N55" s="286">
        <f t="shared" si="201"/>
        <v>448629</v>
      </c>
      <c r="O55" s="285">
        <f t="shared" si="201"/>
        <v>479504</v>
      </c>
      <c r="P55" s="285">
        <f t="shared" si="201"/>
        <v>789726</v>
      </c>
      <c r="Q55" s="285">
        <f t="shared" si="201"/>
        <v>996375</v>
      </c>
      <c r="R55" s="287">
        <v>1118613</v>
      </c>
      <c r="S55" s="287">
        <v>990623</v>
      </c>
      <c r="T55" s="287">
        <v>944741</v>
      </c>
      <c r="U55" s="287">
        <v>1043770</v>
      </c>
      <c r="V55" s="287">
        <v>990623</v>
      </c>
      <c r="W55" s="287">
        <v>944741</v>
      </c>
      <c r="X55" s="287">
        <v>1043770</v>
      </c>
      <c r="Y55" s="287">
        <f t="shared" ref="Y55" si="202">SUM(Y56:Y70)</f>
        <v>1152643</v>
      </c>
      <c r="Z55" s="287">
        <f t="shared" si="33"/>
        <v>1069570</v>
      </c>
      <c r="AA55" s="287">
        <f t="shared" si="34"/>
        <v>1029900</v>
      </c>
      <c r="AB55" s="287">
        <f t="shared" si="35"/>
        <v>990549</v>
      </c>
      <c r="AC55" s="287">
        <f t="shared" ref="AC55:AQ55" si="203">SUM(AC56:AC70)</f>
        <v>1069570</v>
      </c>
      <c r="AD55" s="287">
        <f t="shared" si="203"/>
        <v>1029900</v>
      </c>
      <c r="AE55" s="287">
        <f t="shared" si="203"/>
        <v>990549</v>
      </c>
      <c r="AF55" s="287">
        <f t="shared" si="203"/>
        <v>1105614</v>
      </c>
      <c r="AG55" s="287">
        <f t="shared" si="39"/>
        <v>925370</v>
      </c>
      <c r="AH55" s="287">
        <f t="shared" si="6"/>
        <v>880624</v>
      </c>
      <c r="AI55" s="287">
        <f t="shared" si="7"/>
        <v>1195252</v>
      </c>
      <c r="AJ55" s="287">
        <f t="shared" si="203"/>
        <v>925370</v>
      </c>
      <c r="AK55" s="287">
        <f t="shared" si="203"/>
        <v>880624</v>
      </c>
      <c r="AL55" s="287">
        <f t="shared" si="203"/>
        <v>1195252</v>
      </c>
      <c r="AM55" s="288">
        <f t="shared" si="203"/>
        <v>1019648</v>
      </c>
      <c r="AN55" s="287">
        <f t="shared" si="42"/>
        <v>1053117</v>
      </c>
      <c r="AO55" s="287">
        <f t="shared" si="42"/>
        <v>1050805</v>
      </c>
      <c r="AP55" s="287">
        <f t="shared" si="42"/>
        <v>958021</v>
      </c>
      <c r="AQ55" s="287">
        <f t="shared" si="203"/>
        <v>1053117</v>
      </c>
      <c r="AR55" s="287">
        <f t="shared" ref="AR55:AS55" si="204">SUM(AR56:AR70)</f>
        <v>1050805</v>
      </c>
      <c r="AS55" s="287">
        <f t="shared" si="204"/>
        <v>958021</v>
      </c>
      <c r="AT55" s="288">
        <f t="shared" ref="AT55:AU55" si="205">SUM(AT56:AT70)</f>
        <v>956808</v>
      </c>
      <c r="AU55" s="288">
        <f t="shared" si="205"/>
        <v>912998</v>
      </c>
      <c r="AV55" s="288">
        <f t="shared" ref="AV55:AZ55" si="206">SUM(AV56:AV70)</f>
        <v>907278</v>
      </c>
      <c r="AW55" s="288">
        <f t="shared" si="46"/>
        <v>1935333</v>
      </c>
      <c r="AX55" s="288">
        <f t="shared" ref="AX55" si="207">SUM(AX56:AX70)</f>
        <v>912998</v>
      </c>
      <c r="AY55" s="288">
        <f t="shared" si="206"/>
        <v>907278</v>
      </c>
      <c r="AZ55" s="288">
        <f t="shared" si="206"/>
        <v>1935333</v>
      </c>
      <c r="BA55" s="288">
        <f t="shared" ref="BA55:BB55" si="208">SUM(BA56:BA70)</f>
        <v>1680304</v>
      </c>
      <c r="BB55" s="288">
        <f t="shared" si="208"/>
        <v>1721291</v>
      </c>
      <c r="BC55" s="288">
        <f t="shared" ref="BC55:BE55" si="209">SUM(BC56:BC70)</f>
        <v>1729738</v>
      </c>
      <c r="BD55" s="288">
        <f t="shared" ref="BD55" si="210">SUM(BD56:BD70)</f>
        <v>1452814</v>
      </c>
      <c r="BE55" s="288">
        <f t="shared" si="209"/>
        <v>1721291</v>
      </c>
      <c r="BF55" s="288">
        <f t="shared" ref="BF55:BG55" si="211">SUM(BF56:BF70)</f>
        <v>1729738</v>
      </c>
      <c r="BG55" s="766">
        <f t="shared" si="211"/>
        <v>1452814</v>
      </c>
      <c r="BH55" s="766">
        <f t="shared" ref="BH55:BL55" si="212">SUM(BH56:BH70)</f>
        <v>1455535</v>
      </c>
      <c r="BI55" s="766">
        <f t="shared" si="212"/>
        <v>1612579</v>
      </c>
      <c r="BJ55" s="766">
        <f t="shared" si="212"/>
        <v>1584503</v>
      </c>
      <c r="BK55" s="766">
        <f t="shared" si="212"/>
        <v>1564814</v>
      </c>
      <c r="BL55" s="766">
        <f t="shared" si="212"/>
        <v>1612579</v>
      </c>
      <c r="BM55" s="766">
        <f t="shared" ref="BM55:BN55" si="213">SUM(BM56:BM70)</f>
        <v>1584503</v>
      </c>
      <c r="BN55" s="766">
        <f t="shared" si="213"/>
        <v>1564814</v>
      </c>
      <c r="BO55" s="766">
        <f>SUM(BO56:BO70)</f>
        <v>1428692</v>
      </c>
      <c r="BP55" s="766">
        <f>SUM(BP56:BP70)</f>
        <v>1561388</v>
      </c>
      <c r="BQ55" s="766">
        <f t="shared" ref="BQ55:BS55" si="214">SUM(BQ56:BQ70)</f>
        <v>1476533</v>
      </c>
      <c r="BR55" s="766">
        <f t="shared" si="214"/>
        <v>1400234</v>
      </c>
      <c r="BS55" s="766">
        <f t="shared" si="214"/>
        <v>1561388</v>
      </c>
      <c r="BT55" s="766">
        <f t="shared" ref="BT55:BU55" si="215">SUM(BT56:BT70)</f>
        <v>1476533</v>
      </c>
      <c r="BU55" s="766">
        <f t="shared" si="215"/>
        <v>1400234</v>
      </c>
      <c r="BV55" s="766">
        <f t="shared" ref="BV55:BY55" si="216">SUM(BV56:BV70)</f>
        <v>1413038</v>
      </c>
      <c r="BW55" s="766">
        <f t="shared" si="216"/>
        <v>1429925</v>
      </c>
      <c r="BX55" s="766">
        <f t="shared" si="216"/>
        <v>1365667</v>
      </c>
      <c r="BY55" s="766">
        <f t="shared" si="216"/>
        <v>1343230</v>
      </c>
      <c r="BZ55" s="766">
        <f t="shared" ref="BZ55:CA55" si="217">SUM(BZ56:BZ70)</f>
        <v>1429925</v>
      </c>
      <c r="CA55" s="766">
        <f t="shared" si="217"/>
        <v>1365667</v>
      </c>
      <c r="CB55" s="766">
        <f t="shared" ref="CB55:CC55" si="218">SUM(CB56:CB70)</f>
        <v>1343230</v>
      </c>
      <c r="CC55" s="766">
        <f t="shared" si="218"/>
        <v>1355083</v>
      </c>
      <c r="CD55" s="766">
        <f t="shared" ref="CD55" si="219">SUM(CD56:CD70)</f>
        <v>1360665</v>
      </c>
      <c r="CE55" s="766">
        <f t="shared" ref="CE55:CG55" si="220">SUM(CE56:CE70)</f>
        <v>1357586</v>
      </c>
      <c r="CF55" s="766">
        <f t="shared" si="220"/>
        <v>693103</v>
      </c>
      <c r="CG55" s="766">
        <f t="shared" si="220"/>
        <v>1360665</v>
      </c>
      <c r="CH55" s="766">
        <f t="shared" ref="CH55:CI55" si="221">SUM(CH56:CH70)</f>
        <v>1357586</v>
      </c>
      <c r="CI55" s="766">
        <f t="shared" si="221"/>
        <v>693103</v>
      </c>
      <c r="CJ55" s="766">
        <v>440595</v>
      </c>
      <c r="CK55" s="766">
        <f t="shared" ref="CK55" si="222">SUM(CK56:CK70)</f>
        <v>445780</v>
      </c>
      <c r="CL55" s="766">
        <f t="shared" ref="CL55:CO55" si="223">SUM(CL56:CL70)</f>
        <v>0</v>
      </c>
      <c r="CM55" s="766">
        <f t="shared" si="223"/>
        <v>0</v>
      </c>
      <c r="CN55" s="766">
        <f t="shared" si="223"/>
        <v>445780</v>
      </c>
      <c r="CO55" s="766">
        <f t="shared" si="223"/>
        <v>0</v>
      </c>
    </row>
    <row r="56" spans="1:93" s="289" customFormat="1" x14ac:dyDescent="0.25">
      <c r="A56" s="301" t="str">
        <f>Language!C55</f>
        <v>Empréstimos e Financiamentos</v>
      </c>
      <c r="B56" s="280">
        <v>132434</v>
      </c>
      <c r="C56" s="280">
        <v>113669</v>
      </c>
      <c r="D56" s="280">
        <v>83877</v>
      </c>
      <c r="E56" s="280">
        <v>82645</v>
      </c>
      <c r="F56" s="279">
        <v>22009</v>
      </c>
      <c r="G56" s="280">
        <v>21693</v>
      </c>
      <c r="H56" s="280">
        <v>10325</v>
      </c>
      <c r="I56" s="280">
        <v>4983</v>
      </c>
      <c r="J56" s="279">
        <v>4771</v>
      </c>
      <c r="K56" s="280">
        <v>4500</v>
      </c>
      <c r="L56" s="280">
        <v>4233</v>
      </c>
      <c r="M56" s="280">
        <v>4391</v>
      </c>
      <c r="N56" s="279">
        <v>4873</v>
      </c>
      <c r="O56" s="280">
        <v>7970</v>
      </c>
      <c r="P56" s="280">
        <v>311968</v>
      </c>
      <c r="Q56" s="280">
        <v>317242</v>
      </c>
      <c r="R56" s="279">
        <v>178344</v>
      </c>
      <c r="S56" s="281">
        <v>181618</v>
      </c>
      <c r="T56" s="281">
        <v>197537</v>
      </c>
      <c r="U56" s="281">
        <v>197457</v>
      </c>
      <c r="V56" s="281">
        <v>181618</v>
      </c>
      <c r="W56" s="281">
        <v>197537</v>
      </c>
      <c r="X56" s="282">
        <v>197457</v>
      </c>
      <c r="Y56" s="283">
        <v>243837</v>
      </c>
      <c r="Z56" s="281">
        <f t="shared" si="33"/>
        <v>222778</v>
      </c>
      <c r="AA56" s="281">
        <f t="shared" si="34"/>
        <v>214157</v>
      </c>
      <c r="AB56" s="281">
        <f t="shared" si="35"/>
        <v>207037</v>
      </c>
      <c r="AC56" s="281">
        <v>222778</v>
      </c>
      <c r="AD56" s="281">
        <v>214157</v>
      </c>
      <c r="AE56" s="282">
        <v>207037</v>
      </c>
      <c r="AF56" s="281">
        <v>346780</v>
      </c>
      <c r="AG56" s="281">
        <f t="shared" si="39"/>
        <v>313292</v>
      </c>
      <c r="AH56" s="281">
        <f t="shared" si="6"/>
        <v>274367</v>
      </c>
      <c r="AI56" s="281">
        <f t="shared" si="7"/>
        <v>458647</v>
      </c>
      <c r="AJ56" s="281">
        <v>313292</v>
      </c>
      <c r="AK56" s="281">
        <v>274367</v>
      </c>
      <c r="AL56" s="281">
        <v>458647</v>
      </c>
      <c r="AM56" s="283">
        <v>460464</v>
      </c>
      <c r="AN56" s="281">
        <f t="shared" si="42"/>
        <v>422806</v>
      </c>
      <c r="AO56" s="281">
        <f t="shared" si="42"/>
        <v>388153</v>
      </c>
      <c r="AP56" s="281">
        <f t="shared" si="42"/>
        <v>361487</v>
      </c>
      <c r="AQ56" s="281">
        <v>422806</v>
      </c>
      <c r="AR56" s="281">
        <v>388153</v>
      </c>
      <c r="AS56" s="281">
        <v>361487</v>
      </c>
      <c r="AT56" s="283">
        <v>351419</v>
      </c>
      <c r="AU56" s="283">
        <f>AX56</f>
        <v>335890</v>
      </c>
      <c r="AV56" s="283">
        <f>AY56</f>
        <v>313075</v>
      </c>
      <c r="AW56" s="283">
        <f t="shared" si="46"/>
        <v>1300455</v>
      </c>
      <c r="AX56" s="283">
        <v>335890</v>
      </c>
      <c r="AY56" s="283">
        <v>313075</v>
      </c>
      <c r="AZ56" s="283">
        <v>1300455</v>
      </c>
      <c r="BA56" s="283">
        <v>1110073</v>
      </c>
      <c r="BB56" s="283">
        <f>BE56</f>
        <v>1150297</v>
      </c>
      <c r="BC56" s="283">
        <f>BF56</f>
        <v>1148811</v>
      </c>
      <c r="BD56" s="283">
        <f>BG56</f>
        <v>1154091</v>
      </c>
      <c r="BE56" s="283">
        <v>1150297</v>
      </c>
      <c r="BF56" s="283">
        <v>1148811</v>
      </c>
      <c r="BG56" s="283">
        <v>1154091</v>
      </c>
      <c r="BH56" s="283">
        <v>1165567</v>
      </c>
      <c r="BI56" s="283">
        <f>BL56</f>
        <v>1197089</v>
      </c>
      <c r="BJ56" s="283">
        <f>BM56</f>
        <v>1210022</v>
      </c>
      <c r="BK56" s="283">
        <f>BN56</f>
        <v>1209376</v>
      </c>
      <c r="BL56" s="283">
        <v>1197089</v>
      </c>
      <c r="BM56" s="283">
        <v>1210022</v>
      </c>
      <c r="BN56" s="283">
        <v>1209376</v>
      </c>
      <c r="BO56" s="283">
        <v>1225385</v>
      </c>
      <c r="BP56" s="283">
        <f>BS56</f>
        <v>1180456</v>
      </c>
      <c r="BQ56" s="283">
        <f>BT56</f>
        <v>1091691</v>
      </c>
      <c r="BR56" s="283">
        <f>BU56</f>
        <v>1012363</v>
      </c>
      <c r="BS56" s="283">
        <v>1180456</v>
      </c>
      <c r="BT56" s="283">
        <v>1091691</v>
      </c>
      <c r="BU56" s="283">
        <v>1012363</v>
      </c>
      <c r="BV56" s="283">
        <v>1014482</v>
      </c>
      <c r="BW56" s="283">
        <f>BZ56</f>
        <v>1046778</v>
      </c>
      <c r="BX56" s="283">
        <f>CA56</f>
        <v>960107</v>
      </c>
      <c r="BY56" s="283">
        <f>CB56</f>
        <v>919127</v>
      </c>
      <c r="BZ56" s="283">
        <v>1046778</v>
      </c>
      <c r="CA56" s="283">
        <v>960107</v>
      </c>
      <c r="CB56" s="283">
        <v>919127</v>
      </c>
      <c r="CC56" s="283">
        <v>922140</v>
      </c>
      <c r="CD56" s="283">
        <f>CG56</f>
        <v>919367</v>
      </c>
      <c r="CE56" s="283">
        <f>CH56</f>
        <v>912826</v>
      </c>
      <c r="CF56" s="283">
        <f>CI56</f>
        <v>245962</v>
      </c>
      <c r="CG56" s="283">
        <v>919367</v>
      </c>
      <c r="CH56" s="283">
        <v>912826</v>
      </c>
      <c r="CI56" s="283">
        <v>245962</v>
      </c>
      <c r="CJ56" s="283">
        <v>190</v>
      </c>
      <c r="CK56" s="283">
        <f>CN56</f>
        <v>65</v>
      </c>
      <c r="CL56" s="283"/>
      <c r="CM56" s="283"/>
      <c r="CN56" s="283">
        <v>65</v>
      </c>
      <c r="CO56" s="283"/>
    </row>
    <row r="57" spans="1:93" s="289" customFormat="1" x14ac:dyDescent="0.25">
      <c r="A57" s="301" t="s">
        <v>318</v>
      </c>
      <c r="B57" s="281">
        <v>0</v>
      </c>
      <c r="C57" s="281">
        <v>0</v>
      </c>
      <c r="D57" s="281">
        <v>0</v>
      </c>
      <c r="E57" s="281">
        <v>0</v>
      </c>
      <c r="F57" s="281">
        <v>0</v>
      </c>
      <c r="G57" s="281">
        <v>0</v>
      </c>
      <c r="H57" s="281">
        <v>0</v>
      </c>
      <c r="I57" s="281">
        <v>0</v>
      </c>
      <c r="J57" s="281">
        <v>0</v>
      </c>
      <c r="K57" s="281">
        <v>0</v>
      </c>
      <c r="L57" s="281">
        <v>0</v>
      </c>
      <c r="M57" s="281">
        <v>0</v>
      </c>
      <c r="N57" s="281">
        <v>0</v>
      </c>
      <c r="O57" s="281">
        <v>0</v>
      </c>
      <c r="P57" s="281">
        <v>0</v>
      </c>
      <c r="Q57" s="281">
        <v>0</v>
      </c>
      <c r="R57" s="281">
        <v>0</v>
      </c>
      <c r="S57" s="281">
        <v>0</v>
      </c>
      <c r="T57" s="281">
        <v>0</v>
      </c>
      <c r="U57" s="281">
        <v>0</v>
      </c>
      <c r="V57" s="281">
        <v>0</v>
      </c>
      <c r="W57" s="281">
        <v>0</v>
      </c>
      <c r="X57" s="281">
        <v>0</v>
      </c>
      <c r="Y57" s="281"/>
      <c r="Z57" s="281"/>
      <c r="AA57" s="281"/>
      <c r="AB57" s="281"/>
      <c r="AC57" s="281"/>
      <c r="AD57" s="281"/>
      <c r="AE57" s="281"/>
      <c r="AF57" s="281"/>
      <c r="AG57" s="281"/>
      <c r="AH57" s="281"/>
      <c r="AI57" s="281"/>
      <c r="AJ57" s="281"/>
      <c r="AK57" s="281"/>
      <c r="AL57" s="281"/>
      <c r="AM57" s="283">
        <v>547</v>
      </c>
      <c r="AN57" s="281">
        <f t="shared" si="42"/>
        <v>284</v>
      </c>
      <c r="AO57" s="281">
        <f t="shared" si="42"/>
        <v>284</v>
      </c>
      <c r="AP57" s="281">
        <f t="shared" si="42"/>
        <v>0</v>
      </c>
      <c r="AQ57" s="281">
        <v>284</v>
      </c>
      <c r="AR57" s="281">
        <v>284</v>
      </c>
      <c r="AS57" s="281"/>
      <c r="AT57" s="283">
        <v>2531</v>
      </c>
      <c r="AU57" s="283">
        <f t="shared" ref="AU57:AU70" si="224">AX57</f>
        <v>535</v>
      </c>
      <c r="AV57" s="283">
        <f t="shared" ref="AV57:AV70" si="225">AY57</f>
        <v>477</v>
      </c>
      <c r="AW57" s="283">
        <f t="shared" si="46"/>
        <v>1034</v>
      </c>
      <c r="AX57" s="283">
        <v>535</v>
      </c>
      <c r="AY57" s="283">
        <v>477</v>
      </c>
      <c r="AZ57" s="283">
        <v>1034</v>
      </c>
      <c r="BA57" s="283">
        <v>560</v>
      </c>
      <c r="BB57" s="283">
        <f t="shared" ref="BB57:BB70" si="226">BE57</f>
        <v>536</v>
      </c>
      <c r="BC57" s="283">
        <f t="shared" ref="BC57:BC70" si="227">BF57</f>
        <v>427</v>
      </c>
      <c r="BD57" s="283">
        <f t="shared" ref="BD57:BD70" si="228">BG57</f>
        <v>427</v>
      </c>
      <c r="BE57" s="283">
        <v>536</v>
      </c>
      <c r="BF57" s="283">
        <v>427</v>
      </c>
      <c r="BG57" s="283">
        <v>427</v>
      </c>
      <c r="BH57" s="283">
        <v>586</v>
      </c>
      <c r="BI57" s="283">
        <f t="shared" ref="BI57:BI70" si="229">BL57</f>
        <v>607</v>
      </c>
      <c r="BJ57" s="283">
        <f t="shared" ref="BJ57:BJ70" si="230">BM57</f>
        <v>634</v>
      </c>
      <c r="BK57" s="283">
        <f t="shared" ref="BK57:BK70" si="231">BN57</f>
        <v>1257</v>
      </c>
      <c r="BL57" s="283">
        <v>607</v>
      </c>
      <c r="BM57" s="283">
        <v>634</v>
      </c>
      <c r="BN57" s="283">
        <v>1257</v>
      </c>
      <c r="BO57" s="283">
        <v>374</v>
      </c>
      <c r="BP57" s="283">
        <f t="shared" ref="BP57:BP70" si="232">BS57</f>
        <v>890</v>
      </c>
      <c r="BQ57" s="283">
        <f t="shared" ref="BQ57:BQ70" si="233">BT57</f>
        <v>1487</v>
      </c>
      <c r="BR57" s="283">
        <f t="shared" ref="BR57:BR70" si="234">BU57</f>
        <v>1675</v>
      </c>
      <c r="BS57" s="283">
        <v>890</v>
      </c>
      <c r="BT57" s="283">
        <v>1487</v>
      </c>
      <c r="BU57" s="283">
        <v>1675</v>
      </c>
      <c r="BV57" s="283">
        <v>1675</v>
      </c>
      <c r="BW57" s="283">
        <f t="shared" ref="BW57:BW70" si="235">BZ57</f>
        <v>2812</v>
      </c>
      <c r="BX57" s="283">
        <f t="shared" ref="BX57:BX70" si="236">CA57</f>
        <v>9282</v>
      </c>
      <c r="BY57" s="283">
        <f t="shared" ref="BY57:BY70" si="237">CB57</f>
        <v>9211</v>
      </c>
      <c r="BZ57" s="283">
        <v>2812</v>
      </c>
      <c r="CA57" s="283">
        <v>9282</v>
      </c>
      <c r="CB57" s="283">
        <v>9211</v>
      </c>
      <c r="CC57" s="283">
        <v>13337</v>
      </c>
      <c r="CD57" s="283">
        <f t="shared" ref="CD57:CD70" si="238">CG57</f>
        <v>21185</v>
      </c>
      <c r="CE57" s="283">
        <f t="shared" ref="CE57:CE70" si="239">CH57</f>
        <v>21864</v>
      </c>
      <c r="CF57" s="283">
        <f t="shared" ref="CF57:CF70" si="240">CI57</f>
        <v>23077</v>
      </c>
      <c r="CG57" s="283">
        <v>21185</v>
      </c>
      <c r="CH57" s="283">
        <v>21864</v>
      </c>
      <c r="CI57" s="283">
        <v>23077</v>
      </c>
      <c r="CJ57" s="283">
        <v>23275</v>
      </c>
      <c r="CK57" s="283">
        <f t="shared" ref="CK57:CK70" si="241">CN57</f>
        <v>28900</v>
      </c>
      <c r="CL57" s="283"/>
      <c r="CM57" s="283"/>
      <c r="CN57" s="283">
        <v>28900</v>
      </c>
      <c r="CO57" s="283"/>
    </row>
    <row r="58" spans="1:93" s="289" customFormat="1" x14ac:dyDescent="0.25">
      <c r="A58" s="301" t="s">
        <v>149</v>
      </c>
      <c r="B58" s="281">
        <v>0</v>
      </c>
      <c r="C58" s="281">
        <v>0</v>
      </c>
      <c r="D58" s="281">
        <v>0</v>
      </c>
      <c r="E58" s="281">
        <v>0</v>
      </c>
      <c r="F58" s="281">
        <v>0</v>
      </c>
      <c r="G58" s="281">
        <v>0</v>
      </c>
      <c r="H58" s="281">
        <v>0</v>
      </c>
      <c r="I58" s="281">
        <v>0</v>
      </c>
      <c r="J58" s="281">
        <v>0</v>
      </c>
      <c r="K58" s="281">
        <v>0</v>
      </c>
      <c r="L58" s="281">
        <v>0</v>
      </c>
      <c r="M58" s="281">
        <v>0</v>
      </c>
      <c r="N58" s="281">
        <v>0</v>
      </c>
      <c r="O58" s="281">
        <v>0</v>
      </c>
      <c r="P58" s="281">
        <v>0</v>
      </c>
      <c r="Q58" s="281">
        <v>0</v>
      </c>
      <c r="R58" s="281">
        <v>0</v>
      </c>
      <c r="S58" s="281">
        <v>0</v>
      </c>
      <c r="T58" s="281">
        <v>0</v>
      </c>
      <c r="U58" s="281">
        <v>0</v>
      </c>
      <c r="V58" s="281">
        <v>0</v>
      </c>
      <c r="W58" s="281">
        <v>0</v>
      </c>
      <c r="X58" s="281">
        <v>0</v>
      </c>
      <c r="Y58" s="281"/>
      <c r="Z58" s="281"/>
      <c r="AA58" s="281"/>
      <c r="AB58" s="281"/>
      <c r="AC58" s="281"/>
      <c r="AD58" s="281"/>
      <c r="AE58" s="281"/>
      <c r="AF58" s="281"/>
      <c r="AG58" s="281"/>
      <c r="AH58" s="281"/>
      <c r="AI58" s="281">
        <f t="shared" si="7"/>
        <v>76246</v>
      </c>
      <c r="AJ58" s="281"/>
      <c r="AK58" s="281"/>
      <c r="AL58" s="281">
        <v>76246</v>
      </c>
      <c r="AM58" s="283">
        <v>67448</v>
      </c>
      <c r="AN58" s="281">
        <f t="shared" si="42"/>
        <v>58650</v>
      </c>
      <c r="AO58" s="281">
        <f t="shared" si="42"/>
        <v>56159</v>
      </c>
      <c r="AP58" s="281">
        <f t="shared" si="42"/>
        <v>47304</v>
      </c>
      <c r="AQ58" s="281">
        <v>58650</v>
      </c>
      <c r="AR58" s="281">
        <v>56159</v>
      </c>
      <c r="AS58" s="281">
        <v>47304</v>
      </c>
      <c r="AT58" s="283">
        <v>30626</v>
      </c>
      <c r="AU58" s="283">
        <f t="shared" si="224"/>
        <v>23059</v>
      </c>
      <c r="AV58" s="283">
        <f t="shared" si="225"/>
        <v>18467</v>
      </c>
      <c r="AW58" s="283">
        <f t="shared" si="46"/>
        <v>7387</v>
      </c>
      <c r="AX58" s="283">
        <v>23059</v>
      </c>
      <c r="AY58" s="283">
        <v>18467</v>
      </c>
      <c r="AZ58" s="283">
        <v>7387</v>
      </c>
      <c r="BA58" s="283">
        <v>0</v>
      </c>
      <c r="BB58" s="283">
        <f t="shared" si="226"/>
        <v>0</v>
      </c>
      <c r="BC58" s="283">
        <f t="shared" si="227"/>
        <v>0</v>
      </c>
      <c r="BD58" s="283">
        <f t="shared" si="228"/>
        <v>0</v>
      </c>
      <c r="BE58" s="283">
        <v>0</v>
      </c>
      <c r="BF58" s="283">
        <v>0</v>
      </c>
      <c r="BG58" s="283">
        <v>0</v>
      </c>
      <c r="BH58" s="283">
        <v>0</v>
      </c>
      <c r="BI58" s="283">
        <f t="shared" si="229"/>
        <v>140462</v>
      </c>
      <c r="BJ58" s="283">
        <f t="shared" si="230"/>
        <v>0</v>
      </c>
      <c r="BK58" s="283">
        <f t="shared" si="231"/>
        <v>0</v>
      </c>
      <c r="BL58" s="283">
        <v>140462</v>
      </c>
      <c r="BM58" s="283">
        <v>0</v>
      </c>
      <c r="BN58" s="283">
        <v>0</v>
      </c>
      <c r="BO58" s="283">
        <v>0</v>
      </c>
      <c r="BP58" s="283">
        <f t="shared" si="232"/>
        <v>0</v>
      </c>
      <c r="BQ58" s="283">
        <f t="shared" si="233"/>
        <v>0</v>
      </c>
      <c r="BR58" s="283">
        <f t="shared" si="234"/>
        <v>0</v>
      </c>
      <c r="BS58" s="283">
        <v>0</v>
      </c>
      <c r="BT58" s="283">
        <v>0</v>
      </c>
      <c r="BU58" s="283">
        <v>0</v>
      </c>
      <c r="BV58" s="283">
        <v>0</v>
      </c>
      <c r="BW58" s="283">
        <f t="shared" si="235"/>
        <v>0</v>
      </c>
      <c r="BX58" s="283">
        <f t="shared" si="236"/>
        <v>0</v>
      </c>
      <c r="BY58" s="283">
        <f t="shared" si="237"/>
        <v>0</v>
      </c>
      <c r="BZ58" s="283">
        <v>0</v>
      </c>
      <c r="CA58" s="283">
        <v>0</v>
      </c>
      <c r="CB58" s="283">
        <v>0</v>
      </c>
      <c r="CC58" s="283">
        <v>0</v>
      </c>
      <c r="CD58" s="283">
        <f t="shared" si="238"/>
        <v>0</v>
      </c>
      <c r="CE58" s="283">
        <f t="shared" si="239"/>
        <v>0</v>
      </c>
      <c r="CF58" s="283">
        <f t="shared" si="240"/>
        <v>0</v>
      </c>
      <c r="CG58" s="283">
        <v>0</v>
      </c>
      <c r="CH58" s="283">
        <v>0</v>
      </c>
      <c r="CI58" s="283">
        <v>0</v>
      </c>
      <c r="CJ58" s="283">
        <v>0</v>
      </c>
      <c r="CK58" s="283">
        <f t="shared" si="241"/>
        <v>0</v>
      </c>
      <c r="CL58" s="283"/>
      <c r="CM58" s="283"/>
      <c r="CN58" s="283">
        <v>0</v>
      </c>
      <c r="CO58" s="283"/>
    </row>
    <row r="59" spans="1:93" s="289" customFormat="1" x14ac:dyDescent="0.25">
      <c r="A59" s="301" t="str">
        <f>Language!C56</f>
        <v>Debêntures</v>
      </c>
      <c r="B59" s="280">
        <v>23738</v>
      </c>
      <c r="C59" s="280">
        <v>130395</v>
      </c>
      <c r="D59" s="280">
        <v>117706</v>
      </c>
      <c r="E59" s="280">
        <v>112557</v>
      </c>
      <c r="F59" s="279">
        <v>257342</v>
      </c>
      <c r="G59" s="280">
        <v>252025</v>
      </c>
      <c r="H59" s="280">
        <v>227587</v>
      </c>
      <c r="I59" s="280">
        <v>222513</v>
      </c>
      <c r="J59" s="279">
        <v>205238</v>
      </c>
      <c r="K59" s="280">
        <v>198963</v>
      </c>
      <c r="L59" s="280">
        <v>303184</v>
      </c>
      <c r="M59" s="280">
        <v>295285</v>
      </c>
      <c r="N59" s="279">
        <v>273386</v>
      </c>
      <c r="O59" s="280">
        <v>265486</v>
      </c>
      <c r="P59" s="280">
        <v>243591</v>
      </c>
      <c r="Q59" s="280">
        <v>434206</v>
      </c>
      <c r="R59" s="279">
        <v>559809</v>
      </c>
      <c r="S59" s="281">
        <v>447903</v>
      </c>
      <c r="T59" s="281">
        <v>343357</v>
      </c>
      <c r="U59" s="281">
        <v>354955</v>
      </c>
      <c r="V59" s="281">
        <v>447903</v>
      </c>
      <c r="W59" s="281">
        <v>343357</v>
      </c>
      <c r="X59" s="282">
        <v>354955</v>
      </c>
      <c r="Y59" s="283">
        <v>355445</v>
      </c>
      <c r="Z59" s="281">
        <f t="shared" si="33"/>
        <v>319406</v>
      </c>
      <c r="AA59" s="281">
        <f t="shared" si="34"/>
        <v>273643</v>
      </c>
      <c r="AB59" s="281">
        <f t="shared" si="35"/>
        <v>245677</v>
      </c>
      <c r="AC59" s="281">
        <v>319406</v>
      </c>
      <c r="AD59" s="281">
        <v>273643</v>
      </c>
      <c r="AE59" s="282">
        <v>245677</v>
      </c>
      <c r="AF59" s="281">
        <v>211134</v>
      </c>
      <c r="AG59" s="281">
        <f t="shared" si="39"/>
        <v>185581</v>
      </c>
      <c r="AH59" s="281">
        <f t="shared" si="6"/>
        <v>189329</v>
      </c>
      <c r="AI59" s="281">
        <f t="shared" si="7"/>
        <v>224668</v>
      </c>
      <c r="AJ59" s="281">
        <v>185581</v>
      </c>
      <c r="AK59" s="281">
        <v>189329</v>
      </c>
      <c r="AL59" s="281">
        <v>224668</v>
      </c>
      <c r="AM59" s="283">
        <v>52638</v>
      </c>
      <c r="AN59" s="281">
        <f t="shared" si="42"/>
        <v>103832</v>
      </c>
      <c r="AO59" s="281">
        <f t="shared" si="42"/>
        <v>106709</v>
      </c>
      <c r="AP59" s="281">
        <f t="shared" si="42"/>
        <v>69527</v>
      </c>
      <c r="AQ59" s="281">
        <v>103832</v>
      </c>
      <c r="AR59" s="281">
        <v>106709</v>
      </c>
      <c r="AS59" s="281">
        <v>69527</v>
      </c>
      <c r="AT59" s="283">
        <v>72211</v>
      </c>
      <c r="AU59" s="283">
        <f t="shared" si="224"/>
        <v>29548</v>
      </c>
      <c r="AV59" s="283">
        <f t="shared" si="225"/>
        <v>14412</v>
      </c>
      <c r="AW59" s="283">
        <f t="shared" si="46"/>
        <v>5765</v>
      </c>
      <c r="AX59" s="283">
        <v>29548</v>
      </c>
      <c r="AY59" s="283">
        <v>14412</v>
      </c>
      <c r="AZ59" s="283">
        <v>5765</v>
      </c>
      <c r="BA59" s="283">
        <v>0</v>
      </c>
      <c r="BB59" s="283">
        <f t="shared" si="226"/>
        <v>0</v>
      </c>
      <c r="BC59" s="283">
        <f t="shared" si="227"/>
        <v>0</v>
      </c>
      <c r="BD59" s="283">
        <f t="shared" si="228"/>
        <v>0</v>
      </c>
      <c r="BE59" s="283">
        <v>0</v>
      </c>
      <c r="BF59" s="283">
        <v>0</v>
      </c>
      <c r="BG59" s="283">
        <v>0</v>
      </c>
      <c r="BH59" s="283">
        <v>0</v>
      </c>
      <c r="BI59" s="283">
        <f t="shared" si="229"/>
        <v>0</v>
      </c>
      <c r="BJ59" s="283">
        <f t="shared" si="230"/>
        <v>89000</v>
      </c>
      <c r="BK59" s="283">
        <f t="shared" si="231"/>
        <v>89000</v>
      </c>
      <c r="BL59" s="283">
        <v>0</v>
      </c>
      <c r="BM59" s="283">
        <v>89000</v>
      </c>
      <c r="BN59" s="283">
        <v>89000</v>
      </c>
      <c r="BO59" s="283">
        <v>81928</v>
      </c>
      <c r="BP59" s="283">
        <f t="shared" si="232"/>
        <v>260375</v>
      </c>
      <c r="BQ59" s="283">
        <f t="shared" si="233"/>
        <v>272039</v>
      </c>
      <c r="BR59" s="283">
        <f t="shared" si="234"/>
        <v>279935</v>
      </c>
      <c r="BS59" s="283">
        <v>260375</v>
      </c>
      <c r="BT59" s="283">
        <v>272039</v>
      </c>
      <c r="BU59" s="283">
        <v>279935</v>
      </c>
      <c r="BV59" s="283">
        <v>280266</v>
      </c>
      <c r="BW59" s="283">
        <f t="shared" si="235"/>
        <v>272772</v>
      </c>
      <c r="BX59" s="283">
        <f t="shared" si="236"/>
        <v>290194</v>
      </c>
      <c r="BY59" s="283">
        <f t="shared" si="237"/>
        <v>293234</v>
      </c>
      <c r="BZ59" s="283">
        <v>272772</v>
      </c>
      <c r="CA59" s="283">
        <v>290194</v>
      </c>
      <c r="CB59" s="283">
        <v>293234</v>
      </c>
      <c r="CC59" s="283">
        <v>292823</v>
      </c>
      <c r="CD59" s="283">
        <f t="shared" si="238"/>
        <v>296172</v>
      </c>
      <c r="CE59" s="283">
        <f t="shared" si="239"/>
        <v>292417</v>
      </c>
      <c r="CF59" s="283">
        <f t="shared" si="240"/>
        <v>297461</v>
      </c>
      <c r="CG59" s="283">
        <v>296172</v>
      </c>
      <c r="CH59" s="283">
        <v>292417</v>
      </c>
      <c r="CI59" s="283">
        <v>297461</v>
      </c>
      <c r="CJ59" s="283">
        <v>297505</v>
      </c>
      <c r="CK59" s="283">
        <f t="shared" si="241"/>
        <v>301860</v>
      </c>
      <c r="CL59" s="283"/>
      <c r="CM59" s="283"/>
      <c r="CN59" s="283">
        <v>301860</v>
      </c>
      <c r="CO59" s="283"/>
    </row>
    <row r="60" spans="1:93" s="289" customFormat="1" x14ac:dyDescent="0.25">
      <c r="A60" s="301" t="str">
        <f>Language!C57</f>
        <v>Provisão para Manutenção</v>
      </c>
      <c r="B60" s="280"/>
      <c r="C60" s="280"/>
      <c r="D60" s="280"/>
      <c r="E60" s="280"/>
      <c r="F60" s="279"/>
      <c r="G60" s="280"/>
      <c r="H60" s="280"/>
      <c r="I60" s="280"/>
      <c r="J60" s="279"/>
      <c r="K60" s="280">
        <v>28437</v>
      </c>
      <c r="L60" s="280">
        <v>28437</v>
      </c>
      <c r="M60" s="280">
        <v>21230</v>
      </c>
      <c r="N60" s="279">
        <v>18571</v>
      </c>
      <c r="O60" s="280">
        <v>49031</v>
      </c>
      <c r="P60" s="280">
        <v>46496</v>
      </c>
      <c r="Q60" s="280">
        <v>79345</v>
      </c>
      <c r="R60" s="279">
        <v>99465</v>
      </c>
      <c r="S60" s="281">
        <v>117150</v>
      </c>
      <c r="T60" s="281">
        <v>108208</v>
      </c>
      <c r="U60" s="281">
        <v>120548</v>
      </c>
      <c r="V60" s="281">
        <v>117150</v>
      </c>
      <c r="W60" s="281">
        <v>108208</v>
      </c>
      <c r="X60" s="282">
        <v>120548</v>
      </c>
      <c r="Y60" s="283">
        <v>132200</v>
      </c>
      <c r="Z60" s="281">
        <f t="shared" si="33"/>
        <v>143999</v>
      </c>
      <c r="AA60" s="281">
        <f t="shared" si="34"/>
        <v>155990</v>
      </c>
      <c r="AB60" s="281">
        <f t="shared" si="35"/>
        <v>154939</v>
      </c>
      <c r="AC60" s="281">
        <v>143999</v>
      </c>
      <c r="AD60" s="281">
        <v>155990</v>
      </c>
      <c r="AE60" s="282">
        <v>154939</v>
      </c>
      <c r="AF60" s="281">
        <v>166077</v>
      </c>
      <c r="AG60" s="281">
        <f t="shared" si="39"/>
        <v>176923</v>
      </c>
      <c r="AH60" s="281">
        <f t="shared" si="6"/>
        <v>188205</v>
      </c>
      <c r="AI60" s="281">
        <f t="shared" si="7"/>
        <v>210907</v>
      </c>
      <c r="AJ60" s="281">
        <v>176923</v>
      </c>
      <c r="AK60" s="281">
        <v>188205</v>
      </c>
      <c r="AL60" s="281">
        <v>210907</v>
      </c>
      <c r="AM60" s="283">
        <v>223388</v>
      </c>
      <c r="AN60" s="281">
        <f t="shared" si="42"/>
        <v>236056</v>
      </c>
      <c r="AO60" s="281">
        <f t="shared" si="42"/>
        <v>248906</v>
      </c>
      <c r="AP60" s="281">
        <f t="shared" si="42"/>
        <v>261602</v>
      </c>
      <c r="AQ60" s="281">
        <v>236056</v>
      </c>
      <c r="AR60" s="281">
        <v>248906</v>
      </c>
      <c r="AS60" s="281">
        <v>261602</v>
      </c>
      <c r="AT60" s="283">
        <v>272412</v>
      </c>
      <c r="AU60" s="283">
        <f t="shared" si="224"/>
        <v>283693</v>
      </c>
      <c r="AV60" s="283">
        <f t="shared" si="225"/>
        <v>295089</v>
      </c>
      <c r="AW60" s="283">
        <f t="shared" si="46"/>
        <v>309759</v>
      </c>
      <c r="AX60" s="283">
        <v>283693</v>
      </c>
      <c r="AY60" s="283">
        <v>295089</v>
      </c>
      <c r="AZ60" s="283">
        <v>309759</v>
      </c>
      <c r="BA60" s="283">
        <v>304589</v>
      </c>
      <c r="BB60" s="283">
        <f t="shared" si="226"/>
        <v>299509</v>
      </c>
      <c r="BC60" s="283">
        <f t="shared" si="227"/>
        <v>294549</v>
      </c>
      <c r="BD60" s="283">
        <f t="shared" si="228"/>
        <v>6326</v>
      </c>
      <c r="BE60" s="283">
        <v>299509</v>
      </c>
      <c r="BF60" s="283">
        <v>294549</v>
      </c>
      <c r="BG60" s="283">
        <v>6326</v>
      </c>
      <c r="BH60" s="283">
        <v>5787</v>
      </c>
      <c r="BI60" s="283">
        <f t="shared" si="229"/>
        <v>5249</v>
      </c>
      <c r="BJ60" s="283">
        <f t="shared" si="230"/>
        <v>4710</v>
      </c>
      <c r="BK60" s="283">
        <f t="shared" si="231"/>
        <v>4172</v>
      </c>
      <c r="BL60" s="283">
        <v>5249</v>
      </c>
      <c r="BM60" s="283">
        <v>4710</v>
      </c>
      <c r="BN60" s="283">
        <v>4172</v>
      </c>
      <c r="BO60" s="283">
        <v>4212</v>
      </c>
      <c r="BP60" s="283">
        <f t="shared" si="232"/>
        <v>4253</v>
      </c>
      <c r="BQ60" s="283">
        <f t="shared" si="233"/>
        <v>4293</v>
      </c>
      <c r="BR60" s="283">
        <f t="shared" si="234"/>
        <v>4334</v>
      </c>
      <c r="BS60" s="283">
        <v>4253</v>
      </c>
      <c r="BT60" s="283">
        <v>4293</v>
      </c>
      <c r="BU60" s="283">
        <v>4334</v>
      </c>
      <c r="BV60" s="283">
        <v>3929</v>
      </c>
      <c r="BW60" s="283">
        <f t="shared" si="235"/>
        <v>3524</v>
      </c>
      <c r="BX60" s="283">
        <f t="shared" si="236"/>
        <v>3119</v>
      </c>
      <c r="BY60" s="283">
        <f t="shared" si="237"/>
        <v>2714</v>
      </c>
      <c r="BZ60" s="283">
        <v>3524</v>
      </c>
      <c r="CA60" s="283">
        <v>3119</v>
      </c>
      <c r="CB60" s="283">
        <v>2714</v>
      </c>
      <c r="CC60" s="283">
        <v>2036</v>
      </c>
      <c r="CD60" s="283">
        <f t="shared" si="238"/>
        <v>5106</v>
      </c>
      <c r="CE60" s="283">
        <f t="shared" si="239"/>
        <v>5194</v>
      </c>
      <c r="CF60" s="283">
        <f t="shared" si="240"/>
        <v>5435</v>
      </c>
      <c r="CG60" s="283">
        <v>5106</v>
      </c>
      <c r="CH60" s="283">
        <v>5194</v>
      </c>
      <c r="CI60" s="283">
        <v>5435</v>
      </c>
      <c r="CJ60" s="283">
        <v>5294</v>
      </c>
      <c r="CK60" s="283">
        <f t="shared" si="241"/>
        <v>5153</v>
      </c>
      <c r="CL60" s="283"/>
      <c r="CM60" s="283"/>
      <c r="CN60" s="283">
        <v>5153</v>
      </c>
      <c r="CO60" s="283"/>
    </row>
    <row r="61" spans="1:93" s="289" customFormat="1" x14ac:dyDescent="0.25">
      <c r="A61" s="301" t="str">
        <f>Language!C58</f>
        <v>Obrigações da Concessão</v>
      </c>
      <c r="B61" s="280">
        <v>19526</v>
      </c>
      <c r="C61" s="280">
        <v>21987</v>
      </c>
      <c r="D61" s="280">
        <v>24262</v>
      </c>
      <c r="E61" s="280">
        <v>26713</v>
      </c>
      <c r="F61" s="279">
        <v>28437</v>
      </c>
      <c r="G61" s="280">
        <v>28437</v>
      </c>
      <c r="H61" s="280">
        <v>28437</v>
      </c>
      <c r="I61" s="280">
        <v>28437</v>
      </c>
      <c r="J61" s="279">
        <v>0</v>
      </c>
      <c r="K61" s="280">
        <v>0</v>
      </c>
      <c r="L61" s="280">
        <v>0</v>
      </c>
      <c r="M61" s="280">
        <v>0</v>
      </c>
      <c r="N61" s="279">
        <v>0</v>
      </c>
      <c r="O61" s="280">
        <v>0</v>
      </c>
      <c r="P61" s="280">
        <v>17634</v>
      </c>
      <c r="Q61" s="280">
        <v>0</v>
      </c>
      <c r="R61" s="279">
        <v>0</v>
      </c>
      <c r="S61" s="281">
        <v>0</v>
      </c>
      <c r="T61" s="281">
        <v>0</v>
      </c>
      <c r="U61" s="281">
        <v>0</v>
      </c>
      <c r="V61" s="281">
        <v>0</v>
      </c>
      <c r="W61" s="281">
        <v>0</v>
      </c>
      <c r="X61" s="282">
        <v>0</v>
      </c>
      <c r="Y61" s="283"/>
      <c r="Z61" s="281"/>
      <c r="AA61" s="281"/>
      <c r="AB61" s="281"/>
      <c r="AC61" s="281"/>
      <c r="AD61" s="281"/>
      <c r="AE61" s="282"/>
      <c r="AF61" s="281"/>
      <c r="AG61" s="281"/>
      <c r="AH61" s="281"/>
      <c r="AI61" s="281"/>
      <c r="AJ61" s="281"/>
      <c r="AK61" s="281"/>
      <c r="AL61" s="281"/>
      <c r="AM61" s="283"/>
      <c r="AN61" s="281"/>
      <c r="AO61" s="281"/>
      <c r="AP61" s="281"/>
      <c r="AQ61" s="281"/>
      <c r="AR61" s="281"/>
      <c r="AS61" s="281"/>
      <c r="AT61" s="283"/>
      <c r="AU61" s="283">
        <f t="shared" si="224"/>
        <v>0</v>
      </c>
      <c r="AV61" s="283">
        <f t="shared" si="225"/>
        <v>0</v>
      </c>
      <c r="AW61" s="283">
        <f t="shared" si="46"/>
        <v>0</v>
      </c>
      <c r="AX61" s="283">
        <v>0</v>
      </c>
      <c r="AY61" s="283">
        <v>0</v>
      </c>
      <c r="AZ61" s="731">
        <v>0</v>
      </c>
      <c r="BA61" s="731">
        <v>0</v>
      </c>
      <c r="BB61" s="283">
        <f t="shared" si="226"/>
        <v>0</v>
      </c>
      <c r="BC61" s="283">
        <f t="shared" si="227"/>
        <v>0</v>
      </c>
      <c r="BD61" s="283">
        <f t="shared" si="228"/>
        <v>0</v>
      </c>
      <c r="BE61" s="731">
        <v>0</v>
      </c>
      <c r="BF61" s="731">
        <v>0</v>
      </c>
      <c r="BG61" s="731">
        <v>0</v>
      </c>
      <c r="BH61" s="731">
        <v>0</v>
      </c>
      <c r="BI61" s="283">
        <f t="shared" si="229"/>
        <v>0</v>
      </c>
      <c r="BJ61" s="283">
        <f t="shared" si="230"/>
        <v>0</v>
      </c>
      <c r="BK61" s="283">
        <f t="shared" si="231"/>
        <v>0</v>
      </c>
      <c r="BL61" s="731">
        <v>0</v>
      </c>
      <c r="BM61" s="731">
        <v>0</v>
      </c>
      <c r="BN61" s="731">
        <v>0</v>
      </c>
      <c r="BO61" s="731">
        <v>0</v>
      </c>
      <c r="BP61" s="283">
        <f t="shared" si="232"/>
        <v>0</v>
      </c>
      <c r="BQ61" s="283">
        <f t="shared" si="233"/>
        <v>0</v>
      </c>
      <c r="BR61" s="283">
        <f t="shared" si="234"/>
        <v>0</v>
      </c>
      <c r="BS61" s="731">
        <v>0</v>
      </c>
      <c r="BT61" s="731">
        <v>0</v>
      </c>
      <c r="BU61" s="731">
        <v>0</v>
      </c>
      <c r="BV61" s="731">
        <v>0</v>
      </c>
      <c r="BW61" s="283">
        <f t="shared" si="235"/>
        <v>0</v>
      </c>
      <c r="BX61" s="283">
        <f t="shared" si="236"/>
        <v>0</v>
      </c>
      <c r="BY61" s="283">
        <f t="shared" si="237"/>
        <v>0</v>
      </c>
      <c r="BZ61" s="731">
        <v>0</v>
      </c>
      <c r="CA61" s="731">
        <v>0</v>
      </c>
      <c r="CB61" s="731">
        <v>0</v>
      </c>
      <c r="CC61" s="731">
        <v>0</v>
      </c>
      <c r="CD61" s="283">
        <f t="shared" si="238"/>
        <v>0</v>
      </c>
      <c r="CE61" s="283">
        <f t="shared" si="239"/>
        <v>0</v>
      </c>
      <c r="CF61" s="283">
        <f t="shared" si="240"/>
        <v>0</v>
      </c>
      <c r="CG61" s="731">
        <v>0</v>
      </c>
      <c r="CH61" s="731">
        <v>0</v>
      </c>
      <c r="CI61" s="731">
        <v>0</v>
      </c>
      <c r="CJ61" s="731">
        <v>0</v>
      </c>
      <c r="CK61" s="283">
        <f t="shared" si="241"/>
        <v>0</v>
      </c>
      <c r="CL61" s="731"/>
      <c r="CM61" s="731"/>
      <c r="CN61" s="731">
        <v>0</v>
      </c>
      <c r="CO61" s="731"/>
    </row>
    <row r="62" spans="1:93" s="289" customFormat="1" x14ac:dyDescent="0.25">
      <c r="A62" s="301" t="str">
        <f>Language!C59</f>
        <v>Impostos, Taxas e Contribuições</v>
      </c>
      <c r="B62" s="280">
        <v>5053</v>
      </c>
      <c r="C62" s="280">
        <v>4678</v>
      </c>
      <c r="D62" s="280">
        <v>4284</v>
      </c>
      <c r="E62" s="280">
        <v>3858</v>
      </c>
      <c r="F62" s="279">
        <v>3407</v>
      </c>
      <c r="G62" s="280">
        <v>3000</v>
      </c>
      <c r="H62" s="280">
        <v>4027</v>
      </c>
      <c r="I62" s="280">
        <v>3801</v>
      </c>
      <c r="J62" s="279">
        <v>3169</v>
      </c>
      <c r="K62" s="280">
        <v>2564</v>
      </c>
      <c r="L62" s="280">
        <v>2023</v>
      </c>
      <c r="M62" s="280">
        <v>1477</v>
      </c>
      <c r="N62" s="279">
        <v>1066</v>
      </c>
      <c r="O62" s="280">
        <v>933</v>
      </c>
      <c r="P62" s="280">
        <v>801</v>
      </c>
      <c r="Q62" s="280">
        <v>654</v>
      </c>
      <c r="R62" s="279">
        <v>8241</v>
      </c>
      <c r="S62" s="281">
        <v>8774</v>
      </c>
      <c r="T62" s="281">
        <v>10405</v>
      </c>
      <c r="U62" s="281">
        <v>12022</v>
      </c>
      <c r="V62" s="281">
        <v>8774</v>
      </c>
      <c r="W62" s="281">
        <v>10405</v>
      </c>
      <c r="X62" s="282">
        <v>12022</v>
      </c>
      <c r="Y62" s="283">
        <v>12950</v>
      </c>
      <c r="Z62" s="281">
        <f t="shared" si="33"/>
        <v>11698</v>
      </c>
      <c r="AA62" s="281">
        <f t="shared" si="34"/>
        <v>20419</v>
      </c>
      <c r="AB62" s="281">
        <f t="shared" si="35"/>
        <v>24509</v>
      </c>
      <c r="AC62" s="281">
        <v>11698</v>
      </c>
      <c r="AD62" s="281">
        <v>20419</v>
      </c>
      <c r="AE62" s="282">
        <v>24509</v>
      </c>
      <c r="AF62" s="281">
        <v>25550</v>
      </c>
      <c r="AG62" s="281">
        <f t="shared" si="39"/>
        <v>23652</v>
      </c>
      <c r="AH62" s="281">
        <f t="shared" si="6"/>
        <v>4592</v>
      </c>
      <c r="AI62" s="281">
        <f t="shared" si="7"/>
        <v>6670</v>
      </c>
      <c r="AJ62" s="281">
        <v>23652</v>
      </c>
      <c r="AK62" s="281">
        <v>4592</v>
      </c>
      <c r="AL62" s="281">
        <v>6670</v>
      </c>
      <c r="AM62" s="283">
        <v>8267</v>
      </c>
      <c r="AN62" s="281">
        <f t="shared" si="42"/>
        <v>10014</v>
      </c>
      <c r="AO62" s="281">
        <f t="shared" si="42"/>
        <v>11060</v>
      </c>
      <c r="AP62" s="281">
        <f t="shared" si="42"/>
        <v>10433</v>
      </c>
      <c r="AQ62" s="281">
        <v>10014</v>
      </c>
      <c r="AR62" s="281">
        <v>11060</v>
      </c>
      <c r="AS62" s="281">
        <v>10433</v>
      </c>
      <c r="AT62" s="283">
        <v>6579</v>
      </c>
      <c r="AU62" s="283">
        <f t="shared" si="224"/>
        <v>22081</v>
      </c>
      <c r="AV62" s="283">
        <f t="shared" si="225"/>
        <v>22118</v>
      </c>
      <c r="AW62" s="283">
        <f t="shared" si="46"/>
        <v>44650</v>
      </c>
      <c r="AX62" s="283">
        <v>22081</v>
      </c>
      <c r="AY62" s="283">
        <v>22118</v>
      </c>
      <c r="AZ62" s="283">
        <v>44650</v>
      </c>
      <c r="BA62" s="283">
        <v>8990</v>
      </c>
      <c r="BB62" s="283">
        <f t="shared" si="226"/>
        <v>15525</v>
      </c>
      <c r="BC62" s="283">
        <f t="shared" si="227"/>
        <v>17551</v>
      </c>
      <c r="BD62" s="283">
        <f t="shared" si="228"/>
        <v>14024</v>
      </c>
      <c r="BE62" s="283">
        <v>15525</v>
      </c>
      <c r="BF62" s="283">
        <v>17551</v>
      </c>
      <c r="BG62" s="283">
        <v>14024</v>
      </c>
      <c r="BH62" s="283">
        <v>12733</v>
      </c>
      <c r="BI62" s="283">
        <f t="shared" si="229"/>
        <v>10631</v>
      </c>
      <c r="BJ62" s="283">
        <f t="shared" si="230"/>
        <v>9735</v>
      </c>
      <c r="BK62" s="283">
        <f t="shared" si="231"/>
        <v>18225</v>
      </c>
      <c r="BL62" s="283">
        <v>10631</v>
      </c>
      <c r="BM62" s="283">
        <v>9735</v>
      </c>
      <c r="BN62" s="283">
        <v>18225</v>
      </c>
      <c r="BO62" s="283">
        <v>21140</v>
      </c>
      <c r="BP62" s="283">
        <f t="shared" si="232"/>
        <v>20201</v>
      </c>
      <c r="BQ62" s="283">
        <f t="shared" si="233"/>
        <v>18966</v>
      </c>
      <c r="BR62" s="283">
        <f t="shared" si="234"/>
        <v>17969</v>
      </c>
      <c r="BS62" s="283">
        <v>20201</v>
      </c>
      <c r="BT62" s="283">
        <v>18966</v>
      </c>
      <c r="BU62" s="283">
        <v>17969</v>
      </c>
      <c r="BV62" s="283">
        <v>28418</v>
      </c>
      <c r="BW62" s="283">
        <f t="shared" si="235"/>
        <v>26013</v>
      </c>
      <c r="BX62" s="283">
        <f t="shared" si="236"/>
        <v>24292</v>
      </c>
      <c r="BY62" s="283">
        <f t="shared" si="237"/>
        <v>22238</v>
      </c>
      <c r="BZ62" s="283">
        <v>26013</v>
      </c>
      <c r="CA62" s="283">
        <v>24292</v>
      </c>
      <c r="CB62" s="283">
        <v>22238</v>
      </c>
      <c r="CC62" s="283">
        <v>29729</v>
      </c>
      <c r="CD62" s="283">
        <f t="shared" si="238"/>
        <v>26450</v>
      </c>
      <c r="CE62" s="283">
        <f t="shared" si="239"/>
        <v>34773</v>
      </c>
      <c r="CF62" s="283">
        <f t="shared" si="240"/>
        <v>38930</v>
      </c>
      <c r="CG62" s="283">
        <v>26450</v>
      </c>
      <c r="CH62" s="283">
        <v>34773</v>
      </c>
      <c r="CI62" s="283">
        <v>38930</v>
      </c>
      <c r="CJ62" s="283">
        <v>37046</v>
      </c>
      <c r="CK62" s="283">
        <f t="shared" si="241"/>
        <v>40710</v>
      </c>
      <c r="CL62" s="283"/>
      <c r="CM62" s="283"/>
      <c r="CN62" s="283">
        <v>40710</v>
      </c>
      <c r="CO62" s="283"/>
    </row>
    <row r="63" spans="1:93" s="289" customFormat="1" x14ac:dyDescent="0.25">
      <c r="A63" s="301" t="str">
        <f>Language!C60</f>
        <v>Imposto de Renda e Contribuição Social Diferidos</v>
      </c>
      <c r="B63" s="280">
        <v>166043</v>
      </c>
      <c r="C63" s="280">
        <v>163313</v>
      </c>
      <c r="D63" s="280">
        <v>161917</v>
      </c>
      <c r="E63" s="280">
        <v>158180</v>
      </c>
      <c r="F63" s="279">
        <v>155672</v>
      </c>
      <c r="G63" s="280">
        <v>151847</v>
      </c>
      <c r="H63" s="280">
        <v>149577</v>
      </c>
      <c r="I63" s="280">
        <v>146825</v>
      </c>
      <c r="J63" s="279">
        <v>144293</v>
      </c>
      <c r="K63" s="280">
        <v>141710</v>
      </c>
      <c r="L63" s="280">
        <v>139344</v>
      </c>
      <c r="M63" s="280">
        <v>137245</v>
      </c>
      <c r="N63" s="279">
        <v>134446</v>
      </c>
      <c r="O63" s="280">
        <v>139662</v>
      </c>
      <c r="P63" s="280">
        <v>153477</v>
      </c>
      <c r="Q63" s="280">
        <v>154816</v>
      </c>
      <c r="R63" s="279">
        <v>204938</v>
      </c>
      <c r="S63" s="281">
        <v>216103</v>
      </c>
      <c r="T63" s="281">
        <v>237538</v>
      </c>
      <c r="U63" s="281">
        <v>225017</v>
      </c>
      <c r="V63" s="281">
        <v>216103</v>
      </c>
      <c r="W63" s="281">
        <v>237538</v>
      </c>
      <c r="X63" s="282">
        <v>225017</v>
      </c>
      <c r="Y63" s="283">
        <v>219931</v>
      </c>
      <c r="Z63" s="281">
        <f t="shared" si="33"/>
        <v>208046</v>
      </c>
      <c r="AA63" s="281">
        <f t="shared" si="34"/>
        <v>204729</v>
      </c>
      <c r="AB63" s="281">
        <f t="shared" si="35"/>
        <v>202123</v>
      </c>
      <c r="AC63" s="281">
        <v>208046</v>
      </c>
      <c r="AD63" s="281">
        <v>204729</v>
      </c>
      <c r="AE63" s="282">
        <v>202123</v>
      </c>
      <c r="AF63" s="281">
        <v>196522</v>
      </c>
      <c r="AG63" s="281">
        <f t="shared" si="39"/>
        <v>189931</v>
      </c>
      <c r="AH63" s="281">
        <f t="shared" si="6"/>
        <v>177645</v>
      </c>
      <c r="AI63" s="281">
        <f t="shared" si="7"/>
        <v>173166</v>
      </c>
      <c r="AJ63" s="281">
        <v>189931</v>
      </c>
      <c r="AK63" s="281">
        <v>177645</v>
      </c>
      <c r="AL63" s="281">
        <v>173166</v>
      </c>
      <c r="AM63" s="283">
        <v>168783</v>
      </c>
      <c r="AN63" s="281">
        <f t="shared" si="42"/>
        <v>164532</v>
      </c>
      <c r="AO63" s="281">
        <f t="shared" si="42"/>
        <v>173243</v>
      </c>
      <c r="AP63" s="281">
        <f t="shared" si="42"/>
        <v>147777</v>
      </c>
      <c r="AQ63" s="281">
        <v>164532</v>
      </c>
      <c r="AR63" s="281">
        <v>173243</v>
      </c>
      <c r="AS63" s="281">
        <v>147777</v>
      </c>
      <c r="AT63" s="283">
        <v>142917</v>
      </c>
      <c r="AU63" s="283">
        <f t="shared" si="224"/>
        <v>149911</v>
      </c>
      <c r="AV63" s="283">
        <f t="shared" si="225"/>
        <v>169428</v>
      </c>
      <c r="AW63" s="283">
        <f t="shared" si="46"/>
        <v>194850</v>
      </c>
      <c r="AX63" s="283">
        <v>149911</v>
      </c>
      <c r="AY63" s="283">
        <v>169428</v>
      </c>
      <c r="AZ63" s="283">
        <v>194850</v>
      </c>
      <c r="BA63" s="283">
        <v>185439</v>
      </c>
      <c r="BB63" s="283">
        <f t="shared" si="226"/>
        <v>186377</v>
      </c>
      <c r="BC63" s="283">
        <f t="shared" si="227"/>
        <v>184720</v>
      </c>
      <c r="BD63" s="283">
        <f t="shared" si="228"/>
        <v>182636</v>
      </c>
      <c r="BE63" s="283">
        <v>186377</v>
      </c>
      <c r="BF63" s="283">
        <v>184720</v>
      </c>
      <c r="BG63" s="283">
        <v>182636</v>
      </c>
      <c r="BH63" s="283">
        <v>175431</v>
      </c>
      <c r="BI63" s="283">
        <f t="shared" si="229"/>
        <v>161876</v>
      </c>
      <c r="BJ63" s="283">
        <f t="shared" si="230"/>
        <v>172619</v>
      </c>
      <c r="BK63" s="283">
        <f t="shared" si="231"/>
        <v>146582</v>
      </c>
      <c r="BL63" s="283">
        <v>161876</v>
      </c>
      <c r="BM63" s="283">
        <v>172619</v>
      </c>
      <c r="BN63" s="283">
        <v>146582</v>
      </c>
      <c r="BO63" s="283">
        <v>0</v>
      </c>
      <c r="BP63" s="283">
        <f t="shared" si="232"/>
        <v>0</v>
      </c>
      <c r="BQ63" s="283">
        <f t="shared" si="233"/>
        <v>0</v>
      </c>
      <c r="BR63" s="283">
        <f t="shared" si="234"/>
        <v>3057</v>
      </c>
      <c r="BS63" s="283">
        <v>0</v>
      </c>
      <c r="BT63" s="283">
        <v>0</v>
      </c>
      <c r="BU63" s="283">
        <v>3057</v>
      </c>
      <c r="BV63" s="283">
        <v>1079</v>
      </c>
      <c r="BW63" s="283">
        <f t="shared" si="235"/>
        <v>0</v>
      </c>
      <c r="BX63" s="283">
        <f t="shared" si="236"/>
        <v>0</v>
      </c>
      <c r="BY63" s="283">
        <f t="shared" si="237"/>
        <v>22819</v>
      </c>
      <c r="BZ63" s="283">
        <v>0</v>
      </c>
      <c r="CA63" s="283">
        <v>0</v>
      </c>
      <c r="CB63" s="283">
        <v>22819</v>
      </c>
      <c r="CC63" s="283">
        <v>20172</v>
      </c>
      <c r="CD63" s="283">
        <f t="shared" si="238"/>
        <v>17526</v>
      </c>
      <c r="CE63" s="283">
        <f t="shared" si="239"/>
        <v>14879</v>
      </c>
      <c r="CF63" s="283">
        <f t="shared" si="240"/>
        <v>13010</v>
      </c>
      <c r="CG63" s="283">
        <v>17526</v>
      </c>
      <c r="CH63" s="283">
        <v>14879</v>
      </c>
      <c r="CI63" s="283">
        <v>13010</v>
      </c>
      <c r="CJ63" s="283">
        <v>10364</v>
      </c>
      <c r="CK63" s="283">
        <f t="shared" si="241"/>
        <v>5204</v>
      </c>
      <c r="CL63" s="283"/>
      <c r="CM63" s="283"/>
      <c r="CN63" s="283">
        <v>5204</v>
      </c>
      <c r="CO63" s="283"/>
    </row>
    <row r="64" spans="1:93" s="289" customFormat="1" x14ac:dyDescent="0.25">
      <c r="A64" s="301" t="str">
        <f>Language!C61</f>
        <v>Receitas Diferidas, Líquidas</v>
      </c>
      <c r="B64" s="280">
        <v>4367</v>
      </c>
      <c r="C64" s="280">
        <v>4081</v>
      </c>
      <c r="D64" s="280">
        <v>5530</v>
      </c>
      <c r="E64" s="280">
        <v>8908</v>
      </c>
      <c r="F64" s="279">
        <v>9066</v>
      </c>
      <c r="G64" s="280">
        <v>8526</v>
      </c>
      <c r="H64" s="280">
        <v>8394</v>
      </c>
      <c r="I64" s="280">
        <v>8462</v>
      </c>
      <c r="J64" s="279">
        <v>7827</v>
      </c>
      <c r="K64" s="280">
        <v>7223</v>
      </c>
      <c r="L64" s="280">
        <v>6821</v>
      </c>
      <c r="M64" s="280">
        <v>7284</v>
      </c>
      <c r="N64" s="279">
        <v>6715</v>
      </c>
      <c r="O64" s="280">
        <v>6154</v>
      </c>
      <c r="P64" s="280">
        <v>5694</v>
      </c>
      <c r="Q64" s="280">
        <v>6165</v>
      </c>
      <c r="R64" s="279">
        <v>5580</v>
      </c>
      <c r="S64" s="281">
        <v>5010</v>
      </c>
      <c r="T64" s="281">
        <v>4880</v>
      </c>
      <c r="U64" s="281">
        <v>5167</v>
      </c>
      <c r="V64" s="281">
        <v>5010</v>
      </c>
      <c r="W64" s="281">
        <v>4880</v>
      </c>
      <c r="X64" s="282">
        <v>5167</v>
      </c>
      <c r="Y64" s="283">
        <v>3114</v>
      </c>
      <c r="Z64" s="281">
        <f t="shared" si="33"/>
        <v>2739</v>
      </c>
      <c r="AA64" s="281">
        <f t="shared" si="34"/>
        <v>2177</v>
      </c>
      <c r="AB64" s="281">
        <f t="shared" si="35"/>
        <v>1953</v>
      </c>
      <c r="AC64" s="281">
        <v>2739</v>
      </c>
      <c r="AD64" s="281">
        <v>2177</v>
      </c>
      <c r="AE64" s="282">
        <v>1953</v>
      </c>
      <c r="AF64" s="281">
        <v>1732</v>
      </c>
      <c r="AG64" s="281">
        <f t="shared" si="39"/>
        <v>1511</v>
      </c>
      <c r="AH64" s="281">
        <f t="shared" si="6"/>
        <v>1290</v>
      </c>
      <c r="AI64" s="281">
        <f t="shared" si="7"/>
        <v>1069</v>
      </c>
      <c r="AJ64" s="281">
        <v>1511</v>
      </c>
      <c r="AK64" s="281">
        <v>1290</v>
      </c>
      <c r="AL64" s="281">
        <v>1069</v>
      </c>
      <c r="AM64" s="283">
        <v>849</v>
      </c>
      <c r="AN64" s="281">
        <f t="shared" si="42"/>
        <v>628</v>
      </c>
      <c r="AO64" s="281">
        <f t="shared" si="42"/>
        <v>512</v>
      </c>
      <c r="AP64" s="281">
        <f t="shared" si="42"/>
        <v>431</v>
      </c>
      <c r="AQ64" s="281">
        <v>628</v>
      </c>
      <c r="AR64" s="281">
        <v>512</v>
      </c>
      <c r="AS64" s="281">
        <v>431</v>
      </c>
      <c r="AT64" s="283">
        <v>357</v>
      </c>
      <c r="AU64" s="283">
        <f t="shared" si="224"/>
        <v>269</v>
      </c>
      <c r="AV64" s="283">
        <f t="shared" si="225"/>
        <v>170</v>
      </c>
      <c r="AW64" s="283">
        <f t="shared" si="46"/>
        <v>69</v>
      </c>
      <c r="AX64" s="283">
        <v>269</v>
      </c>
      <c r="AY64" s="283">
        <v>170</v>
      </c>
      <c r="AZ64" s="283">
        <v>69</v>
      </c>
      <c r="BA64" s="283">
        <v>0</v>
      </c>
      <c r="BB64" s="283">
        <f t="shared" si="226"/>
        <v>0</v>
      </c>
      <c r="BC64" s="283">
        <f t="shared" si="227"/>
        <v>0</v>
      </c>
      <c r="BD64" s="283">
        <f t="shared" si="228"/>
        <v>0</v>
      </c>
      <c r="BE64" s="283">
        <v>0</v>
      </c>
      <c r="BF64" s="283">
        <v>0</v>
      </c>
      <c r="BG64" s="283">
        <v>0</v>
      </c>
      <c r="BH64" s="283">
        <v>0</v>
      </c>
      <c r="BI64" s="283">
        <f t="shared" si="229"/>
        <v>0</v>
      </c>
      <c r="BJ64" s="283">
        <f t="shared" si="230"/>
        <v>0</v>
      </c>
      <c r="BK64" s="283">
        <f t="shared" si="231"/>
        <v>0</v>
      </c>
      <c r="BL64" s="283">
        <v>0</v>
      </c>
      <c r="BM64" s="283">
        <v>0</v>
      </c>
      <c r="BN64" s="283">
        <v>0</v>
      </c>
      <c r="BO64" s="283">
        <v>0</v>
      </c>
      <c r="BP64" s="283">
        <f t="shared" si="232"/>
        <v>0</v>
      </c>
      <c r="BQ64" s="283">
        <f t="shared" si="233"/>
        <v>0</v>
      </c>
      <c r="BR64" s="283">
        <f t="shared" si="234"/>
        <v>0</v>
      </c>
      <c r="BS64" s="283">
        <v>0</v>
      </c>
      <c r="BT64" s="283">
        <v>0</v>
      </c>
      <c r="BU64" s="283">
        <v>0</v>
      </c>
      <c r="BV64" s="283">
        <v>0</v>
      </c>
      <c r="BW64" s="283">
        <f t="shared" si="235"/>
        <v>0</v>
      </c>
      <c r="BX64" s="283">
        <f t="shared" si="236"/>
        <v>0</v>
      </c>
      <c r="BY64" s="283">
        <f t="shared" si="237"/>
        <v>0</v>
      </c>
      <c r="BZ64" s="283">
        <v>0</v>
      </c>
      <c r="CA64" s="283">
        <v>0</v>
      </c>
      <c r="CB64" s="283">
        <v>0</v>
      </c>
      <c r="CC64" s="283">
        <v>0</v>
      </c>
      <c r="CD64" s="283">
        <f t="shared" si="238"/>
        <v>0</v>
      </c>
      <c r="CE64" s="283">
        <f t="shared" si="239"/>
        <v>0</v>
      </c>
      <c r="CF64" s="283">
        <f t="shared" si="240"/>
        <v>0</v>
      </c>
      <c r="CG64" s="283">
        <v>0</v>
      </c>
      <c r="CH64" s="283">
        <v>0</v>
      </c>
      <c r="CI64" s="283">
        <v>0</v>
      </c>
      <c r="CJ64" s="283">
        <v>0</v>
      </c>
      <c r="CK64" s="283">
        <f t="shared" si="241"/>
        <v>0</v>
      </c>
      <c r="CL64" s="283"/>
      <c r="CM64" s="283"/>
      <c r="CN64" s="283">
        <v>0</v>
      </c>
      <c r="CO64" s="283"/>
    </row>
    <row r="65" spans="1:93" s="289" customFormat="1" x14ac:dyDescent="0.25">
      <c r="A65" s="301" t="str">
        <f>Language!C62</f>
        <v>Contas a pagar - partes relacionadas</v>
      </c>
      <c r="B65" s="280">
        <v>86</v>
      </c>
      <c r="C65" s="280">
        <v>117</v>
      </c>
      <c r="D65" s="280">
        <v>86</v>
      </c>
      <c r="E65" s="280">
        <v>88</v>
      </c>
      <c r="F65" s="279">
        <v>88</v>
      </c>
      <c r="G65" s="280">
        <v>88</v>
      </c>
      <c r="H65" s="280">
        <v>0</v>
      </c>
      <c r="I65" s="280">
        <v>0</v>
      </c>
      <c r="J65" s="279">
        <v>0</v>
      </c>
      <c r="K65" s="280">
        <v>0</v>
      </c>
      <c r="L65" s="280">
        <v>0</v>
      </c>
      <c r="M65" s="280">
        <v>0</v>
      </c>
      <c r="N65" s="279">
        <v>6524</v>
      </c>
      <c r="O65" s="280">
        <v>6523</v>
      </c>
      <c r="P65" s="280">
        <v>6525</v>
      </c>
      <c r="Q65" s="280">
        <v>0</v>
      </c>
      <c r="R65" s="279">
        <v>14305</v>
      </c>
      <c r="S65" s="281">
        <v>0</v>
      </c>
      <c r="T65" s="281">
        <v>12437</v>
      </c>
      <c r="U65" s="281">
        <v>89938</v>
      </c>
      <c r="V65" s="281">
        <v>0</v>
      </c>
      <c r="W65" s="281">
        <v>12437</v>
      </c>
      <c r="X65" s="282">
        <v>89938</v>
      </c>
      <c r="Y65" s="283">
        <v>146959</v>
      </c>
      <c r="Z65" s="281">
        <f t="shared" si="33"/>
        <v>116607</v>
      </c>
      <c r="AA65" s="281">
        <f t="shared" si="34"/>
        <v>120079</v>
      </c>
      <c r="AB65" s="281">
        <f t="shared" si="35"/>
        <v>115676</v>
      </c>
      <c r="AC65" s="281">
        <v>116607</v>
      </c>
      <c r="AD65" s="281">
        <v>120079</v>
      </c>
      <c r="AE65" s="282">
        <v>115676</v>
      </c>
      <c r="AF65" s="281">
        <v>119301</v>
      </c>
      <c r="AG65" s="281"/>
      <c r="AH65" s="281">
        <f t="shared" si="6"/>
        <v>10504</v>
      </c>
      <c r="AI65" s="281">
        <f t="shared" si="7"/>
        <v>8785</v>
      </c>
      <c r="AJ65" s="281"/>
      <c r="AK65" s="281">
        <v>10504</v>
      </c>
      <c r="AL65" s="281">
        <v>8785</v>
      </c>
      <c r="AM65" s="283"/>
      <c r="AN65" s="281"/>
      <c r="AO65" s="281"/>
      <c r="AP65" s="281"/>
      <c r="AQ65" s="281"/>
      <c r="AR65" s="281"/>
      <c r="AS65" s="281"/>
      <c r="AT65" s="283"/>
      <c r="AU65" s="283">
        <f t="shared" si="224"/>
        <v>0</v>
      </c>
      <c r="AV65" s="283">
        <f t="shared" si="225"/>
        <v>0</v>
      </c>
      <c r="AW65" s="283">
        <f t="shared" si="46"/>
        <v>0</v>
      </c>
      <c r="AX65" s="283">
        <v>0</v>
      </c>
      <c r="AY65" s="283">
        <v>0</v>
      </c>
      <c r="AZ65" s="731">
        <v>0</v>
      </c>
      <c r="BA65" s="731">
        <v>0</v>
      </c>
      <c r="BB65" s="283">
        <f t="shared" si="226"/>
        <v>0</v>
      </c>
      <c r="BC65" s="283">
        <f t="shared" si="227"/>
        <v>0</v>
      </c>
      <c r="BD65" s="283">
        <f t="shared" si="228"/>
        <v>0</v>
      </c>
      <c r="BE65" s="731">
        <v>0</v>
      </c>
      <c r="BF65" s="731">
        <v>0</v>
      </c>
      <c r="BG65" s="731">
        <v>0</v>
      </c>
      <c r="BH65" s="731">
        <v>0</v>
      </c>
      <c r="BI65" s="283">
        <f t="shared" si="229"/>
        <v>0</v>
      </c>
      <c r="BJ65" s="283">
        <f t="shared" si="230"/>
        <v>0</v>
      </c>
      <c r="BK65" s="283">
        <f t="shared" si="231"/>
        <v>0</v>
      </c>
      <c r="BL65" s="731">
        <v>0</v>
      </c>
      <c r="BM65" s="731">
        <v>0</v>
      </c>
      <c r="BN65" s="731">
        <v>0</v>
      </c>
      <c r="BO65" s="731">
        <v>0</v>
      </c>
      <c r="BP65" s="283">
        <f t="shared" si="232"/>
        <v>0</v>
      </c>
      <c r="BQ65" s="283">
        <f t="shared" si="233"/>
        <v>0</v>
      </c>
      <c r="BR65" s="283">
        <f t="shared" si="234"/>
        <v>0</v>
      </c>
      <c r="BS65" s="731">
        <v>0</v>
      </c>
      <c r="BT65" s="731">
        <v>0</v>
      </c>
      <c r="BU65" s="731">
        <v>0</v>
      </c>
      <c r="BV65" s="731">
        <v>0</v>
      </c>
      <c r="BW65" s="283">
        <f t="shared" si="235"/>
        <v>0</v>
      </c>
      <c r="BX65" s="283">
        <f t="shared" si="236"/>
        <v>0</v>
      </c>
      <c r="BY65" s="283">
        <f t="shared" si="237"/>
        <v>0</v>
      </c>
      <c r="BZ65" s="731">
        <v>0</v>
      </c>
      <c r="CA65" s="731">
        <v>0</v>
      </c>
      <c r="CB65" s="731">
        <v>0</v>
      </c>
      <c r="CC65" s="731">
        <v>0</v>
      </c>
      <c r="CD65" s="283">
        <f t="shared" si="238"/>
        <v>0</v>
      </c>
      <c r="CE65" s="283">
        <f t="shared" si="239"/>
        <v>0</v>
      </c>
      <c r="CF65" s="283">
        <f t="shared" si="240"/>
        <v>0</v>
      </c>
      <c r="CG65" s="731">
        <v>0</v>
      </c>
      <c r="CH65" s="731">
        <v>0</v>
      </c>
      <c r="CI65" s="731">
        <v>0</v>
      </c>
      <c r="CJ65" s="731">
        <v>0</v>
      </c>
      <c r="CK65" s="283">
        <f t="shared" si="241"/>
        <v>0</v>
      </c>
      <c r="CL65" s="731"/>
      <c r="CM65" s="731"/>
      <c r="CN65" s="731">
        <v>0</v>
      </c>
      <c r="CO65" s="731"/>
    </row>
    <row r="66" spans="1:93" s="289" customFormat="1" x14ac:dyDescent="0.25">
      <c r="A66" s="301" t="str">
        <f>Language!C63</f>
        <v>Provisões para contingência</v>
      </c>
      <c r="B66" s="280">
        <v>559</v>
      </c>
      <c r="C66" s="280">
        <v>512</v>
      </c>
      <c r="D66" s="280">
        <v>621</v>
      </c>
      <c r="E66" s="280">
        <v>393</v>
      </c>
      <c r="F66" s="279">
        <v>432</v>
      </c>
      <c r="G66" s="280">
        <v>404</v>
      </c>
      <c r="H66" s="280">
        <v>401</v>
      </c>
      <c r="I66" s="280">
        <v>2400</v>
      </c>
      <c r="J66" s="279">
        <v>2421</v>
      </c>
      <c r="K66" s="280">
        <v>2606</v>
      </c>
      <c r="L66" s="280">
        <v>2969</v>
      </c>
      <c r="M66" s="280">
        <v>2623</v>
      </c>
      <c r="N66" s="279">
        <v>2559</v>
      </c>
      <c r="O66" s="280">
        <v>2715</v>
      </c>
      <c r="P66" s="280">
        <v>2743</v>
      </c>
      <c r="Q66" s="280">
        <v>2718</v>
      </c>
      <c r="R66" s="279">
        <v>2551</v>
      </c>
      <c r="S66" s="281">
        <v>3456</v>
      </c>
      <c r="T66" s="281">
        <v>3523</v>
      </c>
      <c r="U66" s="281">
        <v>3464</v>
      </c>
      <c r="V66" s="281">
        <v>3456</v>
      </c>
      <c r="W66" s="281">
        <v>3523</v>
      </c>
      <c r="X66" s="282">
        <v>3464</v>
      </c>
      <c r="Y66" s="283">
        <v>3545</v>
      </c>
      <c r="Z66" s="281">
        <f t="shared" si="33"/>
        <v>2413</v>
      </c>
      <c r="AA66" s="281">
        <f t="shared" si="34"/>
        <v>2619</v>
      </c>
      <c r="AB66" s="281">
        <f t="shared" si="35"/>
        <v>4714</v>
      </c>
      <c r="AC66" s="281">
        <v>2413</v>
      </c>
      <c r="AD66" s="281">
        <v>2619</v>
      </c>
      <c r="AE66" s="282">
        <v>4714</v>
      </c>
      <c r="AF66" s="281">
        <v>5530</v>
      </c>
      <c r="AG66" s="281">
        <f t="shared" si="39"/>
        <v>5028</v>
      </c>
      <c r="AH66" s="281">
        <f t="shared" si="6"/>
        <v>5921</v>
      </c>
      <c r="AI66" s="281">
        <f t="shared" si="7"/>
        <v>9366</v>
      </c>
      <c r="AJ66" s="281">
        <v>5028</v>
      </c>
      <c r="AK66" s="281">
        <v>5921</v>
      </c>
      <c r="AL66" s="281">
        <v>9366</v>
      </c>
      <c r="AM66" s="283">
        <v>10494</v>
      </c>
      <c r="AN66" s="281">
        <f t="shared" si="42"/>
        <v>34362</v>
      </c>
      <c r="AO66" s="281">
        <f t="shared" si="42"/>
        <v>41682</v>
      </c>
      <c r="AP66" s="281">
        <f t="shared" si="42"/>
        <v>41847</v>
      </c>
      <c r="AQ66" s="281">
        <v>34362</v>
      </c>
      <c r="AR66" s="281">
        <v>41682</v>
      </c>
      <c r="AS66" s="281">
        <v>41847</v>
      </c>
      <c r="AT66" s="283">
        <v>56665</v>
      </c>
      <c r="AU66" s="283">
        <f t="shared" si="224"/>
        <v>50451</v>
      </c>
      <c r="AV66" s="283">
        <f t="shared" si="225"/>
        <v>59919</v>
      </c>
      <c r="AW66" s="283">
        <f t="shared" si="46"/>
        <v>56820</v>
      </c>
      <c r="AX66" s="283">
        <v>50451</v>
      </c>
      <c r="AY66" s="283">
        <v>59919</v>
      </c>
      <c r="AZ66" s="283">
        <v>56820</v>
      </c>
      <c r="BA66" s="283">
        <v>57499</v>
      </c>
      <c r="BB66" s="283">
        <f t="shared" si="226"/>
        <v>58397</v>
      </c>
      <c r="BC66" s="283">
        <f t="shared" si="227"/>
        <v>73729</v>
      </c>
      <c r="BD66" s="283">
        <f t="shared" si="228"/>
        <v>85931</v>
      </c>
      <c r="BE66" s="283">
        <v>58397</v>
      </c>
      <c r="BF66" s="283">
        <v>73729</v>
      </c>
      <c r="BG66" s="283">
        <v>85931</v>
      </c>
      <c r="BH66" s="283">
        <v>83517</v>
      </c>
      <c r="BI66" s="283">
        <f t="shared" si="229"/>
        <v>84223</v>
      </c>
      <c r="BJ66" s="283">
        <f t="shared" si="230"/>
        <v>85613</v>
      </c>
      <c r="BK66" s="283">
        <f t="shared" si="231"/>
        <v>85184</v>
      </c>
      <c r="BL66" s="283">
        <v>84223</v>
      </c>
      <c r="BM66" s="283">
        <v>85613</v>
      </c>
      <c r="BN66" s="283">
        <v>85184</v>
      </c>
      <c r="BO66" s="283">
        <v>65296</v>
      </c>
      <c r="BP66" s="283">
        <f t="shared" si="232"/>
        <v>65322</v>
      </c>
      <c r="BQ66" s="283">
        <f t="shared" si="233"/>
        <v>54456</v>
      </c>
      <c r="BR66" s="283">
        <f t="shared" si="234"/>
        <v>63772</v>
      </c>
      <c r="BS66" s="283">
        <v>65322</v>
      </c>
      <c r="BT66" s="283">
        <v>54456</v>
      </c>
      <c r="BU66" s="283">
        <v>63772</v>
      </c>
      <c r="BV66" s="283">
        <v>68378</v>
      </c>
      <c r="BW66" s="283">
        <f t="shared" si="235"/>
        <v>67789</v>
      </c>
      <c r="BX66" s="283">
        <f t="shared" si="236"/>
        <v>69880</v>
      </c>
      <c r="BY66" s="283">
        <f t="shared" si="237"/>
        <v>65631</v>
      </c>
      <c r="BZ66" s="283">
        <v>67789</v>
      </c>
      <c r="CA66" s="283">
        <v>69880</v>
      </c>
      <c r="CB66" s="283">
        <v>65631</v>
      </c>
      <c r="CC66" s="283">
        <v>66488</v>
      </c>
      <c r="CD66" s="283">
        <f t="shared" si="238"/>
        <v>66915</v>
      </c>
      <c r="CE66" s="283">
        <f t="shared" si="239"/>
        <v>68083</v>
      </c>
      <c r="CF66" s="283">
        <f t="shared" si="240"/>
        <v>62153</v>
      </c>
      <c r="CG66" s="283">
        <v>66915</v>
      </c>
      <c r="CH66" s="283">
        <v>68083</v>
      </c>
      <c r="CI66" s="283">
        <v>62153</v>
      </c>
      <c r="CJ66" s="283">
        <v>59704</v>
      </c>
      <c r="CK66" s="283">
        <f t="shared" si="241"/>
        <v>56926</v>
      </c>
      <c r="CL66" s="283"/>
      <c r="CM66" s="283"/>
      <c r="CN66" s="283">
        <v>56926</v>
      </c>
      <c r="CO66" s="283"/>
    </row>
    <row r="67" spans="1:93" s="289" customFormat="1" x14ac:dyDescent="0.25">
      <c r="A67" s="301" t="str">
        <f>Language!C64</f>
        <v>Arrendamento Mercantil</v>
      </c>
      <c r="B67" s="280">
        <v>0</v>
      </c>
      <c r="C67" s="280">
        <v>0</v>
      </c>
      <c r="D67" s="280">
        <v>0</v>
      </c>
      <c r="E67" s="280">
        <v>0</v>
      </c>
      <c r="F67" s="279">
        <v>0</v>
      </c>
      <c r="G67" s="280">
        <v>0</v>
      </c>
      <c r="H67" s="280">
        <v>0</v>
      </c>
      <c r="I67" s="280">
        <v>0</v>
      </c>
      <c r="J67" s="279">
        <v>0</v>
      </c>
      <c r="K67" s="280">
        <v>0</v>
      </c>
      <c r="L67" s="280">
        <v>0</v>
      </c>
      <c r="M67" s="280">
        <v>0</v>
      </c>
      <c r="N67" s="279">
        <v>0</v>
      </c>
      <c r="O67" s="280">
        <v>653</v>
      </c>
      <c r="P67" s="280">
        <v>505</v>
      </c>
      <c r="Q67" s="280">
        <v>1020</v>
      </c>
      <c r="R67" s="279">
        <v>829</v>
      </c>
      <c r="S67" s="281">
        <v>1821</v>
      </c>
      <c r="T67" s="281">
        <v>1497</v>
      </c>
      <c r="U67" s="281">
        <v>1175</v>
      </c>
      <c r="V67" s="281">
        <v>1821</v>
      </c>
      <c r="W67" s="281">
        <v>1497</v>
      </c>
      <c r="X67" s="282">
        <v>1175</v>
      </c>
      <c r="Y67" s="283"/>
      <c r="Z67" s="281"/>
      <c r="AA67" s="281"/>
      <c r="AB67" s="281"/>
      <c r="AC67" s="281"/>
      <c r="AD67" s="281"/>
      <c r="AE67" s="282"/>
      <c r="AF67" s="281"/>
      <c r="AG67" s="281"/>
      <c r="AH67" s="281"/>
      <c r="AI67" s="281"/>
      <c r="AJ67" s="281"/>
      <c r="AK67" s="281"/>
      <c r="AL67" s="281"/>
      <c r="AM67" s="283"/>
      <c r="AN67" s="281"/>
      <c r="AO67" s="281"/>
      <c r="AP67" s="281"/>
      <c r="AQ67" s="281"/>
      <c r="AR67" s="281"/>
      <c r="AS67" s="281"/>
      <c r="AT67" s="283">
        <v>3545</v>
      </c>
      <c r="AU67" s="283">
        <f t="shared" si="224"/>
        <v>0</v>
      </c>
      <c r="AV67" s="283">
        <f t="shared" si="225"/>
        <v>0</v>
      </c>
      <c r="AW67" s="283">
        <f t="shared" si="46"/>
        <v>0</v>
      </c>
      <c r="AX67" s="283"/>
      <c r="AY67" s="283"/>
      <c r="AZ67" s="731">
        <v>0</v>
      </c>
      <c r="BA67" s="731">
        <v>0</v>
      </c>
      <c r="BB67" s="283">
        <f t="shared" si="226"/>
        <v>0</v>
      </c>
      <c r="BC67" s="283">
        <f t="shared" si="227"/>
        <v>0</v>
      </c>
      <c r="BD67" s="283">
        <f t="shared" si="228"/>
        <v>0</v>
      </c>
      <c r="BE67" s="731">
        <v>0</v>
      </c>
      <c r="BF67" s="731">
        <v>0</v>
      </c>
      <c r="BG67" s="731">
        <v>0</v>
      </c>
      <c r="BH67" s="731">
        <v>0</v>
      </c>
      <c r="BI67" s="283">
        <f t="shared" si="229"/>
        <v>0</v>
      </c>
      <c r="BJ67" s="283">
        <f t="shared" si="230"/>
        <v>0</v>
      </c>
      <c r="BK67" s="283">
        <f t="shared" si="231"/>
        <v>0</v>
      </c>
      <c r="BL67" s="731">
        <v>0</v>
      </c>
      <c r="BM67" s="731">
        <v>0</v>
      </c>
      <c r="BN67" s="731">
        <v>0</v>
      </c>
      <c r="BO67" s="731">
        <v>0</v>
      </c>
      <c r="BP67" s="283">
        <f t="shared" si="232"/>
        <v>0</v>
      </c>
      <c r="BQ67" s="283">
        <f t="shared" si="233"/>
        <v>0</v>
      </c>
      <c r="BR67" s="283">
        <f t="shared" si="234"/>
        <v>0</v>
      </c>
      <c r="BS67" s="731">
        <v>0</v>
      </c>
      <c r="BT67" s="731">
        <v>0</v>
      </c>
      <c r="BU67" s="731">
        <v>0</v>
      </c>
      <c r="BV67" s="731">
        <v>0</v>
      </c>
      <c r="BW67" s="283">
        <f t="shared" si="235"/>
        <v>0</v>
      </c>
      <c r="BX67" s="283">
        <f t="shared" si="236"/>
        <v>0</v>
      </c>
      <c r="BY67" s="283">
        <f t="shared" si="237"/>
        <v>0</v>
      </c>
      <c r="BZ67" s="731">
        <v>0</v>
      </c>
      <c r="CA67" s="731">
        <v>0</v>
      </c>
      <c r="CB67" s="731">
        <v>0</v>
      </c>
      <c r="CC67" s="731">
        <v>0</v>
      </c>
      <c r="CD67" s="283">
        <f t="shared" si="238"/>
        <v>0</v>
      </c>
      <c r="CE67" s="283">
        <f t="shared" si="239"/>
        <v>0</v>
      </c>
      <c r="CF67" s="283">
        <f t="shared" si="240"/>
        <v>0</v>
      </c>
      <c r="CG67" s="731">
        <v>0</v>
      </c>
      <c r="CH67" s="731">
        <v>0</v>
      </c>
      <c r="CI67" s="731">
        <v>0</v>
      </c>
      <c r="CJ67" s="731">
        <v>0</v>
      </c>
      <c r="CK67" s="283">
        <f t="shared" si="241"/>
        <v>0</v>
      </c>
      <c r="CL67" s="731"/>
      <c r="CM67" s="731"/>
      <c r="CN67" s="731">
        <v>0</v>
      </c>
      <c r="CO67" s="731"/>
    </row>
    <row r="68" spans="1:93" s="289" customFormat="1" x14ac:dyDescent="0.25">
      <c r="A68" s="703" t="s">
        <v>686</v>
      </c>
      <c r="B68" s="280"/>
      <c r="C68" s="280"/>
      <c r="D68" s="280"/>
      <c r="E68" s="280"/>
      <c r="F68" s="279"/>
      <c r="G68" s="280"/>
      <c r="H68" s="280"/>
      <c r="I68" s="280"/>
      <c r="J68" s="279"/>
      <c r="K68" s="280"/>
      <c r="L68" s="280"/>
      <c r="M68" s="280"/>
      <c r="N68" s="279"/>
      <c r="O68" s="280"/>
      <c r="P68" s="280"/>
      <c r="Q68" s="280"/>
      <c r="R68" s="279"/>
      <c r="S68" s="281"/>
      <c r="T68" s="281"/>
      <c r="U68" s="281"/>
      <c r="V68" s="281"/>
      <c r="W68" s="281"/>
      <c r="X68" s="282"/>
      <c r="Y68" s="283"/>
      <c r="Z68" s="281"/>
      <c r="AA68" s="281"/>
      <c r="AB68" s="281"/>
      <c r="AC68" s="281"/>
      <c r="AD68" s="281"/>
      <c r="AE68" s="282"/>
      <c r="AF68" s="281"/>
      <c r="AG68" s="281"/>
      <c r="AH68" s="281"/>
      <c r="AI68" s="281"/>
      <c r="AJ68" s="281"/>
      <c r="AK68" s="281"/>
      <c r="AL68" s="281"/>
      <c r="AM68" s="283"/>
      <c r="AN68" s="281"/>
      <c r="AO68" s="281"/>
      <c r="AP68" s="281"/>
      <c r="AQ68" s="281"/>
      <c r="AR68" s="281"/>
      <c r="AS68" s="281"/>
      <c r="AT68" s="283"/>
      <c r="AU68" s="283">
        <f t="shared" si="224"/>
        <v>7395</v>
      </c>
      <c r="AV68" s="283">
        <f t="shared" si="225"/>
        <v>4133</v>
      </c>
      <c r="AW68" s="283">
        <f t="shared" si="46"/>
        <v>3664</v>
      </c>
      <c r="AX68" s="283">
        <v>7395</v>
      </c>
      <c r="AY68" s="283">
        <v>4133</v>
      </c>
      <c r="AZ68" s="283">
        <v>3664</v>
      </c>
      <c r="BA68" s="283">
        <v>3219</v>
      </c>
      <c r="BB68" s="283">
        <f t="shared" si="226"/>
        <v>982</v>
      </c>
      <c r="BC68" s="283">
        <f t="shared" si="227"/>
        <v>583</v>
      </c>
      <c r="BD68" s="283">
        <f t="shared" si="228"/>
        <v>585</v>
      </c>
      <c r="BE68" s="283">
        <v>982</v>
      </c>
      <c r="BF68" s="283">
        <v>583</v>
      </c>
      <c r="BG68" s="283">
        <v>585</v>
      </c>
      <c r="BH68" s="283">
        <v>424</v>
      </c>
      <c r="BI68" s="283">
        <f t="shared" si="229"/>
        <v>1249</v>
      </c>
      <c r="BJ68" s="283">
        <f t="shared" si="230"/>
        <v>1242</v>
      </c>
      <c r="BK68" s="283">
        <f t="shared" si="231"/>
        <v>1242</v>
      </c>
      <c r="BL68" s="283">
        <v>1249</v>
      </c>
      <c r="BM68" s="283">
        <v>1242</v>
      </c>
      <c r="BN68" s="283">
        <v>1242</v>
      </c>
      <c r="BO68" s="283">
        <v>509</v>
      </c>
      <c r="BP68" s="283">
        <f t="shared" si="232"/>
        <v>509</v>
      </c>
      <c r="BQ68" s="283">
        <f t="shared" si="233"/>
        <v>858</v>
      </c>
      <c r="BR68" s="283">
        <f t="shared" si="234"/>
        <v>858</v>
      </c>
      <c r="BS68" s="283">
        <v>509</v>
      </c>
      <c r="BT68" s="283">
        <v>858</v>
      </c>
      <c r="BU68" s="283">
        <v>858</v>
      </c>
      <c r="BV68" s="283">
        <v>1751</v>
      </c>
      <c r="BW68" s="283">
        <f t="shared" si="235"/>
        <v>1109</v>
      </c>
      <c r="BX68" s="283">
        <f t="shared" si="236"/>
        <v>1246</v>
      </c>
      <c r="BY68" s="283">
        <f t="shared" si="237"/>
        <v>147</v>
      </c>
      <c r="BZ68" s="283">
        <v>1109</v>
      </c>
      <c r="CA68" s="283">
        <v>1246</v>
      </c>
      <c r="CB68" s="283">
        <v>147</v>
      </c>
      <c r="CC68" s="283">
        <v>531</v>
      </c>
      <c r="CD68" s="283">
        <f t="shared" si="238"/>
        <v>411</v>
      </c>
      <c r="CE68" s="283">
        <f t="shared" si="239"/>
        <v>292</v>
      </c>
      <c r="CF68" s="283">
        <f t="shared" si="240"/>
        <v>79</v>
      </c>
      <c r="CG68" s="283">
        <v>411</v>
      </c>
      <c r="CH68" s="283">
        <v>292</v>
      </c>
      <c r="CI68" s="283">
        <v>79</v>
      </c>
      <c r="CJ68" s="283">
        <v>24</v>
      </c>
      <c r="CK68" s="283">
        <f t="shared" si="241"/>
        <v>-1</v>
      </c>
      <c r="CL68" s="283"/>
      <c r="CM68" s="283"/>
      <c r="CN68" s="283">
        <v>-1</v>
      </c>
      <c r="CO68" s="283"/>
    </row>
    <row r="69" spans="1:93" s="289" customFormat="1" x14ac:dyDescent="0.25">
      <c r="A69" s="301" t="str">
        <f>Language!C65</f>
        <v>Instrumentos Financeiros Derivativos</v>
      </c>
      <c r="B69" s="280">
        <v>0</v>
      </c>
      <c r="C69" s="280">
        <v>0</v>
      </c>
      <c r="D69" s="280">
        <v>0</v>
      </c>
      <c r="E69" s="280">
        <v>0</v>
      </c>
      <c r="F69" s="279">
        <v>0</v>
      </c>
      <c r="G69" s="280">
        <v>0</v>
      </c>
      <c r="H69" s="280">
        <v>0</v>
      </c>
      <c r="I69" s="280">
        <v>0</v>
      </c>
      <c r="J69" s="279">
        <v>0</v>
      </c>
      <c r="K69" s="280">
        <v>0</v>
      </c>
      <c r="L69" s="280">
        <v>0</v>
      </c>
      <c r="M69" s="280">
        <v>0</v>
      </c>
      <c r="N69" s="279">
        <v>0</v>
      </c>
      <c r="O69" s="280">
        <v>0</v>
      </c>
      <c r="P69" s="280">
        <v>0</v>
      </c>
      <c r="Q69" s="280">
        <v>0</v>
      </c>
      <c r="R69" s="279">
        <v>0</v>
      </c>
      <c r="S69" s="281">
        <v>0</v>
      </c>
      <c r="T69" s="281">
        <v>16764</v>
      </c>
      <c r="U69" s="281">
        <v>24469</v>
      </c>
      <c r="V69" s="281">
        <v>0</v>
      </c>
      <c r="W69" s="281">
        <v>16764</v>
      </c>
      <c r="X69" s="282">
        <v>24469</v>
      </c>
      <c r="Y69" s="283">
        <v>24770</v>
      </c>
      <c r="Z69" s="281">
        <f t="shared" si="33"/>
        <v>26476</v>
      </c>
      <c r="AA69" s="281">
        <f t="shared" si="34"/>
        <v>25930</v>
      </c>
      <c r="AB69" s="281">
        <f t="shared" si="35"/>
        <v>23652</v>
      </c>
      <c r="AC69" s="281">
        <v>26476</v>
      </c>
      <c r="AD69" s="281">
        <v>25930</v>
      </c>
      <c r="AE69" s="282">
        <v>23652</v>
      </c>
      <c r="AF69" s="281">
        <v>22625</v>
      </c>
      <c r="AG69" s="281">
        <f t="shared" si="39"/>
        <v>19438</v>
      </c>
      <c r="AH69" s="281">
        <f t="shared" si="6"/>
        <v>18733</v>
      </c>
      <c r="AI69" s="281">
        <f t="shared" si="7"/>
        <v>15688</v>
      </c>
      <c r="AJ69" s="281">
        <v>19438</v>
      </c>
      <c r="AK69" s="281">
        <v>18733</v>
      </c>
      <c r="AL69" s="281">
        <v>15688</v>
      </c>
      <c r="AM69" s="283">
        <v>16801</v>
      </c>
      <c r="AN69" s="281">
        <f t="shared" si="42"/>
        <v>12062</v>
      </c>
      <c r="AO69" s="281">
        <f t="shared" si="42"/>
        <v>14283</v>
      </c>
      <c r="AP69" s="281">
        <f t="shared" si="42"/>
        <v>7237</v>
      </c>
      <c r="AQ69" s="281">
        <v>12062</v>
      </c>
      <c r="AR69" s="281">
        <v>14283</v>
      </c>
      <c r="AS69" s="281">
        <v>7237</v>
      </c>
      <c r="AT69" s="283">
        <v>7967</v>
      </c>
      <c r="AU69" s="283">
        <f t="shared" si="224"/>
        <v>0</v>
      </c>
      <c r="AV69" s="283">
        <f t="shared" si="225"/>
        <v>0</v>
      </c>
      <c r="AW69" s="283">
        <f t="shared" si="46"/>
        <v>0</v>
      </c>
      <c r="AX69" s="283"/>
      <c r="AY69" s="283"/>
      <c r="AZ69" s="731">
        <v>0</v>
      </c>
      <c r="BA69" s="731">
        <v>0</v>
      </c>
      <c r="BB69" s="283">
        <f t="shared" si="226"/>
        <v>0</v>
      </c>
      <c r="BC69" s="283">
        <f t="shared" si="227"/>
        <v>0</v>
      </c>
      <c r="BD69" s="283">
        <f t="shared" si="228"/>
        <v>0</v>
      </c>
      <c r="BE69" s="731">
        <v>0</v>
      </c>
      <c r="BF69" s="731">
        <v>0</v>
      </c>
      <c r="BG69" s="731">
        <v>0</v>
      </c>
      <c r="BH69" s="731">
        <v>0</v>
      </c>
      <c r="BI69" s="283">
        <f t="shared" si="229"/>
        <v>0</v>
      </c>
      <c r="BJ69" s="283">
        <f t="shared" si="230"/>
        <v>0</v>
      </c>
      <c r="BK69" s="283">
        <f t="shared" si="231"/>
        <v>0</v>
      </c>
      <c r="BL69" s="731">
        <v>0</v>
      </c>
      <c r="BM69" s="731">
        <v>0</v>
      </c>
      <c r="BN69" s="731">
        <v>0</v>
      </c>
      <c r="BO69" s="731">
        <v>0</v>
      </c>
      <c r="BP69" s="283">
        <f t="shared" si="232"/>
        <v>0</v>
      </c>
      <c r="BQ69" s="283">
        <f t="shared" si="233"/>
        <v>0</v>
      </c>
      <c r="BR69" s="283">
        <f t="shared" si="234"/>
        <v>0</v>
      </c>
      <c r="BS69" s="731">
        <v>0</v>
      </c>
      <c r="BT69" s="731">
        <v>0</v>
      </c>
      <c r="BU69" s="731">
        <v>0</v>
      </c>
      <c r="BV69" s="731"/>
      <c r="BW69" s="283">
        <f t="shared" si="235"/>
        <v>0</v>
      </c>
      <c r="BX69" s="283">
        <f t="shared" si="236"/>
        <v>0</v>
      </c>
      <c r="BY69" s="283">
        <f t="shared" si="237"/>
        <v>0</v>
      </c>
      <c r="BZ69" s="731"/>
      <c r="CA69" s="731"/>
      <c r="CB69" s="731"/>
      <c r="CC69" s="731"/>
      <c r="CD69" s="283">
        <f t="shared" si="238"/>
        <v>0</v>
      </c>
      <c r="CE69" s="283">
        <f t="shared" si="239"/>
        <v>0</v>
      </c>
      <c r="CF69" s="283">
        <f t="shared" si="240"/>
        <v>0</v>
      </c>
      <c r="CG69" s="731"/>
      <c r="CH69" s="731"/>
      <c r="CI69" s="731"/>
      <c r="CJ69" s="731">
        <v>444</v>
      </c>
      <c r="CK69" s="283">
        <f t="shared" si="241"/>
        <v>444</v>
      </c>
      <c r="CL69" s="731"/>
      <c r="CM69" s="731"/>
      <c r="CN69" s="731">
        <v>444</v>
      </c>
      <c r="CO69" s="731"/>
    </row>
    <row r="70" spans="1:93" s="289" customFormat="1" x14ac:dyDescent="0.25">
      <c r="A70" s="301" t="str">
        <f>Language!C66</f>
        <v>Outras Obrigações</v>
      </c>
      <c r="B70" s="280">
        <v>1584</v>
      </c>
      <c r="C70" s="280">
        <v>1574</v>
      </c>
      <c r="D70" s="280">
        <v>1559</v>
      </c>
      <c r="E70" s="280">
        <v>1482</v>
      </c>
      <c r="F70" s="279">
        <v>1461</v>
      </c>
      <c r="G70" s="280">
        <v>1392</v>
      </c>
      <c r="H70" s="280">
        <v>1326</v>
      </c>
      <c r="I70" s="280">
        <v>422</v>
      </c>
      <c r="J70" s="279">
        <v>28893</v>
      </c>
      <c r="K70" s="280">
        <v>476</v>
      </c>
      <c r="L70" s="280">
        <v>414</v>
      </c>
      <c r="M70" s="280">
        <v>335</v>
      </c>
      <c r="N70" s="279">
        <v>489</v>
      </c>
      <c r="O70" s="280">
        <v>377</v>
      </c>
      <c r="P70" s="280">
        <v>292</v>
      </c>
      <c r="Q70" s="280">
        <v>209</v>
      </c>
      <c r="R70" s="279">
        <v>44551</v>
      </c>
      <c r="S70" s="281">
        <v>8788</v>
      </c>
      <c r="T70" s="281">
        <v>8595</v>
      </c>
      <c r="U70" s="281">
        <v>9558</v>
      </c>
      <c r="V70" s="281">
        <v>8788</v>
      </c>
      <c r="W70" s="281">
        <v>8595</v>
      </c>
      <c r="X70" s="282">
        <v>9558</v>
      </c>
      <c r="Y70" s="283">
        <v>9892</v>
      </c>
      <c r="Z70" s="281">
        <f t="shared" si="33"/>
        <v>15408</v>
      </c>
      <c r="AA70" s="281">
        <f t="shared" si="34"/>
        <v>10157</v>
      </c>
      <c r="AB70" s="281">
        <f t="shared" si="35"/>
        <v>10269</v>
      </c>
      <c r="AC70" s="281">
        <v>15408</v>
      </c>
      <c r="AD70" s="281">
        <v>10157</v>
      </c>
      <c r="AE70" s="282">
        <v>10269</v>
      </c>
      <c r="AF70" s="281">
        <v>10363</v>
      </c>
      <c r="AG70" s="281">
        <f t="shared" si="39"/>
        <v>10014</v>
      </c>
      <c r="AH70" s="281">
        <f t="shared" si="6"/>
        <v>10038</v>
      </c>
      <c r="AI70" s="281">
        <f t="shared" si="7"/>
        <v>10040</v>
      </c>
      <c r="AJ70" s="281">
        <v>10014</v>
      </c>
      <c r="AK70" s="281">
        <v>10038</v>
      </c>
      <c r="AL70" s="281">
        <v>10040</v>
      </c>
      <c r="AM70" s="283">
        <v>9969</v>
      </c>
      <c r="AN70" s="281">
        <f t="shared" si="42"/>
        <v>9891</v>
      </c>
      <c r="AO70" s="281">
        <f t="shared" si="42"/>
        <v>9814</v>
      </c>
      <c r="AP70" s="281">
        <f t="shared" si="42"/>
        <v>10376</v>
      </c>
      <c r="AQ70" s="281">
        <v>9891</v>
      </c>
      <c r="AR70" s="281">
        <v>9814</v>
      </c>
      <c r="AS70" s="281">
        <v>10376</v>
      </c>
      <c r="AT70" s="283">
        <v>9579</v>
      </c>
      <c r="AU70" s="283">
        <f t="shared" si="224"/>
        <v>10166</v>
      </c>
      <c r="AV70" s="283">
        <f t="shared" si="225"/>
        <v>9990</v>
      </c>
      <c r="AW70" s="283">
        <f t="shared" ref="AW70:AW82" si="242">AZ70</f>
        <v>10880</v>
      </c>
      <c r="AX70" s="283">
        <v>10166</v>
      </c>
      <c r="AY70" s="283">
        <v>9990</v>
      </c>
      <c r="AZ70" s="283">
        <v>10880</v>
      </c>
      <c r="BA70" s="283">
        <v>9935</v>
      </c>
      <c r="BB70" s="283">
        <f t="shared" si="226"/>
        <v>9668</v>
      </c>
      <c r="BC70" s="283">
        <f t="shared" si="227"/>
        <v>9368</v>
      </c>
      <c r="BD70" s="283">
        <f t="shared" si="228"/>
        <v>8794</v>
      </c>
      <c r="BE70" s="283">
        <v>9668</v>
      </c>
      <c r="BF70" s="283">
        <v>9368</v>
      </c>
      <c r="BG70" s="283">
        <v>8794</v>
      </c>
      <c r="BH70" s="283">
        <v>11490</v>
      </c>
      <c r="BI70" s="283">
        <f t="shared" si="229"/>
        <v>11193</v>
      </c>
      <c r="BJ70" s="283">
        <f t="shared" si="230"/>
        <v>10928</v>
      </c>
      <c r="BK70" s="283">
        <f t="shared" si="231"/>
        <v>9776</v>
      </c>
      <c r="BL70" s="283">
        <v>11193</v>
      </c>
      <c r="BM70" s="283">
        <v>10928</v>
      </c>
      <c r="BN70" s="283">
        <v>9776</v>
      </c>
      <c r="BO70" s="283">
        <v>29848</v>
      </c>
      <c r="BP70" s="283">
        <f t="shared" si="232"/>
        <v>29382</v>
      </c>
      <c r="BQ70" s="283">
        <f t="shared" si="233"/>
        <v>32743</v>
      </c>
      <c r="BR70" s="283">
        <f t="shared" si="234"/>
        <v>16271</v>
      </c>
      <c r="BS70" s="283">
        <v>29382</v>
      </c>
      <c r="BT70" s="283">
        <v>32743</v>
      </c>
      <c r="BU70" s="283">
        <v>16271</v>
      </c>
      <c r="BV70" s="283">
        <v>13060</v>
      </c>
      <c r="BW70" s="283">
        <f t="shared" si="235"/>
        <v>9128</v>
      </c>
      <c r="BX70" s="283">
        <f t="shared" si="236"/>
        <v>7547</v>
      </c>
      <c r="BY70" s="283">
        <f t="shared" si="237"/>
        <v>8109</v>
      </c>
      <c r="BZ70" s="283">
        <v>9128</v>
      </c>
      <c r="CA70" s="283">
        <v>7547</v>
      </c>
      <c r="CB70" s="283">
        <v>8109</v>
      </c>
      <c r="CC70" s="283">
        <v>7827</v>
      </c>
      <c r="CD70" s="283">
        <f t="shared" si="238"/>
        <v>7533</v>
      </c>
      <c r="CE70" s="283">
        <f t="shared" si="239"/>
        <v>7258</v>
      </c>
      <c r="CF70" s="283">
        <f t="shared" si="240"/>
        <v>6996</v>
      </c>
      <c r="CG70" s="283">
        <v>7533</v>
      </c>
      <c r="CH70" s="283">
        <v>7258</v>
      </c>
      <c r="CI70" s="283">
        <v>6996</v>
      </c>
      <c r="CJ70" s="283">
        <v>6749</v>
      </c>
      <c r="CK70" s="283">
        <f t="shared" si="241"/>
        <v>6519</v>
      </c>
      <c r="CL70" s="283"/>
      <c r="CM70" s="283"/>
      <c r="CN70" s="283">
        <v>6519</v>
      </c>
      <c r="CO70" s="283"/>
    </row>
    <row r="71" spans="1:93" s="423" customFormat="1" ht="13" x14ac:dyDescent="0.3">
      <c r="A71" s="284" t="str">
        <f>Language!C67</f>
        <v>Patrimônio Líquido</v>
      </c>
      <c r="B71" s="285">
        <f t="shared" ref="B71:P71" si="243">SUM(B72:B81)</f>
        <v>533193</v>
      </c>
      <c r="C71" s="285">
        <f t="shared" si="243"/>
        <v>505992</v>
      </c>
      <c r="D71" s="285">
        <f t="shared" si="243"/>
        <v>514890</v>
      </c>
      <c r="E71" s="285">
        <f t="shared" si="243"/>
        <v>508070</v>
      </c>
      <c r="F71" s="286">
        <f t="shared" si="243"/>
        <v>485914</v>
      </c>
      <c r="G71" s="285">
        <f t="shared" si="243"/>
        <v>498447</v>
      </c>
      <c r="H71" s="285">
        <f t="shared" si="243"/>
        <v>477977</v>
      </c>
      <c r="I71" s="285">
        <f t="shared" si="243"/>
        <v>490689</v>
      </c>
      <c r="J71" s="286">
        <f t="shared" si="243"/>
        <v>514776</v>
      </c>
      <c r="K71" s="285">
        <f t="shared" si="243"/>
        <v>460665</v>
      </c>
      <c r="L71" s="285">
        <f t="shared" si="243"/>
        <v>473889</v>
      </c>
      <c r="M71" s="285">
        <f t="shared" si="243"/>
        <v>452859</v>
      </c>
      <c r="N71" s="286">
        <f t="shared" si="243"/>
        <v>721709</v>
      </c>
      <c r="O71" s="285">
        <f t="shared" si="243"/>
        <v>692920</v>
      </c>
      <c r="P71" s="285">
        <f t="shared" si="243"/>
        <v>740341</v>
      </c>
      <c r="Q71" s="285">
        <f>SUM(Q72:Q81)</f>
        <v>713005</v>
      </c>
      <c r="R71" s="287">
        <v>784215</v>
      </c>
      <c r="S71" s="287">
        <v>733986</v>
      </c>
      <c r="T71" s="287">
        <v>722780</v>
      </c>
      <c r="U71" s="287">
        <v>706187</v>
      </c>
      <c r="V71" s="287">
        <v>733986</v>
      </c>
      <c r="W71" s="287">
        <v>722780</v>
      </c>
      <c r="X71" s="287">
        <v>706187</v>
      </c>
      <c r="Y71" s="287">
        <f>SUM(Y72:Y82)</f>
        <v>720749</v>
      </c>
      <c r="Z71" s="287">
        <f t="shared" si="33"/>
        <v>721381</v>
      </c>
      <c r="AA71" s="287">
        <f t="shared" si="34"/>
        <v>727525</v>
      </c>
      <c r="AB71" s="287">
        <f t="shared" si="35"/>
        <v>708230</v>
      </c>
      <c r="AC71" s="287">
        <f>SUM(AC72:AC82)</f>
        <v>721381</v>
      </c>
      <c r="AD71" s="287">
        <f>SUM(AD72:AD82)</f>
        <v>727525</v>
      </c>
      <c r="AE71" s="287">
        <f>SUM(AE72:AE82)</f>
        <v>708230</v>
      </c>
      <c r="AF71" s="287">
        <f>SUM(AF72:AF82)</f>
        <v>677901</v>
      </c>
      <c r="AG71" s="287">
        <f t="shared" si="39"/>
        <v>786698</v>
      </c>
      <c r="AH71" s="287">
        <f t="shared" si="6"/>
        <v>863543</v>
      </c>
      <c r="AI71" s="287">
        <f t="shared" si="7"/>
        <v>616015</v>
      </c>
      <c r="AJ71" s="287">
        <f>SUM(AJ72:AJ82)</f>
        <v>786698</v>
      </c>
      <c r="AK71" s="287">
        <f>SUM(AK72:AK82)</f>
        <v>863543</v>
      </c>
      <c r="AL71" s="287">
        <f>SUM(AL72:AL82)</f>
        <v>616015</v>
      </c>
      <c r="AM71" s="288">
        <f>SUM(AM72:AM82)</f>
        <v>652103</v>
      </c>
      <c r="AN71" s="287">
        <f t="shared" si="42"/>
        <v>671960</v>
      </c>
      <c r="AO71" s="287">
        <f t="shared" si="42"/>
        <v>705819</v>
      </c>
      <c r="AP71" s="287">
        <f t="shared" si="42"/>
        <v>466822</v>
      </c>
      <c r="AQ71" s="287">
        <f>SUM(AQ72:AQ82)</f>
        <v>671960</v>
      </c>
      <c r="AR71" s="287">
        <f>SUM(AR72:AR82)</f>
        <v>705819</v>
      </c>
      <c r="AS71" s="287">
        <f>SUM(AS72:AS82)</f>
        <v>466822</v>
      </c>
      <c r="AT71" s="288">
        <f>SUM(AT72:AT82)</f>
        <v>602284</v>
      </c>
      <c r="AU71" s="288">
        <f t="shared" ref="AU71" si="244">SUM(AU72:AU82)</f>
        <v>516500</v>
      </c>
      <c r="AV71" s="288">
        <f>SUM(AV72:AV82)</f>
        <v>462763</v>
      </c>
      <c r="AW71" s="288">
        <f t="shared" si="242"/>
        <v>501246</v>
      </c>
      <c r="AX71" s="288">
        <f t="shared" ref="AX71:BE71" si="245">SUM(AX72:AX82)</f>
        <v>516500</v>
      </c>
      <c r="AY71" s="288">
        <f t="shared" si="245"/>
        <v>462763</v>
      </c>
      <c r="AZ71" s="288">
        <f t="shared" si="245"/>
        <v>501246</v>
      </c>
      <c r="BA71" s="288">
        <f t="shared" si="245"/>
        <v>490133</v>
      </c>
      <c r="BB71" s="288">
        <f t="shared" si="245"/>
        <v>495388</v>
      </c>
      <c r="BC71" s="288">
        <f t="shared" si="245"/>
        <v>443466</v>
      </c>
      <c r="BD71" s="288">
        <f t="shared" si="245"/>
        <v>604997</v>
      </c>
      <c r="BE71" s="288">
        <f t="shared" si="245"/>
        <v>495388</v>
      </c>
      <c r="BF71" s="288">
        <f t="shared" ref="BF71:BG71" si="246">SUM(BF72:BF82)</f>
        <v>443466</v>
      </c>
      <c r="BG71" s="288">
        <f t="shared" si="246"/>
        <v>604997</v>
      </c>
      <c r="BH71" s="288">
        <f t="shared" ref="BH71:BL71" si="247">SUM(BH72:BH82)</f>
        <v>558035</v>
      </c>
      <c r="BI71" s="288">
        <f t="shared" si="247"/>
        <v>539439</v>
      </c>
      <c r="BJ71" s="288">
        <f t="shared" si="247"/>
        <v>610243</v>
      </c>
      <c r="BK71" s="288">
        <f t="shared" si="247"/>
        <v>567406</v>
      </c>
      <c r="BL71" s="288">
        <f t="shared" si="247"/>
        <v>539439</v>
      </c>
      <c r="BM71" s="288">
        <f t="shared" ref="BM71:BN71" si="248">SUM(BM72:BM82)</f>
        <v>610243</v>
      </c>
      <c r="BN71" s="288">
        <f t="shared" si="248"/>
        <v>567406</v>
      </c>
      <c r="BO71" s="288">
        <f t="shared" ref="BO71:BP71" si="249">SUM(BO72:BO82)</f>
        <v>545081</v>
      </c>
      <c r="BP71" s="288">
        <f t="shared" si="249"/>
        <v>646024</v>
      </c>
      <c r="BQ71" s="288">
        <f t="shared" ref="BQ71:BS71" si="250">SUM(BQ72:BQ82)</f>
        <v>582295</v>
      </c>
      <c r="BR71" s="288">
        <f t="shared" si="250"/>
        <v>558678</v>
      </c>
      <c r="BS71" s="288">
        <f t="shared" si="250"/>
        <v>646024</v>
      </c>
      <c r="BT71" s="288">
        <f t="shared" ref="BT71:BU71" si="251">SUM(BT72:BT82)</f>
        <v>582295</v>
      </c>
      <c r="BU71" s="288">
        <f t="shared" si="251"/>
        <v>558678</v>
      </c>
      <c r="BV71" s="288">
        <f t="shared" ref="BV71:BY71" si="252">SUM(BV72:BV82)</f>
        <v>479285</v>
      </c>
      <c r="BW71" s="288">
        <f t="shared" si="252"/>
        <v>417130</v>
      </c>
      <c r="BX71" s="288">
        <f t="shared" si="252"/>
        <v>520571</v>
      </c>
      <c r="BY71" s="288">
        <f t="shared" si="252"/>
        <v>533606</v>
      </c>
      <c r="BZ71" s="288">
        <f t="shared" ref="BZ71:CA71" si="253">SUM(BZ72:BZ82)</f>
        <v>417130</v>
      </c>
      <c r="CA71" s="288">
        <f t="shared" si="253"/>
        <v>520571</v>
      </c>
      <c r="CB71" s="288">
        <f t="shared" ref="CB71:CC71" si="254">SUM(CB72:CB82)</f>
        <v>533606</v>
      </c>
      <c r="CC71" s="288">
        <f t="shared" si="254"/>
        <v>534328</v>
      </c>
      <c r="CD71" s="288">
        <f t="shared" ref="CD71" si="255">SUM(CD72:CD82)</f>
        <v>553460</v>
      </c>
      <c r="CE71" s="288">
        <f t="shared" ref="CE71:CG71" si="256">SUM(CE72:CE82)</f>
        <v>559747</v>
      </c>
      <c r="CF71" s="288">
        <f t="shared" si="256"/>
        <v>499061</v>
      </c>
      <c r="CG71" s="288">
        <f t="shared" si="256"/>
        <v>553460</v>
      </c>
      <c r="CH71" s="288">
        <f t="shared" ref="CH71:CI71" si="257">SUM(CH72:CH82)</f>
        <v>559747</v>
      </c>
      <c r="CI71" s="288">
        <f t="shared" si="257"/>
        <v>499061</v>
      </c>
      <c r="CJ71" s="288">
        <v>481867</v>
      </c>
      <c r="CK71" s="288">
        <f>SUM(CK72:CK82)-1</f>
        <v>454484</v>
      </c>
      <c r="CL71" s="288">
        <f>SUM(CL72:CL82)</f>
        <v>0</v>
      </c>
      <c r="CM71" s="288">
        <f>SUM(CM72:CM82)</f>
        <v>0</v>
      </c>
      <c r="CN71" s="288">
        <f>SUM(CN72:CN82)</f>
        <v>454485</v>
      </c>
      <c r="CO71" s="288">
        <f>SUM(CO72:CO82)</f>
        <v>0</v>
      </c>
    </row>
    <row r="72" spans="1:93" s="289" customFormat="1" x14ac:dyDescent="0.25">
      <c r="A72" s="301" t="str">
        <f>Language!C68</f>
        <v>Capital Social</v>
      </c>
      <c r="B72" s="280">
        <v>170985</v>
      </c>
      <c r="C72" s="280">
        <v>177297</v>
      </c>
      <c r="D72" s="280">
        <v>177297</v>
      </c>
      <c r="E72" s="280">
        <v>179297</v>
      </c>
      <c r="F72" s="279">
        <v>179297</v>
      </c>
      <c r="G72" s="280">
        <v>227652</v>
      </c>
      <c r="H72" s="280">
        <v>227652</v>
      </c>
      <c r="I72" s="280">
        <v>232452</v>
      </c>
      <c r="J72" s="279">
        <v>232452</v>
      </c>
      <c r="K72" s="280">
        <v>245073</v>
      </c>
      <c r="L72" s="280">
        <v>245073</v>
      </c>
      <c r="M72" s="280">
        <v>257073</v>
      </c>
      <c r="N72" s="279">
        <v>518074</v>
      </c>
      <c r="O72" s="280">
        <v>525653</v>
      </c>
      <c r="P72" s="280">
        <v>525653</v>
      </c>
      <c r="Q72" s="280">
        <v>528053</v>
      </c>
      <c r="R72" s="279">
        <v>1212705</v>
      </c>
      <c r="S72" s="281">
        <v>1219800</v>
      </c>
      <c r="T72" s="281">
        <v>1221510</v>
      </c>
      <c r="U72" s="281">
        <v>1225922</v>
      </c>
      <c r="V72" s="281">
        <v>1219800</v>
      </c>
      <c r="W72" s="281">
        <v>1221510</v>
      </c>
      <c r="X72" s="282">
        <v>1225922</v>
      </c>
      <c r="Y72" s="283">
        <v>1224628</v>
      </c>
      <c r="Z72" s="281">
        <f t="shared" ref="Z72:Z82" si="258">AC72</f>
        <v>1287719</v>
      </c>
      <c r="AA72" s="281">
        <f t="shared" ref="AA72:AA82" si="259">AD72</f>
        <v>1341745</v>
      </c>
      <c r="AB72" s="281">
        <f t="shared" ref="AB72:AB82" si="260">AE72</f>
        <v>1528046</v>
      </c>
      <c r="AC72" s="281">
        <v>1287719</v>
      </c>
      <c r="AD72" s="281">
        <v>1341745</v>
      </c>
      <c r="AE72" s="282">
        <v>1528046</v>
      </c>
      <c r="AF72" s="281">
        <v>1528046</v>
      </c>
      <c r="AG72" s="281">
        <f t="shared" si="39"/>
        <v>1629620</v>
      </c>
      <c r="AH72" s="281">
        <f t="shared" ref="AH72:AH82" si="261">AK72</f>
        <v>942853</v>
      </c>
      <c r="AI72" s="281">
        <f t="shared" ref="AI72:AI82" si="262">AL72</f>
        <v>862045</v>
      </c>
      <c r="AJ72" s="281">
        <v>1629620</v>
      </c>
      <c r="AK72" s="281">
        <v>942853</v>
      </c>
      <c r="AL72" s="281">
        <v>862045</v>
      </c>
      <c r="AM72" s="283">
        <v>854063</v>
      </c>
      <c r="AN72" s="281">
        <f t="shared" si="42"/>
        <v>844208</v>
      </c>
      <c r="AO72" s="281">
        <f t="shared" si="42"/>
        <v>879331</v>
      </c>
      <c r="AP72" s="281">
        <f t="shared" si="42"/>
        <v>997579</v>
      </c>
      <c r="AQ72" s="281">
        <v>844208</v>
      </c>
      <c r="AR72" s="281">
        <v>879331</v>
      </c>
      <c r="AS72" s="281">
        <v>997579</v>
      </c>
      <c r="AT72" s="283">
        <v>958306</v>
      </c>
      <c r="AU72" s="283">
        <f>AX72</f>
        <v>1236978</v>
      </c>
      <c r="AV72" s="283">
        <f>AY72</f>
        <v>1237017</v>
      </c>
      <c r="AW72" s="283">
        <f t="shared" si="242"/>
        <v>1237017</v>
      </c>
      <c r="AX72" s="283">
        <v>1236978</v>
      </c>
      <c r="AY72" s="283">
        <v>1237017</v>
      </c>
      <c r="AZ72" s="283">
        <v>1237017</v>
      </c>
      <c r="BA72" s="283">
        <v>967056</v>
      </c>
      <c r="BB72" s="283">
        <f>BE72</f>
        <v>967056</v>
      </c>
      <c r="BC72" s="283">
        <f>BF72</f>
        <v>967056</v>
      </c>
      <c r="BD72" s="283">
        <f>BG72</f>
        <v>1005070</v>
      </c>
      <c r="BE72" s="283">
        <v>967056</v>
      </c>
      <c r="BF72" s="283">
        <v>967056</v>
      </c>
      <c r="BG72" s="283">
        <v>1005070</v>
      </c>
      <c r="BH72" s="283">
        <v>1005070</v>
      </c>
      <c r="BI72" s="283">
        <f>BL72</f>
        <v>1005070</v>
      </c>
      <c r="BJ72" s="283">
        <f>BM72</f>
        <v>1005070</v>
      </c>
      <c r="BK72" s="283">
        <f>BN72</f>
        <v>1023557</v>
      </c>
      <c r="BL72" s="283">
        <v>1005070</v>
      </c>
      <c r="BM72" s="283">
        <v>1005070</v>
      </c>
      <c r="BN72" s="283">
        <v>1023557</v>
      </c>
      <c r="BO72" s="283">
        <v>1023557</v>
      </c>
      <c r="BP72" s="283">
        <f>BS72</f>
        <v>1032591</v>
      </c>
      <c r="BQ72" s="283">
        <f>BT72</f>
        <v>1032591</v>
      </c>
      <c r="BR72" s="283">
        <f>BU72</f>
        <v>1032591</v>
      </c>
      <c r="BS72" s="283">
        <v>1032591</v>
      </c>
      <c r="BT72" s="283">
        <v>1032591</v>
      </c>
      <c r="BU72" s="283">
        <v>1032591</v>
      </c>
      <c r="BV72" s="283">
        <v>1032596</v>
      </c>
      <c r="BW72" s="283">
        <f>BZ72</f>
        <v>1032591</v>
      </c>
      <c r="BX72" s="283">
        <f>CA72</f>
        <v>1032591</v>
      </c>
      <c r="BY72" s="283">
        <f>CB72</f>
        <v>1032591</v>
      </c>
      <c r="BZ72" s="283">
        <v>1032591</v>
      </c>
      <c r="CA72" s="283">
        <v>1032591</v>
      </c>
      <c r="CB72" s="283">
        <v>1032591</v>
      </c>
      <c r="CC72" s="283">
        <v>1032591</v>
      </c>
      <c r="CD72" s="283">
        <f>CG72</f>
        <v>1032591</v>
      </c>
      <c r="CE72" s="283">
        <f>CH72</f>
        <v>1032591</v>
      </c>
      <c r="CF72" s="283">
        <f>CI72</f>
        <v>1082301</v>
      </c>
      <c r="CG72" s="283">
        <v>1032591</v>
      </c>
      <c r="CH72" s="283">
        <v>1032591</v>
      </c>
      <c r="CI72" s="283">
        <v>1082301</v>
      </c>
      <c r="CJ72" s="283">
        <v>1082301</v>
      </c>
      <c r="CK72" s="283">
        <f>CN72</f>
        <v>1085358</v>
      </c>
      <c r="CL72" s="283"/>
      <c r="CM72" s="283"/>
      <c r="CN72" s="283">
        <v>1085358</v>
      </c>
      <c r="CO72" s="283"/>
    </row>
    <row r="73" spans="1:93" s="289" customFormat="1" x14ac:dyDescent="0.25">
      <c r="A73" s="301" t="str">
        <f>Language!C69</f>
        <v>Capital a Integralizar</v>
      </c>
      <c r="B73" s="280">
        <v>0</v>
      </c>
      <c r="C73" s="280">
        <v>529</v>
      </c>
      <c r="D73" s="280">
        <v>529</v>
      </c>
      <c r="E73" s="280">
        <v>529</v>
      </c>
      <c r="F73" s="279">
        <v>529</v>
      </c>
      <c r="G73" s="280">
        <v>-39326</v>
      </c>
      <c r="H73" s="280">
        <v>-39326</v>
      </c>
      <c r="I73" s="280">
        <v>-39326</v>
      </c>
      <c r="J73" s="279">
        <v>-39326</v>
      </c>
      <c r="K73" s="280">
        <v>-39326</v>
      </c>
      <c r="L73" s="280">
        <v>-39326</v>
      </c>
      <c r="M73" s="280">
        <v>-39326</v>
      </c>
      <c r="N73" s="279">
        <v>-39326</v>
      </c>
      <c r="O73" s="280">
        <v>-39326</v>
      </c>
      <c r="P73" s="280">
        <v>-39326</v>
      </c>
      <c r="Q73" s="280">
        <v>-39326</v>
      </c>
      <c r="R73" s="279">
        <v>-40104</v>
      </c>
      <c r="S73" s="281">
        <v>-40582</v>
      </c>
      <c r="T73" s="281">
        <v>-40104</v>
      </c>
      <c r="U73" s="281">
        <v>-40104</v>
      </c>
      <c r="V73" s="281">
        <v>-40582</v>
      </c>
      <c r="W73" s="281">
        <v>-40104</v>
      </c>
      <c r="X73" s="282">
        <v>-40104</v>
      </c>
      <c r="Y73" s="283">
        <v>-41132</v>
      </c>
      <c r="Z73" s="281">
        <f t="shared" si="258"/>
        <v>-41132</v>
      </c>
      <c r="AA73" s="281">
        <f t="shared" si="259"/>
        <v>-41111</v>
      </c>
      <c r="AB73" s="281">
        <f t="shared" si="260"/>
        <v>-40739</v>
      </c>
      <c r="AC73" s="281">
        <v>-41132</v>
      </c>
      <c r="AD73" s="281">
        <v>-41111</v>
      </c>
      <c r="AE73" s="282">
        <v>-40739</v>
      </c>
      <c r="AF73" s="281">
        <v>-39877</v>
      </c>
      <c r="AG73" s="281">
        <f t="shared" ref="AG73:AG82" si="263">AJ73</f>
        <v>-39876</v>
      </c>
      <c r="AH73" s="281">
        <f t="shared" si="261"/>
        <v>-39876</v>
      </c>
      <c r="AI73" s="281">
        <f t="shared" si="262"/>
        <v>-39876</v>
      </c>
      <c r="AJ73" s="281">
        <v>-39876</v>
      </c>
      <c r="AK73" s="281">
        <v>-39876</v>
      </c>
      <c r="AL73" s="281">
        <v>-39876</v>
      </c>
      <c r="AM73" s="283">
        <v>-39877</v>
      </c>
      <c r="AN73" s="281">
        <f t="shared" ref="AN73:AP82" si="264">AQ73</f>
        <v>-22</v>
      </c>
      <c r="AO73" s="281">
        <f t="shared" si="264"/>
        <v>-5846</v>
      </c>
      <c r="AP73" s="281">
        <f t="shared" si="264"/>
        <v>-2343</v>
      </c>
      <c r="AQ73" s="281">
        <v>-22</v>
      </c>
      <c r="AR73" s="281">
        <v>-5846</v>
      </c>
      <c r="AS73" s="281">
        <v>-2343</v>
      </c>
      <c r="AT73" s="283">
        <v>-1938</v>
      </c>
      <c r="AU73" s="283">
        <f t="shared" ref="AU73:AU81" si="265">AX73</f>
        <v>-1687</v>
      </c>
      <c r="AV73" s="283">
        <f t="shared" ref="AV73:AV81" si="266">AY73</f>
        <v>-1686</v>
      </c>
      <c r="AW73" s="283">
        <f t="shared" si="242"/>
        <v>-1686</v>
      </c>
      <c r="AX73" s="283">
        <v>-1687</v>
      </c>
      <c r="AY73" s="283">
        <v>-1686</v>
      </c>
      <c r="AZ73" s="283">
        <v>-1686</v>
      </c>
      <c r="BA73" s="283">
        <v>-1665</v>
      </c>
      <c r="BB73" s="283">
        <f t="shared" ref="BB73:BB81" si="267">BE73</f>
        <v>-1665</v>
      </c>
      <c r="BC73" s="283">
        <f t="shared" ref="BC73:BC81" si="268">BF73</f>
        <v>-1665</v>
      </c>
      <c r="BD73" s="283">
        <f t="shared" ref="BD73:BD81" si="269">BG73</f>
        <v>-1665</v>
      </c>
      <c r="BE73" s="283">
        <v>-1665</v>
      </c>
      <c r="BF73" s="283">
        <v>-1665</v>
      </c>
      <c r="BG73" s="283">
        <v>-1665</v>
      </c>
      <c r="BH73" s="283">
        <v>-1665</v>
      </c>
      <c r="BI73" s="283">
        <f t="shared" ref="BI73:BI81" si="270">BL73</f>
        <v>-1665</v>
      </c>
      <c r="BJ73" s="283">
        <f t="shared" ref="BJ73:BJ81" si="271">BM73</f>
        <v>-1665</v>
      </c>
      <c r="BK73" s="283">
        <f t="shared" ref="BK73:BK81" si="272">BN73</f>
        <v>-1665</v>
      </c>
      <c r="BL73" s="283">
        <v>-1665</v>
      </c>
      <c r="BM73" s="283">
        <v>-1665</v>
      </c>
      <c r="BN73" s="283">
        <v>-1665</v>
      </c>
      <c r="BO73" s="283">
        <v>-1665</v>
      </c>
      <c r="BP73" s="283">
        <f t="shared" ref="BP73:BP81" si="273">BS73</f>
        <v>-1665</v>
      </c>
      <c r="BQ73" s="283">
        <f t="shared" ref="BQ73:BQ81" si="274">BT73</f>
        <v>-1665</v>
      </c>
      <c r="BR73" s="283">
        <f t="shared" ref="BR73:BR81" si="275">BU73</f>
        <v>-1665</v>
      </c>
      <c r="BS73" s="283">
        <v>-1665</v>
      </c>
      <c r="BT73" s="283">
        <v>-1665</v>
      </c>
      <c r="BU73" s="283">
        <v>-1665</v>
      </c>
      <c r="BV73" s="283">
        <v>-1666</v>
      </c>
      <c r="BW73" s="283">
        <f t="shared" ref="BW73:BW81" si="276">BZ73</f>
        <v>-1666</v>
      </c>
      <c r="BX73" s="283">
        <f t="shared" ref="BX73:BX81" si="277">CA73</f>
        <v>-1429</v>
      </c>
      <c r="BY73" s="283">
        <f t="shared" ref="BY73:BY81" si="278">CB73</f>
        <v>-1666</v>
      </c>
      <c r="BZ73" s="283">
        <v>-1666</v>
      </c>
      <c r="CA73" s="283">
        <v>-1429</v>
      </c>
      <c r="CB73" s="283">
        <v>-1666</v>
      </c>
      <c r="CC73" s="283">
        <v>-1666</v>
      </c>
      <c r="CD73" s="283">
        <f t="shared" ref="CD73:CD81" si="279">CG73</f>
        <v>-1666</v>
      </c>
      <c r="CE73" s="283">
        <f t="shared" ref="CE73:CE81" si="280">CH73</f>
        <v>-1666</v>
      </c>
      <c r="CF73" s="283">
        <f t="shared" ref="CF73:CF81" si="281">CI73</f>
        <v>-1666</v>
      </c>
      <c r="CG73" s="283">
        <v>-1666</v>
      </c>
      <c r="CH73" s="283">
        <v>-1666</v>
      </c>
      <c r="CI73" s="283">
        <v>-1666</v>
      </c>
      <c r="CJ73" s="283">
        <v>-1666</v>
      </c>
      <c r="CK73" s="283">
        <f t="shared" ref="CK73:CK81" si="282">CN73</f>
        <v>-1666</v>
      </c>
      <c r="CL73" s="283"/>
      <c r="CM73" s="283"/>
      <c r="CN73" s="283">
        <v>-1666</v>
      </c>
      <c r="CO73" s="283"/>
    </row>
    <row r="74" spans="1:93" s="289" customFormat="1" x14ac:dyDescent="0.25">
      <c r="A74" s="301" t="str">
        <f>Language!C70</f>
        <v>Reservas de Capital</v>
      </c>
      <c r="B74" s="280">
        <v>74</v>
      </c>
      <c r="C74" s="280">
        <v>1765</v>
      </c>
      <c r="D74" s="280">
        <v>1765</v>
      </c>
      <c r="E74" s="280">
        <v>2601</v>
      </c>
      <c r="F74" s="279">
        <v>12109</v>
      </c>
      <c r="G74" s="280">
        <v>1959</v>
      </c>
      <c r="H74" s="280">
        <v>1958</v>
      </c>
      <c r="I74" s="280">
        <v>74</v>
      </c>
      <c r="J74" s="279">
        <v>74</v>
      </c>
      <c r="K74" s="280">
        <v>74</v>
      </c>
      <c r="L74" s="280">
        <v>6570</v>
      </c>
      <c r="M74" s="280">
        <v>74</v>
      </c>
      <c r="N74" s="279">
        <v>74</v>
      </c>
      <c r="O74" s="280">
        <v>74</v>
      </c>
      <c r="P74" s="280">
        <v>74</v>
      </c>
      <c r="Q74" s="280">
        <v>74</v>
      </c>
      <c r="R74" s="279">
        <v>-151093</v>
      </c>
      <c r="S74" s="281">
        <v>-151093</v>
      </c>
      <c r="T74" s="281">
        <v>-151093</v>
      </c>
      <c r="U74" s="281">
        <v>-151094</v>
      </c>
      <c r="V74" s="281">
        <v>-151093</v>
      </c>
      <c r="W74" s="281">
        <v>-151093</v>
      </c>
      <c r="X74" s="282">
        <v>-151094</v>
      </c>
      <c r="Y74" s="283">
        <v>-140264</v>
      </c>
      <c r="Z74" s="281">
        <f t="shared" si="258"/>
        <v>-140265</v>
      </c>
      <c r="AA74" s="281">
        <f t="shared" si="259"/>
        <v>-140264</v>
      </c>
      <c r="AB74" s="281">
        <f t="shared" si="260"/>
        <v>-151093</v>
      </c>
      <c r="AC74" s="281">
        <v>-140265</v>
      </c>
      <c r="AD74" s="281">
        <v>-140264</v>
      </c>
      <c r="AE74" s="282">
        <v>-151093</v>
      </c>
      <c r="AF74" s="281">
        <v>-151093</v>
      </c>
      <c r="AG74" s="281">
        <f t="shared" si="263"/>
        <v>-151094</v>
      </c>
      <c r="AH74" s="281">
        <f t="shared" si="261"/>
        <v>74</v>
      </c>
      <c r="AI74" s="281">
        <f t="shared" si="262"/>
        <v>74</v>
      </c>
      <c r="AJ74" s="281">
        <v>-151094</v>
      </c>
      <c r="AK74" s="281">
        <v>74</v>
      </c>
      <c r="AL74" s="281">
        <v>74</v>
      </c>
      <c r="AM74" s="283">
        <v>74</v>
      </c>
      <c r="AN74" s="281">
        <f t="shared" si="264"/>
        <v>74</v>
      </c>
      <c r="AO74" s="281">
        <f t="shared" si="264"/>
        <v>4874</v>
      </c>
      <c r="AP74" s="281">
        <f t="shared" si="264"/>
        <v>0</v>
      </c>
      <c r="AQ74" s="281">
        <v>74</v>
      </c>
      <c r="AR74" s="281">
        <v>4874</v>
      </c>
      <c r="AS74" s="281"/>
      <c r="AT74" s="283"/>
      <c r="AU74" s="283">
        <f t="shared" si="265"/>
        <v>74</v>
      </c>
      <c r="AV74" s="283">
        <f t="shared" si="266"/>
        <v>74</v>
      </c>
      <c r="AW74" s="283">
        <f t="shared" si="242"/>
        <v>74</v>
      </c>
      <c r="AX74" s="283">
        <v>74</v>
      </c>
      <c r="AY74" s="283">
        <v>74</v>
      </c>
      <c r="AZ74" s="283">
        <v>74</v>
      </c>
      <c r="BA74" s="283">
        <v>0</v>
      </c>
      <c r="BB74" s="283">
        <f t="shared" si="267"/>
        <v>0</v>
      </c>
      <c r="BC74" s="283">
        <f t="shared" si="268"/>
        <v>0</v>
      </c>
      <c r="BD74" s="283">
        <f t="shared" si="269"/>
        <v>0</v>
      </c>
      <c r="BE74" s="283">
        <v>0</v>
      </c>
      <c r="BF74" s="283">
        <v>0</v>
      </c>
      <c r="BG74" s="283">
        <v>0</v>
      </c>
      <c r="BH74" s="283">
        <v>0</v>
      </c>
      <c r="BI74" s="283">
        <f t="shared" si="270"/>
        <v>0</v>
      </c>
      <c r="BJ74" s="283">
        <f t="shared" si="271"/>
        <v>0</v>
      </c>
      <c r="BK74" s="283">
        <f t="shared" si="272"/>
        <v>0</v>
      </c>
      <c r="BL74" s="283">
        <v>0</v>
      </c>
      <c r="BM74" s="283">
        <v>0</v>
      </c>
      <c r="BN74" s="283">
        <v>0</v>
      </c>
      <c r="BO74" s="283">
        <v>0</v>
      </c>
      <c r="BP74" s="283">
        <f t="shared" si="273"/>
        <v>0</v>
      </c>
      <c r="BQ74" s="283">
        <f t="shared" si="274"/>
        <v>0</v>
      </c>
      <c r="BR74" s="283">
        <f t="shared" si="275"/>
        <v>0</v>
      </c>
      <c r="BS74" s="283">
        <v>0</v>
      </c>
      <c r="BT74" s="283">
        <v>0</v>
      </c>
      <c r="BU74" s="283">
        <v>0</v>
      </c>
      <c r="BV74" s="283">
        <v>0</v>
      </c>
      <c r="BW74" s="283">
        <f t="shared" si="276"/>
        <v>0</v>
      </c>
      <c r="BX74" s="283">
        <f t="shared" si="277"/>
        <v>0</v>
      </c>
      <c r="BY74" s="283">
        <f t="shared" si="278"/>
        <v>0</v>
      </c>
      <c r="BZ74" s="283">
        <v>0</v>
      </c>
      <c r="CA74" s="283">
        <v>0</v>
      </c>
      <c r="CB74" s="283">
        <v>0</v>
      </c>
      <c r="CC74" s="283">
        <v>0</v>
      </c>
      <c r="CD74" s="283">
        <f t="shared" si="279"/>
        <v>0</v>
      </c>
      <c r="CE74" s="283">
        <f t="shared" si="280"/>
        <v>0</v>
      </c>
      <c r="CF74" s="283">
        <f t="shared" si="281"/>
        <v>36</v>
      </c>
      <c r="CG74" s="283">
        <v>0</v>
      </c>
      <c r="CH74" s="283">
        <v>0</v>
      </c>
      <c r="CI74" s="283">
        <v>36</v>
      </c>
      <c r="CJ74" s="283">
        <v>34</v>
      </c>
      <c r="CK74" s="283">
        <f t="shared" si="282"/>
        <v>34</v>
      </c>
      <c r="CL74" s="283"/>
      <c r="CM74" s="283"/>
      <c r="CN74" s="283">
        <v>34</v>
      </c>
      <c r="CO74" s="283"/>
    </row>
    <row r="75" spans="1:93" s="289" customFormat="1" x14ac:dyDescent="0.25">
      <c r="A75" s="301" t="str">
        <f>Language!C71</f>
        <v>Reserva de reavaliação, liquida</v>
      </c>
      <c r="B75" s="280">
        <v>234310</v>
      </c>
      <c r="C75" s="280">
        <v>221491</v>
      </c>
      <c r="D75" s="280">
        <v>208970</v>
      </c>
      <c r="E75" s="280">
        <v>196941</v>
      </c>
      <c r="F75" s="279">
        <v>185171</v>
      </c>
      <c r="G75" s="280">
        <v>172274</v>
      </c>
      <c r="H75" s="280">
        <v>181036</v>
      </c>
      <c r="I75" s="280">
        <v>171509</v>
      </c>
      <c r="J75" s="279">
        <v>163736</v>
      </c>
      <c r="K75" s="280">
        <v>157855</v>
      </c>
      <c r="L75" s="280">
        <v>151973</v>
      </c>
      <c r="M75" s="280">
        <v>146749</v>
      </c>
      <c r="N75" s="279">
        <v>141067</v>
      </c>
      <c r="O75" s="280">
        <v>135224</v>
      </c>
      <c r="P75" s="280">
        <v>130067</v>
      </c>
      <c r="Q75" s="280">
        <v>124630</v>
      </c>
      <c r="R75" s="279">
        <v>120745</v>
      </c>
      <c r="S75" s="281">
        <v>117023</v>
      </c>
      <c r="T75" s="281">
        <v>113457</v>
      </c>
      <c r="U75" s="281">
        <v>111676</v>
      </c>
      <c r="V75" s="281">
        <v>117023</v>
      </c>
      <c r="W75" s="281">
        <v>113457</v>
      </c>
      <c r="X75" s="282">
        <v>111676</v>
      </c>
      <c r="Y75" s="283">
        <v>107065</v>
      </c>
      <c r="Z75" s="281">
        <f t="shared" si="258"/>
        <v>102534</v>
      </c>
      <c r="AA75" s="281">
        <f t="shared" si="259"/>
        <v>98024</v>
      </c>
      <c r="AB75" s="281">
        <f t="shared" si="260"/>
        <v>24011</v>
      </c>
      <c r="AC75" s="281">
        <v>102534</v>
      </c>
      <c r="AD75" s="281">
        <v>98024</v>
      </c>
      <c r="AE75" s="282">
        <v>24011</v>
      </c>
      <c r="AF75" s="281">
        <v>89761</v>
      </c>
      <c r="AG75" s="281">
        <f t="shared" si="263"/>
        <v>84824</v>
      </c>
      <c r="AH75" s="281">
        <f t="shared" si="261"/>
        <v>79739</v>
      </c>
      <c r="AI75" s="281">
        <f t="shared" si="262"/>
        <v>74661</v>
      </c>
      <c r="AJ75" s="281">
        <v>84824</v>
      </c>
      <c r="AK75" s="281">
        <v>79739</v>
      </c>
      <c r="AL75" s="281">
        <v>74661</v>
      </c>
      <c r="AM75" s="283">
        <v>69376</v>
      </c>
      <c r="AN75" s="281">
        <f t="shared" si="264"/>
        <v>64310</v>
      </c>
      <c r="AO75" s="281">
        <f t="shared" si="264"/>
        <v>64147</v>
      </c>
      <c r="AP75" s="281">
        <f t="shared" si="264"/>
        <v>43696</v>
      </c>
      <c r="AQ75" s="281">
        <v>64310</v>
      </c>
      <c r="AR75" s="281">
        <v>64147</v>
      </c>
      <c r="AS75" s="281">
        <v>43696</v>
      </c>
      <c r="AT75" s="283">
        <v>40890</v>
      </c>
      <c r="AU75" s="283">
        <f t="shared" si="265"/>
        <v>37038</v>
      </c>
      <c r="AV75" s="283">
        <f t="shared" si="266"/>
        <v>31510</v>
      </c>
      <c r="AW75" s="283">
        <f t="shared" si="242"/>
        <v>16420</v>
      </c>
      <c r="AX75" s="283">
        <v>37038</v>
      </c>
      <c r="AY75" s="283">
        <v>31510</v>
      </c>
      <c r="AZ75" s="283">
        <v>16420</v>
      </c>
      <c r="BA75" s="283">
        <v>13201</v>
      </c>
      <c r="BB75" s="283">
        <f t="shared" si="267"/>
        <v>10776</v>
      </c>
      <c r="BC75" s="283">
        <f t="shared" si="268"/>
        <v>7117</v>
      </c>
      <c r="BD75" s="283">
        <f t="shared" si="269"/>
        <v>2945</v>
      </c>
      <c r="BE75" s="283">
        <v>10776</v>
      </c>
      <c r="BF75" s="283">
        <v>7117</v>
      </c>
      <c r="BG75" s="283">
        <v>2945</v>
      </c>
      <c r="BH75" s="283">
        <v>0</v>
      </c>
      <c r="BI75" s="283">
        <f t="shared" si="270"/>
        <v>0</v>
      </c>
      <c r="BJ75" s="283">
        <f t="shared" si="271"/>
        <v>0</v>
      </c>
      <c r="BK75" s="283">
        <f t="shared" si="272"/>
        <v>0</v>
      </c>
      <c r="BL75" s="283">
        <v>0</v>
      </c>
      <c r="BM75" s="283">
        <v>0</v>
      </c>
      <c r="BN75" s="283">
        <v>0</v>
      </c>
      <c r="BO75" s="283">
        <v>0</v>
      </c>
      <c r="BP75" s="283">
        <f t="shared" si="273"/>
        <v>0</v>
      </c>
      <c r="BQ75" s="283">
        <f t="shared" si="274"/>
        <v>0</v>
      </c>
      <c r="BR75" s="283">
        <f t="shared" si="275"/>
        <v>0</v>
      </c>
      <c r="BS75" s="283">
        <v>0</v>
      </c>
      <c r="BT75" s="283">
        <v>0</v>
      </c>
      <c r="BU75" s="283">
        <v>0</v>
      </c>
      <c r="BV75" s="283">
        <v>0</v>
      </c>
      <c r="BW75" s="283">
        <f t="shared" si="276"/>
        <v>0</v>
      </c>
      <c r="BX75" s="283">
        <f t="shared" si="277"/>
        <v>0</v>
      </c>
      <c r="BY75" s="283">
        <f t="shared" si="278"/>
        <v>0</v>
      </c>
      <c r="BZ75" s="283">
        <v>0</v>
      </c>
      <c r="CA75" s="283">
        <v>0</v>
      </c>
      <c r="CB75" s="283">
        <v>0</v>
      </c>
      <c r="CC75" s="283">
        <v>0</v>
      </c>
      <c r="CD75" s="283">
        <f t="shared" si="279"/>
        <v>0</v>
      </c>
      <c r="CE75" s="283">
        <f t="shared" si="280"/>
        <v>0</v>
      </c>
      <c r="CF75" s="283">
        <f t="shared" si="281"/>
        <v>0</v>
      </c>
      <c r="CG75" s="283">
        <v>0</v>
      </c>
      <c r="CH75" s="283">
        <v>0</v>
      </c>
      <c r="CI75" s="283">
        <v>0</v>
      </c>
      <c r="CJ75" s="283">
        <v>0</v>
      </c>
      <c r="CK75" s="283">
        <f t="shared" si="282"/>
        <v>0</v>
      </c>
      <c r="CL75" s="283"/>
      <c r="CM75" s="283"/>
      <c r="CN75" s="283">
        <v>0</v>
      </c>
      <c r="CO75" s="283"/>
    </row>
    <row r="76" spans="1:93" s="289" customFormat="1" x14ac:dyDescent="0.25">
      <c r="A76" s="301" t="str">
        <f>Language!C72</f>
        <v>Ajuste de avaliação Patrimonial, líquida</v>
      </c>
      <c r="B76" s="280">
        <v>0</v>
      </c>
      <c r="C76" s="280">
        <v>0</v>
      </c>
      <c r="D76" s="280">
        <v>0</v>
      </c>
      <c r="E76" s="280">
        <v>0</v>
      </c>
      <c r="F76" s="279">
        <v>0</v>
      </c>
      <c r="G76" s="280">
        <v>0</v>
      </c>
      <c r="H76" s="280">
        <v>0</v>
      </c>
      <c r="I76" s="280">
        <v>0</v>
      </c>
      <c r="J76" s="279">
        <v>0</v>
      </c>
      <c r="K76" s="280">
        <v>0</v>
      </c>
      <c r="L76" s="280">
        <v>0</v>
      </c>
      <c r="M76" s="280">
        <v>0</v>
      </c>
      <c r="N76" s="279">
        <v>0</v>
      </c>
      <c r="O76" s="280">
        <v>0</v>
      </c>
      <c r="P76" s="280">
        <v>0</v>
      </c>
      <c r="Q76" s="280">
        <v>0</v>
      </c>
      <c r="R76" s="279">
        <v>0</v>
      </c>
      <c r="S76" s="281">
        <v>0</v>
      </c>
      <c r="T76" s="281">
        <v>0</v>
      </c>
      <c r="U76" s="281">
        <v>0</v>
      </c>
      <c r="V76" s="281">
        <v>0</v>
      </c>
      <c r="W76" s="281">
        <v>0</v>
      </c>
      <c r="X76" s="282">
        <v>0</v>
      </c>
      <c r="Y76" s="283"/>
      <c r="Z76" s="281"/>
      <c r="AA76" s="281"/>
      <c r="AB76" s="281">
        <f t="shared" si="260"/>
        <v>70891</v>
      </c>
      <c r="AC76" s="281"/>
      <c r="AD76" s="281"/>
      <c r="AE76" s="282">
        <v>70891</v>
      </c>
      <c r="AF76" s="281"/>
      <c r="AG76" s="281"/>
      <c r="AH76" s="281"/>
      <c r="AI76" s="281"/>
      <c r="AJ76" s="281"/>
      <c r="AK76" s="281"/>
      <c r="AL76" s="281"/>
      <c r="AM76" s="283"/>
      <c r="AN76" s="281"/>
      <c r="AO76" s="281"/>
      <c r="AP76" s="281"/>
      <c r="AQ76" s="281"/>
      <c r="AR76" s="281"/>
      <c r="AS76" s="281"/>
      <c r="AT76" s="283"/>
      <c r="AU76" s="283">
        <f t="shared" si="265"/>
        <v>0</v>
      </c>
      <c r="AV76" s="283">
        <f t="shared" si="266"/>
        <v>0</v>
      </c>
      <c r="AW76" s="283">
        <f t="shared" si="242"/>
        <v>0</v>
      </c>
      <c r="AX76" s="283"/>
      <c r="AY76" s="283"/>
      <c r="AZ76" s="283"/>
      <c r="BA76" s="283">
        <v>0</v>
      </c>
      <c r="BB76" s="283">
        <f t="shared" si="267"/>
        <v>0</v>
      </c>
      <c r="BC76" s="283">
        <f t="shared" si="268"/>
        <v>0</v>
      </c>
      <c r="BD76" s="283">
        <f t="shared" si="269"/>
        <v>0</v>
      </c>
      <c r="BE76" s="283"/>
      <c r="BF76" s="283"/>
      <c r="BG76" s="283"/>
      <c r="BH76" s="283"/>
      <c r="BI76" s="283">
        <f t="shared" si="270"/>
        <v>0</v>
      </c>
      <c r="BJ76" s="283">
        <f t="shared" si="271"/>
        <v>0</v>
      </c>
      <c r="BK76" s="283">
        <f t="shared" si="272"/>
        <v>0</v>
      </c>
      <c r="BL76" s="283"/>
      <c r="BM76" s="283"/>
      <c r="BN76" s="283"/>
      <c r="BO76" s="283"/>
      <c r="BP76" s="283">
        <f t="shared" si="273"/>
        <v>0</v>
      </c>
      <c r="BQ76" s="283">
        <f t="shared" si="274"/>
        <v>0</v>
      </c>
      <c r="BR76" s="283">
        <f t="shared" si="275"/>
        <v>0</v>
      </c>
      <c r="BS76" s="283"/>
      <c r="BT76" s="283"/>
      <c r="BU76" s="283"/>
      <c r="BV76" s="283"/>
      <c r="BW76" s="283">
        <f t="shared" si="276"/>
        <v>0</v>
      </c>
      <c r="BX76" s="283">
        <f t="shared" si="277"/>
        <v>0</v>
      </c>
      <c r="BY76" s="283">
        <f t="shared" si="278"/>
        <v>0</v>
      </c>
      <c r="BZ76" s="283"/>
      <c r="CA76" s="283"/>
      <c r="CB76" s="283"/>
      <c r="CC76" s="283"/>
      <c r="CD76" s="283">
        <f t="shared" si="279"/>
        <v>0</v>
      </c>
      <c r="CE76" s="283">
        <f t="shared" si="280"/>
        <v>0</v>
      </c>
      <c r="CF76" s="283">
        <f t="shared" si="281"/>
        <v>0</v>
      </c>
      <c r="CG76" s="283"/>
      <c r="CH76" s="283"/>
      <c r="CI76" s="283"/>
      <c r="CJ76" s="283"/>
      <c r="CK76" s="283">
        <f t="shared" si="282"/>
        <v>0</v>
      </c>
      <c r="CL76" s="283"/>
      <c r="CM76" s="283"/>
      <c r="CN76" s="283"/>
      <c r="CO76" s="283"/>
    </row>
    <row r="77" spans="1:93" s="289" customFormat="1" x14ac:dyDescent="0.25">
      <c r="A77" s="301" t="str">
        <f>Language!C73</f>
        <v>Outros Resultados Abrangentes</v>
      </c>
      <c r="B77" s="280">
        <v>0</v>
      </c>
      <c r="C77" s="280">
        <v>0</v>
      </c>
      <c r="D77" s="280">
        <v>0</v>
      </c>
      <c r="E77" s="280">
        <v>0</v>
      </c>
      <c r="F77" s="279">
        <v>0</v>
      </c>
      <c r="G77" s="280">
        <v>0</v>
      </c>
      <c r="H77" s="280">
        <v>0</v>
      </c>
      <c r="I77" s="280">
        <v>0</v>
      </c>
      <c r="J77" s="279">
        <v>0</v>
      </c>
      <c r="K77" s="280">
        <v>0</v>
      </c>
      <c r="L77" s="280">
        <v>0</v>
      </c>
      <c r="M77" s="280">
        <v>0</v>
      </c>
      <c r="N77" s="279">
        <v>0</v>
      </c>
      <c r="O77" s="280">
        <v>0</v>
      </c>
      <c r="P77" s="280">
        <v>0</v>
      </c>
      <c r="Q77" s="280">
        <v>0</v>
      </c>
      <c r="R77" s="279">
        <v>0</v>
      </c>
      <c r="S77" s="281">
        <v>0</v>
      </c>
      <c r="T77" s="281">
        <v>0</v>
      </c>
      <c r="U77" s="281">
        <v>0</v>
      </c>
      <c r="V77" s="281">
        <v>0</v>
      </c>
      <c r="W77" s="281">
        <v>0</v>
      </c>
      <c r="X77" s="282">
        <v>0</v>
      </c>
      <c r="Y77" s="283">
        <v>4076</v>
      </c>
      <c r="Z77" s="281">
        <f t="shared" si="258"/>
        <v>4076</v>
      </c>
      <c r="AA77" s="281">
        <f t="shared" si="259"/>
        <v>4076</v>
      </c>
      <c r="AB77" s="281"/>
      <c r="AC77" s="281">
        <v>4076</v>
      </c>
      <c r="AD77" s="281">
        <v>4076</v>
      </c>
      <c r="AE77" s="282"/>
      <c r="AF77" s="281"/>
      <c r="AG77" s="281"/>
      <c r="AH77" s="281"/>
      <c r="AI77" s="281"/>
      <c r="AJ77" s="281"/>
      <c r="AK77" s="281"/>
      <c r="AL77" s="281"/>
      <c r="AM77" s="283"/>
      <c r="AN77" s="281"/>
      <c r="AO77" s="281"/>
      <c r="AP77" s="281"/>
      <c r="AQ77" s="281"/>
      <c r="AR77" s="281"/>
      <c r="AS77" s="281"/>
      <c r="AT77" s="283"/>
      <c r="AU77" s="283">
        <f t="shared" si="265"/>
        <v>0</v>
      </c>
      <c r="AV77" s="283">
        <f t="shared" si="266"/>
        <v>0</v>
      </c>
      <c r="AW77" s="283">
        <f t="shared" si="242"/>
        <v>0</v>
      </c>
      <c r="AX77" s="283"/>
      <c r="AY77" s="283"/>
      <c r="AZ77" s="283"/>
      <c r="BA77" s="283">
        <v>0</v>
      </c>
      <c r="BB77" s="283">
        <f t="shared" si="267"/>
        <v>0</v>
      </c>
      <c r="BC77" s="283">
        <f t="shared" si="268"/>
        <v>0</v>
      </c>
      <c r="BD77" s="283">
        <f t="shared" si="269"/>
        <v>0</v>
      </c>
      <c r="BE77" s="283"/>
      <c r="BF77" s="283"/>
      <c r="BG77" s="283"/>
      <c r="BH77" s="283"/>
      <c r="BI77" s="283">
        <f t="shared" si="270"/>
        <v>0</v>
      </c>
      <c r="BJ77" s="283">
        <f t="shared" si="271"/>
        <v>0</v>
      </c>
      <c r="BK77" s="283">
        <f t="shared" si="272"/>
        <v>0</v>
      </c>
      <c r="BL77" s="283"/>
      <c r="BM77" s="283"/>
      <c r="BN77" s="283"/>
      <c r="BO77" s="283"/>
      <c r="BP77" s="283">
        <f t="shared" si="273"/>
        <v>0</v>
      </c>
      <c r="BQ77" s="283">
        <f t="shared" si="274"/>
        <v>0</v>
      </c>
      <c r="BR77" s="283">
        <f t="shared" si="275"/>
        <v>0</v>
      </c>
      <c r="BS77" s="283"/>
      <c r="BT77" s="283"/>
      <c r="BU77" s="283"/>
      <c r="BV77" s="283"/>
      <c r="BW77" s="283">
        <f t="shared" si="276"/>
        <v>0</v>
      </c>
      <c r="BX77" s="283">
        <f t="shared" si="277"/>
        <v>0</v>
      </c>
      <c r="BY77" s="283">
        <f t="shared" si="278"/>
        <v>0</v>
      </c>
      <c r="BZ77" s="283"/>
      <c r="CA77" s="283"/>
      <c r="CB77" s="283"/>
      <c r="CC77" s="283"/>
      <c r="CD77" s="283">
        <f t="shared" si="279"/>
        <v>0</v>
      </c>
      <c r="CE77" s="283">
        <f t="shared" si="280"/>
        <v>0</v>
      </c>
      <c r="CF77" s="283">
        <f t="shared" si="281"/>
        <v>0</v>
      </c>
      <c r="CG77" s="283"/>
      <c r="CH77" s="283"/>
      <c r="CI77" s="283"/>
      <c r="CJ77" s="283"/>
      <c r="CK77" s="283">
        <f t="shared" si="282"/>
        <v>0</v>
      </c>
      <c r="CL77" s="283"/>
      <c r="CM77" s="283"/>
      <c r="CN77" s="283"/>
      <c r="CO77" s="283"/>
    </row>
    <row r="78" spans="1:93" s="289" customFormat="1" x14ac:dyDescent="0.25">
      <c r="A78" s="301" t="str">
        <f>Language!C74</f>
        <v>Reservas de Lucros</v>
      </c>
      <c r="B78" s="280">
        <v>142010</v>
      </c>
      <c r="C78" s="280">
        <v>94758</v>
      </c>
      <c r="D78" s="280">
        <v>100601</v>
      </c>
      <c r="E78" s="280">
        <v>143500</v>
      </c>
      <c r="F78" s="279">
        <v>119641</v>
      </c>
      <c r="G78" s="280">
        <v>151253</v>
      </c>
      <c r="H78" s="280">
        <v>86463</v>
      </c>
      <c r="I78" s="280">
        <v>121965</v>
      </c>
      <c r="J78" s="279">
        <v>155729</v>
      </c>
      <c r="K78" s="280">
        <v>55727</v>
      </c>
      <c r="L78" s="280">
        <v>79232</v>
      </c>
      <c r="M78" s="280">
        <v>91724</v>
      </c>
      <c r="N78" s="279">
        <v>97004</v>
      </c>
      <c r="O78" s="280">
        <v>38552</v>
      </c>
      <c r="P78" s="280">
        <v>5758</v>
      </c>
      <c r="Q78" s="280">
        <v>44306</v>
      </c>
      <c r="R78" s="279">
        <v>68046</v>
      </c>
      <c r="S78" s="281">
        <v>18776</v>
      </c>
      <c r="T78" s="281">
        <v>17805</v>
      </c>
      <c r="U78" s="281">
        <v>42866</v>
      </c>
      <c r="V78" s="281">
        <v>18776</v>
      </c>
      <c r="W78" s="281">
        <v>17805</v>
      </c>
      <c r="X78" s="282">
        <v>42866</v>
      </c>
      <c r="Y78" s="283">
        <v>65114</v>
      </c>
      <c r="Z78" s="281">
        <f t="shared" si="258"/>
        <v>76020</v>
      </c>
      <c r="AA78" s="281">
        <f t="shared" si="259"/>
        <v>69828</v>
      </c>
      <c r="AB78" s="281">
        <f t="shared" si="260"/>
        <v>7901</v>
      </c>
      <c r="AC78" s="281">
        <v>76020</v>
      </c>
      <c r="AD78" s="281">
        <v>69828</v>
      </c>
      <c r="AE78" s="282">
        <v>7901</v>
      </c>
      <c r="AF78" s="281">
        <v>13956</v>
      </c>
      <c r="AG78" s="281">
        <f t="shared" si="263"/>
        <v>8508</v>
      </c>
      <c r="AH78" s="281">
        <f t="shared" si="261"/>
        <v>16166</v>
      </c>
      <c r="AI78" s="281">
        <f t="shared" si="262"/>
        <v>11345</v>
      </c>
      <c r="AJ78" s="281">
        <v>8508</v>
      </c>
      <c r="AK78" s="281">
        <v>16166</v>
      </c>
      <c r="AL78" s="281">
        <v>11345</v>
      </c>
      <c r="AM78" s="283">
        <v>9955</v>
      </c>
      <c r="AN78" s="281">
        <f t="shared" si="264"/>
        <v>19434</v>
      </c>
      <c r="AO78" s="281">
        <f t="shared" si="264"/>
        <v>19434</v>
      </c>
      <c r="AP78" s="281">
        <f t="shared" si="264"/>
        <v>16369</v>
      </c>
      <c r="AQ78" s="281">
        <v>19434</v>
      </c>
      <c r="AR78" s="281">
        <v>19434</v>
      </c>
      <c r="AS78" s="281">
        <v>16369</v>
      </c>
      <c r="AT78" s="283">
        <v>15748</v>
      </c>
      <c r="AU78" s="283">
        <f t="shared" si="265"/>
        <v>15748</v>
      </c>
      <c r="AV78" s="283">
        <f t="shared" si="266"/>
        <v>18001</v>
      </c>
      <c r="AW78" s="283">
        <f t="shared" si="242"/>
        <v>18000</v>
      </c>
      <c r="AX78" s="283">
        <v>15748</v>
      </c>
      <c r="AY78" s="283">
        <v>18001</v>
      </c>
      <c r="AZ78" s="283">
        <v>18000</v>
      </c>
      <c r="BA78" s="283">
        <v>17407</v>
      </c>
      <c r="BB78" s="283">
        <f t="shared" si="267"/>
        <v>17407</v>
      </c>
      <c r="BC78" s="283">
        <f t="shared" si="268"/>
        <v>17407</v>
      </c>
      <c r="BD78" s="283">
        <f t="shared" si="269"/>
        <v>17407</v>
      </c>
      <c r="BE78" s="283">
        <v>17407</v>
      </c>
      <c r="BF78" s="283">
        <v>17407</v>
      </c>
      <c r="BG78" s="283">
        <v>17407</v>
      </c>
      <c r="BH78" s="283">
        <v>17136</v>
      </c>
      <c r="BI78" s="283">
        <f t="shared" si="270"/>
        <v>8606</v>
      </c>
      <c r="BJ78" s="283">
        <f t="shared" si="271"/>
        <v>877</v>
      </c>
      <c r="BK78" s="283">
        <f t="shared" si="272"/>
        <v>877</v>
      </c>
      <c r="BL78" s="283">
        <v>8606</v>
      </c>
      <c r="BM78" s="283">
        <v>877</v>
      </c>
      <c r="BN78" s="283">
        <v>877</v>
      </c>
      <c r="BO78" s="283">
        <v>549</v>
      </c>
      <c r="BP78" s="283">
        <f t="shared" si="273"/>
        <v>549</v>
      </c>
      <c r="BQ78" s="283">
        <f t="shared" si="274"/>
        <v>549</v>
      </c>
      <c r="BR78" s="283">
        <f t="shared" si="275"/>
        <v>549</v>
      </c>
      <c r="BS78" s="283">
        <v>549</v>
      </c>
      <c r="BT78" s="283">
        <v>549</v>
      </c>
      <c r="BU78" s="283">
        <v>549</v>
      </c>
      <c r="BV78" s="283">
        <v>237</v>
      </c>
      <c r="BW78" s="283">
        <f t="shared" si="276"/>
        <v>237</v>
      </c>
      <c r="BX78" s="283">
        <f t="shared" si="277"/>
        <v>0</v>
      </c>
      <c r="BY78" s="283">
        <f t="shared" si="278"/>
        <v>237</v>
      </c>
      <c r="BZ78" s="283">
        <v>237</v>
      </c>
      <c r="CA78" s="283">
        <v>0</v>
      </c>
      <c r="CB78" s="283">
        <v>237</v>
      </c>
      <c r="CC78" s="283">
        <v>-45054</v>
      </c>
      <c r="CD78" s="283">
        <f t="shared" si="279"/>
        <v>0</v>
      </c>
      <c r="CE78" s="283">
        <f t="shared" si="280"/>
        <v>36</v>
      </c>
      <c r="CF78" s="283">
        <f t="shared" si="281"/>
        <v>0</v>
      </c>
      <c r="CG78" s="283">
        <v>0</v>
      </c>
      <c r="CH78" s="283">
        <v>36</v>
      </c>
      <c r="CI78" s="283">
        <v>0</v>
      </c>
      <c r="CJ78" s="283">
        <v>1752</v>
      </c>
      <c r="CK78" s="283">
        <f t="shared" si="282"/>
        <v>1766</v>
      </c>
      <c r="CL78" s="283"/>
      <c r="CM78" s="283"/>
      <c r="CN78" s="283">
        <v>1766</v>
      </c>
      <c r="CO78" s="283"/>
    </row>
    <row r="79" spans="1:93" s="289" customFormat="1" x14ac:dyDescent="0.25">
      <c r="A79" s="301" t="str">
        <f>Language!C75</f>
        <v>Lucro e prejuizos acumulados</v>
      </c>
      <c r="B79" s="280">
        <v>-15529</v>
      </c>
      <c r="C79" s="280">
        <v>9359</v>
      </c>
      <c r="D79" s="280">
        <v>24934</v>
      </c>
      <c r="E79" s="280">
        <v>-15607</v>
      </c>
      <c r="F79" s="279">
        <v>-11645</v>
      </c>
      <c r="G79" s="280">
        <v>-16179</v>
      </c>
      <c r="H79" s="280">
        <v>16854</v>
      </c>
      <c r="I79" s="280">
        <v>-1182</v>
      </c>
      <c r="J79" s="279">
        <v>-3086</v>
      </c>
      <c r="K79" s="280">
        <v>36065</v>
      </c>
      <c r="L79" s="280">
        <v>25170</v>
      </c>
      <c r="M79" s="280">
        <v>-13758</v>
      </c>
      <c r="N79" s="279">
        <v>-7511</v>
      </c>
      <c r="O79" s="280">
        <v>20188</v>
      </c>
      <c r="P79" s="280">
        <v>105556</v>
      </c>
      <c r="Q79" s="280">
        <v>41374</v>
      </c>
      <c r="R79" s="279">
        <v>-500772</v>
      </c>
      <c r="S79" s="281">
        <v>-504134</v>
      </c>
      <c r="T79" s="281">
        <v>-513470</v>
      </c>
      <c r="U79" s="281">
        <v>-602920</v>
      </c>
      <c r="V79" s="281">
        <v>-504134</v>
      </c>
      <c r="W79" s="281">
        <v>-513470</v>
      </c>
      <c r="X79" s="282">
        <v>-602920</v>
      </c>
      <c r="Y79" s="283">
        <v>-652355</v>
      </c>
      <c r="Z79" s="281">
        <f t="shared" si="258"/>
        <v>-688090</v>
      </c>
      <c r="AA79" s="281">
        <f t="shared" si="259"/>
        <v>-698284</v>
      </c>
      <c r="AB79" s="281">
        <f t="shared" si="260"/>
        <v>-832427</v>
      </c>
      <c r="AC79" s="281">
        <v>-688090</v>
      </c>
      <c r="AD79" s="281">
        <v>-698284</v>
      </c>
      <c r="AE79" s="282">
        <v>-832427</v>
      </c>
      <c r="AF79" s="281">
        <v>-881523</v>
      </c>
      <c r="AG79" s="281">
        <f t="shared" si="263"/>
        <v>-892061</v>
      </c>
      <c r="AH79" s="281">
        <f t="shared" si="261"/>
        <v>-181413</v>
      </c>
      <c r="AI79" s="281">
        <f t="shared" si="262"/>
        <v>-429767</v>
      </c>
      <c r="AJ79" s="281">
        <v>-892061</v>
      </c>
      <c r="AK79" s="281">
        <v>-181413</v>
      </c>
      <c r="AL79" s="281">
        <v>-429767</v>
      </c>
      <c r="AM79" s="283">
        <v>-398538</v>
      </c>
      <c r="AN79" s="281">
        <f t="shared" si="264"/>
        <v>-435045</v>
      </c>
      <c r="AO79" s="281">
        <f t="shared" si="264"/>
        <v>-453236</v>
      </c>
      <c r="AP79" s="281">
        <f t="shared" si="264"/>
        <v>-693754</v>
      </c>
      <c r="AQ79" s="281">
        <v>-435045</v>
      </c>
      <c r="AR79" s="281">
        <v>-453236</v>
      </c>
      <c r="AS79" s="281">
        <v>-693754</v>
      </c>
      <c r="AT79" s="283">
        <v>-506240</v>
      </c>
      <c r="AU79" s="283">
        <f t="shared" si="265"/>
        <v>-862590</v>
      </c>
      <c r="AV79" s="283">
        <f t="shared" si="266"/>
        <v>-919333</v>
      </c>
      <c r="AW79" s="283">
        <f t="shared" si="242"/>
        <v>-873689</v>
      </c>
      <c r="AX79" s="283">
        <v>-862590</v>
      </c>
      <c r="AY79" s="283">
        <v>-919333</v>
      </c>
      <c r="AZ79" s="283">
        <v>-873689</v>
      </c>
      <c r="BA79" s="283">
        <v>-602840</v>
      </c>
      <c r="BB79" s="283">
        <f t="shared" si="267"/>
        <v>-601011</v>
      </c>
      <c r="BC79" s="283">
        <f t="shared" si="268"/>
        <v>-650501</v>
      </c>
      <c r="BD79" s="283">
        <f t="shared" si="269"/>
        <v>-487342</v>
      </c>
      <c r="BE79" s="283">
        <v>-601011</v>
      </c>
      <c r="BF79" s="283">
        <v>-650501</v>
      </c>
      <c r="BG79" s="283">
        <v>-487342</v>
      </c>
      <c r="BH79" s="283">
        <v>-531181</v>
      </c>
      <c r="BI79" s="283">
        <f t="shared" si="270"/>
        <v>-550911</v>
      </c>
      <c r="BJ79" s="283">
        <f t="shared" si="271"/>
        <v>-469335</v>
      </c>
      <c r="BK79" s="283">
        <f t="shared" si="272"/>
        <v>-512484</v>
      </c>
      <c r="BL79" s="283">
        <v>-550911</v>
      </c>
      <c r="BM79" s="283">
        <v>-469335</v>
      </c>
      <c r="BN79" s="283">
        <v>-512484</v>
      </c>
      <c r="BO79" s="283">
        <v>-547237</v>
      </c>
      <c r="BP79" s="283">
        <f t="shared" si="273"/>
        <v>-438641</v>
      </c>
      <c r="BQ79" s="283">
        <f t="shared" si="274"/>
        <v>-502375</v>
      </c>
      <c r="BR79" s="283">
        <f t="shared" si="275"/>
        <v>-525993</v>
      </c>
      <c r="BS79" s="283">
        <v>-438641</v>
      </c>
      <c r="BT79" s="283">
        <v>-502375</v>
      </c>
      <c r="BU79" s="283">
        <v>-525993</v>
      </c>
      <c r="BV79" s="283">
        <v>-602637</v>
      </c>
      <c r="BW79" s="283">
        <f t="shared" si="276"/>
        <v>-664789</v>
      </c>
      <c r="BX79" s="283">
        <f t="shared" si="277"/>
        <v>-562444</v>
      </c>
      <c r="BY79" s="283">
        <f t="shared" si="278"/>
        <v>-550323</v>
      </c>
      <c r="BZ79" s="283">
        <v>-664789</v>
      </c>
      <c r="CA79" s="283">
        <v>-562444</v>
      </c>
      <c r="CB79" s="283">
        <v>-550323</v>
      </c>
      <c r="CC79" s="283">
        <v>-504109</v>
      </c>
      <c r="CD79" s="283">
        <f t="shared" si="279"/>
        <v>-532489</v>
      </c>
      <c r="CE79" s="283">
        <f t="shared" si="280"/>
        <v>-527236</v>
      </c>
      <c r="CF79" s="283">
        <f t="shared" si="281"/>
        <v>-589345</v>
      </c>
      <c r="CG79" s="283">
        <v>-532489</v>
      </c>
      <c r="CH79" s="283">
        <v>-527236</v>
      </c>
      <c r="CI79" s="283">
        <v>-589345</v>
      </c>
      <c r="CJ79" s="283">
        <v>-609143</v>
      </c>
      <c r="CK79" s="283">
        <f t="shared" si="282"/>
        <v>-649808</v>
      </c>
      <c r="CL79" s="283"/>
      <c r="CM79" s="283"/>
      <c r="CN79" s="283">
        <v>-649808</v>
      </c>
      <c r="CO79" s="283"/>
    </row>
    <row r="80" spans="1:93" s="289" customFormat="1" x14ac:dyDescent="0.25">
      <c r="A80" s="301" t="str">
        <f>Language!C76</f>
        <v>Adiantamentos para futuro aumento de capital  - AFAC</v>
      </c>
      <c r="B80" s="280">
        <v>1343</v>
      </c>
      <c r="C80" s="280">
        <v>793</v>
      </c>
      <c r="D80" s="280">
        <v>794</v>
      </c>
      <c r="E80" s="280">
        <v>809</v>
      </c>
      <c r="F80" s="279">
        <v>812</v>
      </c>
      <c r="G80" s="280">
        <v>814</v>
      </c>
      <c r="H80" s="280">
        <v>814</v>
      </c>
      <c r="I80" s="280">
        <v>813</v>
      </c>
      <c r="J80" s="279">
        <v>813</v>
      </c>
      <c r="K80" s="280">
        <v>813</v>
      </c>
      <c r="L80" s="280">
        <v>813</v>
      </c>
      <c r="M80" s="280">
        <v>813</v>
      </c>
      <c r="N80" s="279">
        <v>2017</v>
      </c>
      <c r="O80" s="280">
        <v>2246</v>
      </c>
      <c r="P80" s="280">
        <v>2250</v>
      </c>
      <c r="Q80" s="280">
        <v>821</v>
      </c>
      <c r="R80" s="279">
        <v>61615</v>
      </c>
      <c r="S80" s="281">
        <v>61123</v>
      </c>
      <c r="T80" s="281">
        <v>61602</v>
      </c>
      <c r="U80" s="281">
        <v>115765</v>
      </c>
      <c r="V80" s="281">
        <v>61123</v>
      </c>
      <c r="W80" s="281">
        <v>61602</v>
      </c>
      <c r="X80" s="282">
        <v>115765</v>
      </c>
      <c r="Y80" s="283">
        <v>135688</v>
      </c>
      <c r="Z80" s="281">
        <f t="shared" si="258"/>
        <v>114971</v>
      </c>
      <c r="AA80" s="281">
        <f t="shared" si="259"/>
        <v>84779</v>
      </c>
      <c r="AB80" s="281">
        <f t="shared" si="260"/>
        <v>92756</v>
      </c>
      <c r="AC80" s="281">
        <v>114971</v>
      </c>
      <c r="AD80" s="281">
        <v>84779</v>
      </c>
      <c r="AE80" s="282">
        <v>92756</v>
      </c>
      <c r="AF80" s="281">
        <v>109678</v>
      </c>
      <c r="AG80" s="281">
        <f t="shared" si="263"/>
        <v>137829</v>
      </c>
      <c r="AH80" s="281">
        <f t="shared" si="261"/>
        <v>35814</v>
      </c>
      <c r="AI80" s="281">
        <f t="shared" si="262"/>
        <v>128151</v>
      </c>
      <c r="AJ80" s="281">
        <v>137829</v>
      </c>
      <c r="AK80" s="281">
        <v>35814</v>
      </c>
      <c r="AL80" s="281">
        <v>128151</v>
      </c>
      <c r="AM80" s="283">
        <v>152377</v>
      </c>
      <c r="AN80" s="281">
        <f t="shared" si="264"/>
        <v>173879</v>
      </c>
      <c r="AO80" s="281">
        <f t="shared" si="264"/>
        <v>191993</v>
      </c>
      <c r="AP80" s="281">
        <f t="shared" si="264"/>
        <v>101206</v>
      </c>
      <c r="AQ80" s="281">
        <v>173879</v>
      </c>
      <c r="AR80" s="281">
        <v>191993</v>
      </c>
      <c r="AS80" s="281">
        <v>101206</v>
      </c>
      <c r="AT80" s="283">
        <v>95069</v>
      </c>
      <c r="AU80" s="283">
        <f t="shared" si="265"/>
        <v>89149</v>
      </c>
      <c r="AV80" s="283">
        <f t="shared" si="266"/>
        <v>95396</v>
      </c>
      <c r="AW80" s="283">
        <f t="shared" si="242"/>
        <v>103326</v>
      </c>
      <c r="AX80" s="283">
        <v>89149</v>
      </c>
      <c r="AY80" s="283">
        <v>95396</v>
      </c>
      <c r="AZ80" s="283">
        <v>103326</v>
      </c>
      <c r="BA80" s="283">
        <v>96525</v>
      </c>
      <c r="BB80" s="283">
        <f t="shared" si="267"/>
        <v>102376</v>
      </c>
      <c r="BC80" s="283">
        <f t="shared" si="268"/>
        <v>103603</v>
      </c>
      <c r="BD80" s="283">
        <f t="shared" si="269"/>
        <v>68133</v>
      </c>
      <c r="BE80" s="283">
        <v>102376</v>
      </c>
      <c r="BF80" s="283">
        <v>103603</v>
      </c>
      <c r="BG80" s="283">
        <v>68133</v>
      </c>
      <c r="BH80" s="283">
        <v>68226</v>
      </c>
      <c r="BI80" s="283">
        <f t="shared" si="270"/>
        <v>78339</v>
      </c>
      <c r="BJ80" s="283">
        <f t="shared" si="271"/>
        <v>75296</v>
      </c>
      <c r="BK80" s="283">
        <f t="shared" si="272"/>
        <v>57121</v>
      </c>
      <c r="BL80" s="283">
        <v>78339</v>
      </c>
      <c r="BM80" s="283">
        <v>75296</v>
      </c>
      <c r="BN80" s="283">
        <v>57121</v>
      </c>
      <c r="BO80" s="283">
        <v>69877</v>
      </c>
      <c r="BP80" s="283">
        <f t="shared" si="273"/>
        <v>53190</v>
      </c>
      <c r="BQ80" s="283">
        <f t="shared" si="274"/>
        <v>53195</v>
      </c>
      <c r="BR80" s="283">
        <f t="shared" si="275"/>
        <v>53196</v>
      </c>
      <c r="BS80" s="283">
        <v>53190</v>
      </c>
      <c r="BT80" s="283">
        <v>53195</v>
      </c>
      <c r="BU80" s="283">
        <v>53196</v>
      </c>
      <c r="BV80" s="283">
        <v>50755</v>
      </c>
      <c r="BW80" s="283">
        <f t="shared" si="276"/>
        <v>50757</v>
      </c>
      <c r="BX80" s="283">
        <f t="shared" si="277"/>
        <v>51853</v>
      </c>
      <c r="BY80" s="283">
        <f t="shared" si="278"/>
        <v>52767</v>
      </c>
      <c r="BZ80" s="283">
        <v>50757</v>
      </c>
      <c r="CA80" s="283">
        <v>51853</v>
      </c>
      <c r="CB80" s="283">
        <v>52767</v>
      </c>
      <c r="CC80" s="283">
        <v>52566</v>
      </c>
      <c r="CD80" s="283">
        <f t="shared" si="279"/>
        <v>55024</v>
      </c>
      <c r="CE80" s="283">
        <f t="shared" si="280"/>
        <v>56022</v>
      </c>
      <c r="CF80" s="283">
        <f t="shared" si="281"/>
        <v>7735</v>
      </c>
      <c r="CG80" s="283">
        <v>55024</v>
      </c>
      <c r="CH80" s="283">
        <v>56022</v>
      </c>
      <c r="CI80" s="283">
        <v>7735</v>
      </c>
      <c r="CJ80" s="283">
        <v>8590</v>
      </c>
      <c r="CK80" s="283">
        <f t="shared" si="282"/>
        <v>18802</v>
      </c>
      <c r="CL80" s="283"/>
      <c r="CM80" s="283"/>
      <c r="CN80" s="283">
        <v>18802</v>
      </c>
      <c r="CO80" s="283"/>
    </row>
    <row r="81" spans="1:93" s="289" customFormat="1" x14ac:dyDescent="0.25">
      <c r="A81" s="301" t="str">
        <f>Language!C77</f>
        <v>Reservas Legal</v>
      </c>
      <c r="B81" s="280">
        <v>0</v>
      </c>
      <c r="C81" s="280">
        <v>0</v>
      </c>
      <c r="D81" s="280">
        <v>0</v>
      </c>
      <c r="E81" s="280">
        <v>0</v>
      </c>
      <c r="F81" s="279">
        <v>0</v>
      </c>
      <c r="G81" s="280">
        <v>0</v>
      </c>
      <c r="H81" s="280">
        <v>2526</v>
      </c>
      <c r="I81" s="280">
        <v>4384</v>
      </c>
      <c r="J81" s="279">
        <v>4384</v>
      </c>
      <c r="K81" s="280">
        <v>4384</v>
      </c>
      <c r="L81" s="280">
        <v>4384</v>
      </c>
      <c r="M81" s="280">
        <v>9510</v>
      </c>
      <c r="N81" s="279">
        <v>10310</v>
      </c>
      <c r="O81" s="280">
        <v>10309</v>
      </c>
      <c r="P81" s="280">
        <v>10309</v>
      </c>
      <c r="Q81" s="280">
        <v>13073</v>
      </c>
      <c r="R81" s="279">
        <v>13073</v>
      </c>
      <c r="S81" s="281">
        <v>13073</v>
      </c>
      <c r="T81" s="281">
        <v>13073</v>
      </c>
      <c r="U81" s="281">
        <v>4076</v>
      </c>
      <c r="V81" s="281">
        <v>13073</v>
      </c>
      <c r="W81" s="281">
        <v>13073</v>
      </c>
      <c r="X81" s="282">
        <v>4076</v>
      </c>
      <c r="Y81" s="283">
        <v>5024</v>
      </c>
      <c r="Z81" s="281">
        <f t="shared" si="258"/>
        <v>5024</v>
      </c>
      <c r="AA81" s="281">
        <f t="shared" si="259"/>
        <v>5024</v>
      </c>
      <c r="AB81" s="281">
        <f t="shared" si="260"/>
        <v>8333</v>
      </c>
      <c r="AC81" s="281">
        <v>5024</v>
      </c>
      <c r="AD81" s="281">
        <v>5024</v>
      </c>
      <c r="AE81" s="282">
        <v>8333</v>
      </c>
      <c r="AF81" s="281">
        <v>8403</v>
      </c>
      <c r="AG81" s="281">
        <f t="shared" si="263"/>
        <v>8403</v>
      </c>
      <c r="AH81" s="281">
        <f t="shared" si="261"/>
        <v>9641</v>
      </c>
      <c r="AI81" s="281">
        <f t="shared" si="262"/>
        <v>8837</v>
      </c>
      <c r="AJ81" s="281">
        <v>8403</v>
      </c>
      <c r="AK81" s="281">
        <v>9641</v>
      </c>
      <c r="AL81" s="281">
        <v>8837</v>
      </c>
      <c r="AM81" s="283">
        <v>4122</v>
      </c>
      <c r="AN81" s="281">
        <f t="shared" si="264"/>
        <v>4571</v>
      </c>
      <c r="AO81" s="281">
        <f t="shared" si="264"/>
        <v>4571</v>
      </c>
      <c r="AP81" s="281">
        <f t="shared" si="264"/>
        <v>3518</v>
      </c>
      <c r="AQ81" s="281">
        <v>4571</v>
      </c>
      <c r="AR81" s="281">
        <v>4571</v>
      </c>
      <c r="AS81" s="281">
        <v>3518</v>
      </c>
      <c r="AT81" s="283">
        <v>449</v>
      </c>
      <c r="AU81" s="283">
        <f t="shared" si="265"/>
        <v>1239</v>
      </c>
      <c r="AV81" s="283">
        <f t="shared" si="266"/>
        <v>1239</v>
      </c>
      <c r="AW81" s="283">
        <f t="shared" si="242"/>
        <v>1239</v>
      </c>
      <c r="AX81" s="283">
        <v>1239</v>
      </c>
      <c r="AY81" s="283">
        <v>1239</v>
      </c>
      <c r="AZ81" s="283">
        <v>1239</v>
      </c>
      <c r="BA81" s="283">
        <v>449</v>
      </c>
      <c r="BB81" s="283">
        <f t="shared" si="267"/>
        <v>449</v>
      </c>
      <c r="BC81" s="283">
        <f t="shared" si="268"/>
        <v>449</v>
      </c>
      <c r="BD81" s="283">
        <f t="shared" si="269"/>
        <v>449</v>
      </c>
      <c r="BE81" s="283">
        <v>449</v>
      </c>
      <c r="BF81" s="283">
        <v>449</v>
      </c>
      <c r="BG81" s="283">
        <v>449</v>
      </c>
      <c r="BH81" s="283">
        <v>449</v>
      </c>
      <c r="BI81" s="283">
        <f t="shared" si="270"/>
        <v>0</v>
      </c>
      <c r="BJ81" s="283">
        <f t="shared" si="271"/>
        <v>0</v>
      </c>
      <c r="BK81" s="283">
        <f t="shared" si="272"/>
        <v>0</v>
      </c>
      <c r="BL81" s="283">
        <v>0</v>
      </c>
      <c r="BM81" s="283">
        <v>0</v>
      </c>
      <c r="BN81" s="283">
        <v>0</v>
      </c>
      <c r="BO81" s="283">
        <v>0</v>
      </c>
      <c r="BP81" s="283">
        <f t="shared" si="273"/>
        <v>0</v>
      </c>
      <c r="BQ81" s="283">
        <f t="shared" si="274"/>
        <v>0</v>
      </c>
      <c r="BR81" s="283">
        <f t="shared" si="275"/>
        <v>0</v>
      </c>
      <c r="BS81" s="283">
        <v>0</v>
      </c>
      <c r="BT81" s="283">
        <v>0</v>
      </c>
      <c r="BU81" s="283">
        <v>0</v>
      </c>
      <c r="BV81" s="283">
        <v>0</v>
      </c>
      <c r="BW81" s="283">
        <f t="shared" si="276"/>
        <v>0</v>
      </c>
      <c r="BX81" s="283">
        <f t="shared" si="277"/>
        <v>0</v>
      </c>
      <c r="BY81" s="283">
        <f t="shared" si="278"/>
        <v>0</v>
      </c>
      <c r="BZ81" s="283">
        <v>0</v>
      </c>
      <c r="CA81" s="283">
        <v>0</v>
      </c>
      <c r="CB81" s="283">
        <v>0</v>
      </c>
      <c r="CC81" s="283">
        <v>0</v>
      </c>
      <c r="CD81" s="283">
        <f t="shared" si="279"/>
        <v>0</v>
      </c>
      <c r="CE81" s="283">
        <f t="shared" si="280"/>
        <v>0</v>
      </c>
      <c r="CF81" s="283">
        <f t="shared" si="281"/>
        <v>0</v>
      </c>
      <c r="CG81" s="283">
        <v>0</v>
      </c>
      <c r="CH81" s="283">
        <v>0</v>
      </c>
      <c r="CI81" s="283">
        <v>0</v>
      </c>
      <c r="CJ81" s="283">
        <v>0</v>
      </c>
      <c r="CK81" s="283">
        <f t="shared" si="282"/>
        <v>-1</v>
      </c>
      <c r="CL81" s="283"/>
      <c r="CM81" s="283"/>
      <c r="CN81" s="283">
        <v>-1</v>
      </c>
      <c r="CO81" s="283"/>
    </row>
    <row r="82" spans="1:93" s="423" customFormat="1" ht="13" x14ac:dyDescent="0.3">
      <c r="A82" s="303" t="str">
        <f>Language!C78</f>
        <v>Participações de Acionistas Não Controladores</v>
      </c>
      <c r="B82" s="304">
        <v>0</v>
      </c>
      <c r="C82" s="304">
        <v>0</v>
      </c>
      <c r="D82" s="304">
        <v>0</v>
      </c>
      <c r="E82" s="304">
        <v>0</v>
      </c>
      <c r="F82" s="305">
        <v>0</v>
      </c>
      <c r="G82" s="304">
        <v>0</v>
      </c>
      <c r="H82" s="304">
        <v>0</v>
      </c>
      <c r="I82" s="304">
        <v>0</v>
      </c>
      <c r="J82" s="305">
        <v>0</v>
      </c>
      <c r="K82" s="304">
        <v>0</v>
      </c>
      <c r="L82" s="304">
        <v>0</v>
      </c>
      <c r="M82" s="304">
        <v>0</v>
      </c>
      <c r="N82" s="305">
        <v>0</v>
      </c>
      <c r="O82" s="304">
        <v>0</v>
      </c>
      <c r="P82" s="304">
        <v>0</v>
      </c>
      <c r="Q82" s="304">
        <v>0</v>
      </c>
      <c r="R82" s="305">
        <v>0</v>
      </c>
      <c r="S82" s="306">
        <v>0</v>
      </c>
      <c r="T82" s="306">
        <v>0</v>
      </c>
      <c r="U82" s="306">
        <v>5451</v>
      </c>
      <c r="V82" s="306">
        <v>0</v>
      </c>
      <c r="W82" s="306">
        <v>0</v>
      </c>
      <c r="X82" s="307">
        <v>5451</v>
      </c>
      <c r="Y82" s="308">
        <v>12905</v>
      </c>
      <c r="Z82" s="306">
        <f t="shared" si="258"/>
        <v>524</v>
      </c>
      <c r="AA82" s="306">
        <f t="shared" si="259"/>
        <v>3708</v>
      </c>
      <c r="AB82" s="306">
        <f t="shared" si="260"/>
        <v>551</v>
      </c>
      <c r="AC82" s="306">
        <v>524</v>
      </c>
      <c r="AD82" s="306">
        <v>3708</v>
      </c>
      <c r="AE82" s="307">
        <v>551</v>
      </c>
      <c r="AF82" s="306">
        <v>550</v>
      </c>
      <c r="AG82" s="306">
        <f t="shared" si="263"/>
        <v>545</v>
      </c>
      <c r="AH82" s="306">
        <f t="shared" si="261"/>
        <v>545</v>
      </c>
      <c r="AI82" s="306">
        <f t="shared" si="262"/>
        <v>545</v>
      </c>
      <c r="AJ82" s="306">
        <v>545</v>
      </c>
      <c r="AK82" s="306">
        <v>545</v>
      </c>
      <c r="AL82" s="306">
        <v>545</v>
      </c>
      <c r="AM82" s="308">
        <v>551</v>
      </c>
      <c r="AN82" s="306">
        <f t="shared" si="264"/>
        <v>551</v>
      </c>
      <c r="AO82" s="306">
        <f t="shared" si="264"/>
        <v>551</v>
      </c>
      <c r="AP82" s="306">
        <f t="shared" si="264"/>
        <v>551</v>
      </c>
      <c r="AQ82" s="306">
        <v>551</v>
      </c>
      <c r="AR82" s="306">
        <v>551</v>
      </c>
      <c r="AS82" s="306">
        <v>551</v>
      </c>
      <c r="AT82" s="308">
        <v>0</v>
      </c>
      <c r="AU82" s="308">
        <f>AX82</f>
        <v>551</v>
      </c>
      <c r="AV82" s="308">
        <f>AY82</f>
        <v>545</v>
      </c>
      <c r="AW82" s="308">
        <f t="shared" si="242"/>
        <v>545</v>
      </c>
      <c r="AX82" s="308">
        <v>551</v>
      </c>
      <c r="AY82" s="308">
        <v>545</v>
      </c>
      <c r="AZ82" s="308">
        <v>545</v>
      </c>
      <c r="BA82" s="308">
        <v>0</v>
      </c>
      <c r="BB82" s="308">
        <f>BE82</f>
        <v>0</v>
      </c>
      <c r="BC82" s="308">
        <f>BF82</f>
        <v>0</v>
      </c>
      <c r="BD82" s="308"/>
      <c r="BE82" s="308">
        <v>0</v>
      </c>
      <c r="BF82" s="308">
        <v>0</v>
      </c>
      <c r="BG82" s="308">
        <v>0</v>
      </c>
      <c r="BH82" s="308"/>
      <c r="BI82" s="308"/>
      <c r="BJ82" s="308"/>
      <c r="BK82" s="308"/>
      <c r="BL82" s="308"/>
      <c r="BM82" s="308"/>
      <c r="BN82" s="308"/>
      <c r="BO82" s="308"/>
      <c r="BP82" s="308"/>
      <c r="BQ82" s="308"/>
      <c r="BR82" s="308"/>
      <c r="BS82" s="308"/>
      <c r="BT82" s="308"/>
      <c r="BU82" s="308"/>
      <c r="BV82" s="308"/>
      <c r="BW82" s="308"/>
      <c r="BX82" s="308"/>
      <c r="BY82" s="308"/>
      <c r="BZ82" s="308"/>
      <c r="CA82" s="308"/>
      <c r="CB82" s="308"/>
      <c r="CC82" s="308"/>
      <c r="CD82" s="308"/>
      <c r="CE82" s="308"/>
      <c r="CF82" s="308"/>
      <c r="CG82" s="308"/>
      <c r="CH82" s="308"/>
      <c r="CI82" s="308"/>
      <c r="CJ82" s="308"/>
      <c r="CK82" s="308"/>
      <c r="CL82" s="308"/>
      <c r="CM82" s="308"/>
      <c r="CN82" s="308"/>
      <c r="CO82" s="308"/>
    </row>
    <row r="83" spans="1:93" s="289" customFormat="1" x14ac:dyDescent="0.25">
      <c r="A83" s="418"/>
      <c r="B83" s="291"/>
      <c r="C83" s="291"/>
      <c r="D83" s="291"/>
      <c r="E83" s="291"/>
      <c r="F83" s="291"/>
      <c r="G83" s="291"/>
      <c r="H83" s="291"/>
      <c r="I83" s="291"/>
      <c r="J83" s="291"/>
      <c r="K83" s="291"/>
      <c r="L83" s="291"/>
      <c r="M83" s="291"/>
      <c r="N83" s="291"/>
      <c r="O83" s="291"/>
      <c r="P83" s="291"/>
      <c r="Q83" s="291"/>
      <c r="R83" s="291"/>
      <c r="S83" s="291"/>
      <c r="T83" s="291"/>
      <c r="U83" s="425"/>
      <c r="V83" s="425"/>
      <c r="W83" s="292"/>
      <c r="X83" s="426"/>
      <c r="Y83" s="426"/>
      <c r="Z83" s="426"/>
      <c r="AA83" s="291"/>
      <c r="AB83" s="425"/>
      <c r="AC83" s="426"/>
      <c r="AD83" s="426"/>
      <c r="AE83" s="426"/>
      <c r="AF83" s="426"/>
      <c r="AG83" s="426"/>
      <c r="AH83" s="291"/>
      <c r="AI83" s="425"/>
      <c r="AJ83" s="426"/>
      <c r="AK83" s="426"/>
      <c r="AL83" s="426"/>
      <c r="AM83" s="426"/>
      <c r="AN83" s="426"/>
      <c r="AO83" s="426"/>
      <c r="AP83" s="426"/>
      <c r="AQ83" s="426"/>
      <c r="AR83" s="426"/>
      <c r="AS83" s="426"/>
      <c r="AT83" s="426"/>
      <c r="AU83" s="426"/>
      <c r="AV83" s="426"/>
      <c r="AW83" s="426"/>
      <c r="AX83" s="426"/>
      <c r="AY83" s="426"/>
      <c r="AZ83" s="426"/>
      <c r="BA83" s="426"/>
      <c r="BB83" s="426"/>
      <c r="BC83" s="426"/>
      <c r="BD83" s="426"/>
      <c r="BE83" s="426"/>
    </row>
    <row r="84" spans="1:93" s="289" customFormat="1" x14ac:dyDescent="0.25">
      <c r="A84" s="418"/>
      <c r="B84" s="291"/>
      <c r="C84" s="291"/>
      <c r="D84" s="291"/>
      <c r="E84" s="291"/>
      <c r="F84" s="291"/>
      <c r="G84" s="291"/>
      <c r="H84" s="291"/>
      <c r="I84" s="291"/>
      <c r="J84" s="291"/>
      <c r="K84" s="291"/>
      <c r="L84" s="291"/>
      <c r="M84" s="291"/>
      <c r="N84" s="291"/>
      <c r="O84" s="291"/>
      <c r="P84" s="291"/>
      <c r="Q84" s="291"/>
      <c r="R84" s="291"/>
      <c r="S84" s="291"/>
      <c r="T84" s="291"/>
      <c r="U84" s="427"/>
      <c r="V84" s="427"/>
      <c r="W84" s="292"/>
      <c r="X84" s="428"/>
      <c r="Y84" s="428"/>
      <c r="Z84" s="428"/>
      <c r="AA84" s="291"/>
      <c r="AB84" s="427"/>
      <c r="AC84" s="428"/>
      <c r="AD84" s="428"/>
      <c r="AE84" s="428"/>
      <c r="AF84" s="689"/>
      <c r="AG84" s="689"/>
      <c r="AH84" s="690"/>
      <c r="AI84" s="691"/>
      <c r="AJ84" s="689"/>
      <c r="AK84" s="689"/>
      <c r="AL84" s="689"/>
      <c r="AM84" s="428"/>
      <c r="AN84" s="428"/>
      <c r="AO84" s="428"/>
      <c r="AP84" s="428"/>
      <c r="AQ84" s="428"/>
      <c r="AR84" s="689"/>
      <c r="AS84" s="689"/>
      <c r="AT84" s="428"/>
      <c r="AU84" s="428"/>
      <c r="AV84" s="428"/>
      <c r="AW84" s="428"/>
      <c r="AX84" s="428"/>
      <c r="AY84" s="428"/>
      <c r="AZ84" s="428"/>
      <c r="BA84" s="428"/>
      <c r="BB84" s="428"/>
      <c r="BC84" s="428"/>
      <c r="BD84" s="428"/>
      <c r="BE84" s="428"/>
    </row>
    <row r="85" spans="1:93" s="422" customFormat="1" ht="13" x14ac:dyDescent="0.3">
      <c r="A85" s="429" t="str">
        <f>Language!C81</f>
        <v>DRE</v>
      </c>
      <c r="B85" s="430" t="str">
        <f>Language!AG$8</f>
        <v>1T11</v>
      </c>
      <c r="C85" s="430" t="str">
        <f>Language!AH$8</f>
        <v>2T11</v>
      </c>
      <c r="D85" s="430" t="str">
        <f>Language!AI$8</f>
        <v>3T11</v>
      </c>
      <c r="E85" s="430" t="str">
        <f>Language!AJ$8</f>
        <v>4T11</v>
      </c>
      <c r="F85" s="431" t="str">
        <f>Language!AK$8</f>
        <v>1T12</v>
      </c>
      <c r="G85" s="430" t="str">
        <f>Language!AL$8</f>
        <v>2T12</v>
      </c>
      <c r="H85" s="430" t="str">
        <f>Language!AM$8</f>
        <v>3T12</v>
      </c>
      <c r="I85" s="430" t="str">
        <f>Language!AN$8</f>
        <v>4T12</v>
      </c>
      <c r="J85" s="431" t="str">
        <f>Language!AO$8</f>
        <v>1T13</v>
      </c>
      <c r="K85" s="430" t="str">
        <f>Language!AP$8</f>
        <v>2T13</v>
      </c>
      <c r="L85" s="430" t="str">
        <f>Language!AQ$8</f>
        <v>3T13</v>
      </c>
      <c r="M85" s="430" t="str">
        <f>Language!AR$8</f>
        <v>4T13</v>
      </c>
      <c r="N85" s="431" t="s">
        <v>237</v>
      </c>
      <c r="O85" s="430" t="s">
        <v>238</v>
      </c>
      <c r="P85" s="430" t="s">
        <v>239</v>
      </c>
      <c r="Q85" s="430" t="s">
        <v>240</v>
      </c>
      <c r="R85" s="431" t="s">
        <v>241</v>
      </c>
      <c r="S85" s="430" t="s">
        <v>242</v>
      </c>
      <c r="T85" s="432" t="str">
        <f>T5</f>
        <v>3T15</v>
      </c>
      <c r="U85" s="432" t="str">
        <f>U5</f>
        <v>4T15</v>
      </c>
      <c r="V85" s="432" t="s">
        <v>638</v>
      </c>
      <c r="W85" s="432" t="str">
        <f t="shared" ref="W85:AT85" si="283">W5</f>
        <v>9M15</v>
      </c>
      <c r="X85" s="433" t="str">
        <f t="shared" si="283"/>
        <v>12M15</v>
      </c>
      <c r="Y85" s="434" t="str">
        <f t="shared" si="283"/>
        <v>1T16</v>
      </c>
      <c r="Z85" s="432" t="str">
        <f t="shared" si="283"/>
        <v>2T16</v>
      </c>
      <c r="AA85" s="432" t="str">
        <f t="shared" si="283"/>
        <v>3T16</v>
      </c>
      <c r="AB85" s="432" t="str">
        <f t="shared" si="283"/>
        <v>4T16</v>
      </c>
      <c r="AC85" s="432" t="str">
        <f t="shared" si="283"/>
        <v>6M16</v>
      </c>
      <c r="AD85" s="432" t="str">
        <f t="shared" si="283"/>
        <v>9M16</v>
      </c>
      <c r="AE85" s="433" t="str">
        <f t="shared" si="283"/>
        <v>12M16</v>
      </c>
      <c r="AF85" s="432" t="str">
        <f t="shared" si="283"/>
        <v>1T17</v>
      </c>
      <c r="AG85" s="432" t="str">
        <f t="shared" si="283"/>
        <v>2T17</v>
      </c>
      <c r="AH85" s="432" t="str">
        <f t="shared" si="283"/>
        <v>3T17</v>
      </c>
      <c r="AI85" s="432" t="str">
        <f t="shared" si="283"/>
        <v>4T17</v>
      </c>
      <c r="AJ85" s="432" t="str">
        <f t="shared" si="283"/>
        <v>6M17</v>
      </c>
      <c r="AK85" s="432" t="str">
        <f t="shared" si="283"/>
        <v>9M17</v>
      </c>
      <c r="AL85" s="433" t="str">
        <f t="shared" si="283"/>
        <v>12M17</v>
      </c>
      <c r="AM85" s="432" t="str">
        <f t="shared" si="283"/>
        <v>1T18</v>
      </c>
      <c r="AN85" s="432" t="str">
        <f t="shared" si="283"/>
        <v>2T18</v>
      </c>
      <c r="AO85" s="432" t="str">
        <f t="shared" si="283"/>
        <v>3T18</v>
      </c>
      <c r="AP85" s="432" t="str">
        <f t="shared" si="283"/>
        <v>4T18</v>
      </c>
      <c r="AQ85" s="432" t="str">
        <f t="shared" si="283"/>
        <v>6M18</v>
      </c>
      <c r="AR85" s="432" t="str">
        <f t="shared" si="283"/>
        <v>9M18</v>
      </c>
      <c r="AS85" s="433" t="str">
        <f t="shared" si="283"/>
        <v>12M18</v>
      </c>
      <c r="AT85" s="432" t="str">
        <f t="shared" si="283"/>
        <v>1T19</v>
      </c>
      <c r="AU85" s="432" t="s">
        <v>258</v>
      </c>
      <c r="AV85" s="432" t="str">
        <f>AV5</f>
        <v>3T19</v>
      </c>
      <c r="AW85" s="432" t="str">
        <f>AW5</f>
        <v>4T19</v>
      </c>
      <c r="AX85" s="432" t="s">
        <v>688</v>
      </c>
      <c r="AY85" s="432" t="str">
        <f t="shared" ref="AY85:BE85" si="284">AY5</f>
        <v>9M19</v>
      </c>
      <c r="AZ85" s="432" t="str">
        <f t="shared" si="284"/>
        <v>12M19</v>
      </c>
      <c r="BA85" s="432" t="str">
        <f t="shared" si="284"/>
        <v>1T20</v>
      </c>
      <c r="BB85" s="432" t="str">
        <f t="shared" si="284"/>
        <v>2T20</v>
      </c>
      <c r="BC85" s="432" t="str">
        <f t="shared" si="284"/>
        <v>3T20</v>
      </c>
      <c r="BD85" s="432" t="str">
        <f t="shared" si="284"/>
        <v>4T20</v>
      </c>
      <c r="BE85" s="432" t="str">
        <f t="shared" si="284"/>
        <v>6M20</v>
      </c>
      <c r="BF85" s="432" t="str">
        <f t="shared" ref="BF85:BG85" si="285">BF5</f>
        <v>9M20</v>
      </c>
      <c r="BG85" s="432" t="str">
        <f t="shared" si="285"/>
        <v>12M20</v>
      </c>
      <c r="BH85" s="432" t="str">
        <f t="shared" ref="BH85:BL85" si="286">BH5</f>
        <v>1T21</v>
      </c>
      <c r="BI85" s="432" t="str">
        <f t="shared" si="286"/>
        <v>2T21</v>
      </c>
      <c r="BJ85" s="432" t="str">
        <f t="shared" si="286"/>
        <v>3T21</v>
      </c>
      <c r="BK85" s="432" t="str">
        <f t="shared" si="286"/>
        <v>4T21</v>
      </c>
      <c r="BL85" s="432" t="str">
        <f t="shared" si="286"/>
        <v>6M21</v>
      </c>
      <c r="BM85" s="432" t="str">
        <f t="shared" ref="BM85:BN85" si="287">BM5</f>
        <v>9M21</v>
      </c>
      <c r="BN85" s="432" t="str">
        <f t="shared" si="287"/>
        <v>12M21</v>
      </c>
      <c r="BO85" s="432" t="str">
        <f t="shared" ref="BO85:BS85" si="288">BO5</f>
        <v>1T22</v>
      </c>
      <c r="BP85" s="432" t="str">
        <f t="shared" si="288"/>
        <v>2T22</v>
      </c>
      <c r="BQ85" s="432" t="str">
        <f t="shared" si="288"/>
        <v>3T22</v>
      </c>
      <c r="BR85" s="432" t="str">
        <f t="shared" si="288"/>
        <v>4T22</v>
      </c>
      <c r="BS85" s="432" t="str">
        <f t="shared" si="288"/>
        <v>6M22</v>
      </c>
      <c r="BT85" s="432" t="str">
        <f t="shared" ref="BT85:BU85" si="289">BT5</f>
        <v>9M22</v>
      </c>
      <c r="BU85" s="432" t="str">
        <f t="shared" si="289"/>
        <v>12M22</v>
      </c>
      <c r="BV85" s="432" t="str">
        <f t="shared" ref="BV85:BY85" si="290">BV5</f>
        <v>1T23</v>
      </c>
      <c r="BW85" s="432" t="str">
        <f t="shared" si="290"/>
        <v>2T23</v>
      </c>
      <c r="BX85" s="432" t="str">
        <f t="shared" si="290"/>
        <v>3T23</v>
      </c>
      <c r="BY85" s="432" t="str">
        <f t="shared" si="290"/>
        <v>4T23</v>
      </c>
      <c r="BZ85" s="432" t="str">
        <f t="shared" ref="BZ85:CA85" si="291">BZ5</f>
        <v>6M23</v>
      </c>
      <c r="CA85" s="432" t="str">
        <f t="shared" si="291"/>
        <v>9M23</v>
      </c>
      <c r="CB85" s="432" t="str">
        <f t="shared" ref="CB85:CC85" si="292">CB5</f>
        <v>12M23</v>
      </c>
      <c r="CC85" s="432" t="str">
        <f t="shared" si="292"/>
        <v>1T24</v>
      </c>
      <c r="CD85" s="432" t="str">
        <f t="shared" ref="CD85" si="293">CD5</f>
        <v>2T24</v>
      </c>
      <c r="CE85" s="432" t="str">
        <f t="shared" ref="CE85:CG85" si="294">CE5</f>
        <v>3T24</v>
      </c>
      <c r="CF85" s="432" t="str">
        <f t="shared" si="294"/>
        <v>4T24</v>
      </c>
      <c r="CG85" s="432" t="str">
        <f t="shared" si="294"/>
        <v>6M24</v>
      </c>
      <c r="CH85" s="432" t="str">
        <f t="shared" ref="CH85:CI85" si="295">CH5</f>
        <v>9M24</v>
      </c>
      <c r="CI85" s="432" t="str">
        <f t="shared" si="295"/>
        <v>12M24</v>
      </c>
      <c r="CJ85" s="432" t="s">
        <v>763</v>
      </c>
      <c r="CK85" s="432" t="str">
        <f t="shared" ref="CK85" si="296">CK5</f>
        <v>2T25</v>
      </c>
      <c r="CL85" s="432" t="str">
        <f t="shared" ref="CL85:CO85" si="297">CL5</f>
        <v>3T25</v>
      </c>
      <c r="CM85" s="432" t="str">
        <f t="shared" si="297"/>
        <v>4T25</v>
      </c>
      <c r="CN85" s="432" t="str">
        <f t="shared" si="297"/>
        <v>6M25</v>
      </c>
      <c r="CO85" s="432" t="str">
        <f t="shared" si="297"/>
        <v>9M25</v>
      </c>
    </row>
    <row r="86" spans="1:93" s="289" customFormat="1" ht="13" x14ac:dyDescent="0.3">
      <c r="A86" s="435" t="str">
        <f>Language!C82</f>
        <v>Receita Bruta</v>
      </c>
      <c r="B86" s="436">
        <f>SUM(B87,B88,B89,B90)</f>
        <v>144000</v>
      </c>
      <c r="C86" s="436">
        <f t="shared" ref="C86:M86" si="298">SUM(C87,C88,C89,C90)</f>
        <v>111151</v>
      </c>
      <c r="D86" s="436">
        <f t="shared" si="298"/>
        <v>134751</v>
      </c>
      <c r="E86" s="436">
        <f t="shared" si="298"/>
        <v>160789</v>
      </c>
      <c r="F86" s="437">
        <f t="shared" si="298"/>
        <v>159457</v>
      </c>
      <c r="G86" s="436">
        <f t="shared" si="298"/>
        <v>150649</v>
      </c>
      <c r="H86" s="436">
        <f t="shared" si="298"/>
        <v>156818</v>
      </c>
      <c r="I86" s="436">
        <f t="shared" si="298"/>
        <v>195022</v>
      </c>
      <c r="J86" s="437">
        <f t="shared" si="298"/>
        <v>176647</v>
      </c>
      <c r="K86" s="436">
        <f t="shared" si="298"/>
        <v>161374</v>
      </c>
      <c r="L86" s="436">
        <f t="shared" si="298"/>
        <v>169759</v>
      </c>
      <c r="M86" s="436">
        <f t="shared" si="298"/>
        <v>221932</v>
      </c>
      <c r="N86" s="437">
        <f>SUM(N87,N88,N89,N90,N91)</f>
        <v>219540</v>
      </c>
      <c r="O86" s="436">
        <f>SUM(O87,O88,O89,O90,O91)</f>
        <v>354377</v>
      </c>
      <c r="P86" s="436">
        <f t="shared" ref="P86:R86" si="299">SUM(P87,P88,P89,P90,P91)</f>
        <v>424235</v>
      </c>
      <c r="Q86" s="436">
        <f t="shared" si="299"/>
        <v>525523</v>
      </c>
      <c r="R86" s="437">
        <f t="shared" si="299"/>
        <v>651891</v>
      </c>
      <c r="S86" s="436">
        <f t="shared" ref="S86" si="300">SUM(S87,S88,S89,S90,S91)</f>
        <v>542232</v>
      </c>
      <c r="T86" s="436">
        <f t="shared" ref="T86" si="301">SUM(T87,T88,T89,T90,T91)</f>
        <v>537932</v>
      </c>
      <c r="U86" s="438">
        <f t="shared" ref="U86:AA86" si="302">SUM(U87,U88,U89,U90,U91)</f>
        <v>499775</v>
      </c>
      <c r="V86" s="438">
        <f t="shared" si="302"/>
        <v>1194123</v>
      </c>
      <c r="W86" s="439">
        <f t="shared" si="302"/>
        <v>1732055</v>
      </c>
      <c r="X86" s="440">
        <f t="shared" si="302"/>
        <v>2231830</v>
      </c>
      <c r="Y86" s="441">
        <f t="shared" si="302"/>
        <v>402833</v>
      </c>
      <c r="Z86" s="439">
        <f t="shared" si="302"/>
        <v>370977</v>
      </c>
      <c r="AA86" s="436">
        <f t="shared" si="302"/>
        <v>343201</v>
      </c>
      <c r="AB86" s="438">
        <f t="shared" ref="AB86" si="303">SUM(AB87,AB88,AB89,AB90,AB91)</f>
        <v>405138</v>
      </c>
      <c r="AC86" s="439">
        <f>SUM(AC87,AC88,AC89,AC90,AC91)</f>
        <v>773810</v>
      </c>
      <c r="AD86" s="439">
        <f>SUM(AD87,AD88,AD89,AD90,AD91)</f>
        <v>1117011</v>
      </c>
      <c r="AE86" s="440">
        <f>SUM(AE87,AE88,AE89,AE90,AE91)</f>
        <v>1522149</v>
      </c>
      <c r="AF86" s="439">
        <f>SUM(AF87,AF88,AF89,AF90,AF91)</f>
        <v>353980</v>
      </c>
      <c r="AG86" s="439">
        <f>AJ86-AF86</f>
        <v>382248</v>
      </c>
      <c r="AH86" s="439">
        <f>AK86-AJ86</f>
        <v>374636</v>
      </c>
      <c r="AI86" s="439">
        <f>AL86-AK86</f>
        <v>363445</v>
      </c>
      <c r="AJ86" s="439">
        <f>SUM(AJ87,AJ88,AJ89,AJ90,AJ91)</f>
        <v>736228</v>
      </c>
      <c r="AK86" s="439">
        <f>SUM(AK87,AK88,AK89,AK90,AK91)</f>
        <v>1110864</v>
      </c>
      <c r="AL86" s="440">
        <f>SUM(AL87,AL88,AL89,AL90,AL91)</f>
        <v>1474309</v>
      </c>
      <c r="AM86" s="439">
        <f>SUM(AM87,AM88,AM89,AM90,AM91)</f>
        <v>320103</v>
      </c>
      <c r="AN86" s="439">
        <f>AQ86-AM86</f>
        <v>303945</v>
      </c>
      <c r="AO86" s="439">
        <f>AR86-AQ86</f>
        <v>300065</v>
      </c>
      <c r="AP86" s="439">
        <f>AS86-AR86</f>
        <v>277777</v>
      </c>
      <c r="AQ86" s="439">
        <f>SUM(AQ87,AQ88,AQ89,AQ90,AQ91)</f>
        <v>624048</v>
      </c>
      <c r="AR86" s="439">
        <f>SUM(AR87,AR88,AR89,AR90,AR91)</f>
        <v>924113</v>
      </c>
      <c r="AS86" s="440">
        <f>SUM(AS87,AS88,AS89,AS90,AS91)</f>
        <v>1201890</v>
      </c>
      <c r="AT86" s="439">
        <f t="shared" ref="AT86:BB86" si="304">SUM(AT87,AT88,AT89,AT90,AT91,AT92)-AT93</f>
        <v>223162.89850000001</v>
      </c>
      <c r="AU86" s="439">
        <f t="shared" si="304"/>
        <v>229482.91339999999</v>
      </c>
      <c r="AV86" s="439">
        <f t="shared" si="304"/>
        <v>273620.10499999998</v>
      </c>
      <c r="AW86" s="439">
        <f t="shared" si="304"/>
        <v>293070.00160000002</v>
      </c>
      <c r="AX86" s="439">
        <f t="shared" si="304"/>
        <v>452645.81189999997</v>
      </c>
      <c r="AY86" s="439">
        <f t="shared" si="304"/>
        <v>726265.91690000007</v>
      </c>
      <c r="AZ86" s="439">
        <f t="shared" si="304"/>
        <v>1019335.9185</v>
      </c>
      <c r="BA86" s="439">
        <f t="shared" si="304"/>
        <v>263256</v>
      </c>
      <c r="BB86" s="439">
        <f t="shared" si="304"/>
        <v>225053</v>
      </c>
      <c r="BC86" s="439">
        <f t="shared" ref="BC86:BD86" si="305">SUM(BC87,BC88,BC89,BC90,BC91,BC92)-BC93</f>
        <v>246457</v>
      </c>
      <c r="BD86" s="439">
        <f t="shared" si="305"/>
        <v>269393</v>
      </c>
      <c r="BE86" s="439">
        <f>SUM(BE87,BE88,BE89,BE90,BE91,BE92)-BE93</f>
        <v>488309</v>
      </c>
      <c r="BF86" s="744">
        <f>SUM(BF87,BF88,BF89,BF90,BF91,BF92)-BF93</f>
        <v>734766</v>
      </c>
      <c r="BG86" s="744">
        <f>SUM(BG87,BG88,BG89,BG90,BG91,BG92)-BG93</f>
        <v>1004159</v>
      </c>
      <c r="BH86" s="744">
        <f>SUM(BH87,BH88,BH89,BH90,BH91,BH92)-BH93</f>
        <v>251705</v>
      </c>
      <c r="BI86" s="744">
        <f t="shared" ref="BI86:BL86" si="306">SUM(BI87,BI88,BI89,BI90,BI91,BI92)-BI93</f>
        <v>267362</v>
      </c>
      <c r="BJ86" s="744">
        <f t="shared" si="306"/>
        <v>297772</v>
      </c>
      <c r="BK86" s="744">
        <f t="shared" si="306"/>
        <v>265282</v>
      </c>
      <c r="BL86" s="744">
        <f t="shared" si="306"/>
        <v>519067</v>
      </c>
      <c r="BM86" s="744">
        <f t="shared" ref="BM86:BN86" si="307">SUM(BM87,BM88,BM89,BM90,BM91,BM92)-BM93</f>
        <v>816839</v>
      </c>
      <c r="BN86" s="744">
        <f t="shared" si="307"/>
        <v>1082121</v>
      </c>
      <c r="BO86" s="744">
        <f t="shared" ref="BO86:BS86" si="308">SUM(BO87,BO88,BO89,BO90,BO91,BO92)-BO93</f>
        <v>186923</v>
      </c>
      <c r="BP86" s="744">
        <f t="shared" si="308"/>
        <v>199954</v>
      </c>
      <c r="BQ86" s="744">
        <f t="shared" si="308"/>
        <v>201866</v>
      </c>
      <c r="BR86" s="744">
        <f t="shared" si="308"/>
        <v>242045</v>
      </c>
      <c r="BS86" s="744">
        <f t="shared" si="308"/>
        <v>690844</v>
      </c>
      <c r="BT86" s="744">
        <f t="shared" ref="BT86:BU86" si="309">SUM(BT87,BT88,BT89,BT90,BT91,BT92)-BT93</f>
        <v>892710</v>
      </c>
      <c r="BU86" s="744">
        <f t="shared" si="309"/>
        <v>1134755</v>
      </c>
      <c r="BV86" s="744">
        <f t="shared" ref="BV86:BY86" si="310">SUM(BV87,BV88,BV89,BV90,BV91,BV92)-BV93</f>
        <v>224014</v>
      </c>
      <c r="BW86" s="744">
        <f t="shared" si="310"/>
        <v>217609</v>
      </c>
      <c r="BX86" s="744">
        <f t="shared" si="310"/>
        <v>327661</v>
      </c>
      <c r="BY86" s="744">
        <f t="shared" si="310"/>
        <v>272701</v>
      </c>
      <c r="BZ86" s="744">
        <f t="shared" ref="BZ86:CA86" si="311">SUM(BZ87,BZ88,BZ89,BZ90,BZ91,BZ92)-BZ93</f>
        <v>443103</v>
      </c>
      <c r="CA86" s="744">
        <f t="shared" si="311"/>
        <v>770764</v>
      </c>
      <c r="CB86" s="744">
        <f t="shared" ref="CB86:CC86" si="312">SUM(CB87,CB88,CB89,CB90,CB91,CB92)-CB93</f>
        <v>1043465</v>
      </c>
      <c r="CC86" s="744">
        <f t="shared" si="312"/>
        <v>263096</v>
      </c>
      <c r="CD86" s="744">
        <f t="shared" ref="CD86" si="313">SUM(CD87,CD88,CD89,CD90,CD91,CD92)-CD93</f>
        <v>324184</v>
      </c>
      <c r="CE86" s="744">
        <f t="shared" ref="CE86:CG86" si="314">SUM(CE87,CE88,CE89,CE90,CE91,CE92)-CE93</f>
        <v>438964</v>
      </c>
      <c r="CF86" s="744">
        <f t="shared" si="314"/>
        <v>334594</v>
      </c>
      <c r="CG86" s="744">
        <f t="shared" si="314"/>
        <v>587280</v>
      </c>
      <c r="CH86" s="744">
        <f t="shared" ref="CH86:CI86" si="315">SUM(CH87,CH88,CH89,CH90,CH91,CH92)-CH93</f>
        <v>1026244</v>
      </c>
      <c r="CI86" s="744">
        <f t="shared" si="315"/>
        <v>1360838</v>
      </c>
      <c r="CJ86" s="744">
        <v>281685</v>
      </c>
      <c r="CK86" s="744">
        <f t="shared" ref="CK86" si="316">SUM(CK87,CK88,CK89,CK90,CK91,CK92)-CK93</f>
        <v>262661</v>
      </c>
      <c r="CL86" s="744">
        <f t="shared" ref="CL86:CO86" si="317">SUM(CL87,CL88,CL89,CL90,CL91,CL92)-CL93</f>
        <v>0</v>
      </c>
      <c r="CM86" s="744">
        <f t="shared" si="317"/>
        <v>0</v>
      </c>
      <c r="CN86" s="744">
        <f t="shared" si="317"/>
        <v>544346</v>
      </c>
      <c r="CO86" s="744">
        <f t="shared" si="317"/>
        <v>0</v>
      </c>
    </row>
    <row r="87" spans="1:93" s="289" customFormat="1" x14ac:dyDescent="0.25">
      <c r="A87" s="442" t="str">
        <f>Language!C83</f>
        <v>Concepa</v>
      </c>
      <c r="B87" s="443">
        <f t="shared" ref="B87:AF87" si="318">SUM(B95,B110,B117)</f>
        <v>70255</v>
      </c>
      <c r="C87" s="443">
        <f t="shared" si="318"/>
        <v>33663</v>
      </c>
      <c r="D87" s="443">
        <f t="shared" si="318"/>
        <v>48834</v>
      </c>
      <c r="E87" s="443">
        <f t="shared" si="318"/>
        <v>65567</v>
      </c>
      <c r="F87" s="444">
        <f t="shared" si="318"/>
        <v>72050</v>
      </c>
      <c r="G87" s="443">
        <f t="shared" si="318"/>
        <v>58790</v>
      </c>
      <c r="H87" s="443">
        <f t="shared" si="318"/>
        <v>58898</v>
      </c>
      <c r="I87" s="443">
        <f t="shared" si="318"/>
        <v>74420</v>
      </c>
      <c r="J87" s="444">
        <f t="shared" si="318"/>
        <v>73305</v>
      </c>
      <c r="K87" s="443">
        <f t="shared" si="318"/>
        <v>60124</v>
      </c>
      <c r="L87" s="443">
        <f t="shared" si="318"/>
        <v>56516</v>
      </c>
      <c r="M87" s="443">
        <f t="shared" si="318"/>
        <v>77977</v>
      </c>
      <c r="N87" s="444">
        <f t="shared" si="318"/>
        <v>84653</v>
      </c>
      <c r="O87" s="443">
        <f t="shared" si="318"/>
        <v>73613</v>
      </c>
      <c r="P87" s="443">
        <f t="shared" si="318"/>
        <v>103906</v>
      </c>
      <c r="Q87" s="443">
        <f t="shared" si="318"/>
        <v>149026</v>
      </c>
      <c r="R87" s="444">
        <f t="shared" si="318"/>
        <v>147933</v>
      </c>
      <c r="S87" s="443">
        <f t="shared" si="318"/>
        <v>130540</v>
      </c>
      <c r="T87" s="443">
        <f t="shared" si="318"/>
        <v>126545</v>
      </c>
      <c r="U87" s="445">
        <f t="shared" si="318"/>
        <v>67385</v>
      </c>
      <c r="V87" s="445">
        <f t="shared" si="318"/>
        <v>278473</v>
      </c>
      <c r="W87" s="446">
        <f t="shared" si="318"/>
        <v>405018</v>
      </c>
      <c r="X87" s="447">
        <f t="shared" si="318"/>
        <v>472403</v>
      </c>
      <c r="Y87" s="448">
        <f t="shared" si="318"/>
        <v>102061</v>
      </c>
      <c r="Z87" s="446">
        <f t="shared" si="318"/>
        <v>79771</v>
      </c>
      <c r="AA87" s="443">
        <f t="shared" si="318"/>
        <v>76967</v>
      </c>
      <c r="AB87" s="445">
        <f t="shared" si="318"/>
        <v>94054</v>
      </c>
      <c r="AC87" s="446">
        <f t="shared" si="318"/>
        <v>181832</v>
      </c>
      <c r="AD87" s="446">
        <f t="shared" si="318"/>
        <v>258799</v>
      </c>
      <c r="AE87" s="447">
        <f t="shared" si="318"/>
        <v>352853</v>
      </c>
      <c r="AF87" s="446">
        <f t="shared" si="318"/>
        <v>116663</v>
      </c>
      <c r="AG87" s="446">
        <f t="shared" ref="AG87:AG121" si="319">AJ87-AF87</f>
        <v>104822.76177777778</v>
      </c>
      <c r="AH87" s="446">
        <f t="shared" ref="AH87:AH179" si="320">AK87-AJ87</f>
        <v>55277.238222222222</v>
      </c>
      <c r="AI87" s="446">
        <f t="shared" ref="AI87:AI179" si="321">AL87-AK87</f>
        <v>55183</v>
      </c>
      <c r="AJ87" s="446">
        <f t="shared" ref="AJ87:AM91" si="322">SUM(AJ95,AJ110,AJ117)</f>
        <v>221485.76177777778</v>
      </c>
      <c r="AK87" s="446">
        <f t="shared" si="322"/>
        <v>276763</v>
      </c>
      <c r="AL87" s="447">
        <f t="shared" si="322"/>
        <v>331946</v>
      </c>
      <c r="AM87" s="446">
        <f t="shared" si="322"/>
        <v>59012</v>
      </c>
      <c r="AN87" s="446">
        <f t="shared" ref="AN87:AN179" si="323">AQ87-AM87</f>
        <v>43440</v>
      </c>
      <c r="AO87" s="446">
        <f t="shared" ref="AO87:AP179" si="324">AR87-AQ87</f>
        <v>1203</v>
      </c>
      <c r="AP87" s="446">
        <f t="shared" si="324"/>
        <v>35.261703444004524</v>
      </c>
      <c r="AQ87" s="446">
        <f t="shared" ref="AQ87:AT91" si="325">SUM(AQ95,AQ110,AQ117)</f>
        <v>102452</v>
      </c>
      <c r="AR87" s="446">
        <f t="shared" si="325"/>
        <v>103655</v>
      </c>
      <c r="AS87" s="447">
        <f t="shared" si="325"/>
        <v>103690.261703444</v>
      </c>
      <c r="AT87" s="446">
        <f t="shared" si="325"/>
        <v>0</v>
      </c>
      <c r="AU87" s="446">
        <f t="shared" ref="AU87:AU92" si="326">SUM(AU95,AU110,AU117,AU102)</f>
        <v>648</v>
      </c>
      <c r="AV87" s="446">
        <f>SUM(AV95,AV110,AV117)</f>
        <v>65</v>
      </c>
      <c r="AW87" s="446">
        <f>AZ87-AY87</f>
        <v>-713</v>
      </c>
      <c r="AX87" s="446">
        <f t="shared" ref="AX87:BF87" si="327">SUM(AX95,AX110,AX117,AX102)</f>
        <v>648</v>
      </c>
      <c r="AY87" s="446">
        <f t="shared" si="327"/>
        <v>713</v>
      </c>
      <c r="AZ87" s="446">
        <f>SUM(AZ95,AZ110,AZ117,AZ102)</f>
        <v>0</v>
      </c>
      <c r="BA87" s="446">
        <f t="shared" si="327"/>
        <v>0</v>
      </c>
      <c r="BB87" s="446">
        <f t="shared" si="327"/>
        <v>0</v>
      </c>
      <c r="BC87" s="446">
        <f t="shared" si="327"/>
        <v>0</v>
      </c>
      <c r="BD87" s="446">
        <f t="shared" si="327"/>
        <v>0</v>
      </c>
      <c r="BE87" s="446">
        <f t="shared" si="327"/>
        <v>0</v>
      </c>
      <c r="BF87" s="446">
        <f t="shared" si="327"/>
        <v>0</v>
      </c>
      <c r="BG87" s="446">
        <f t="shared" ref="BG87:BH87" si="328">SUM(BG95,BG110,BG117,BG102)</f>
        <v>0</v>
      </c>
      <c r="BH87" s="446">
        <f t="shared" si="328"/>
        <v>0</v>
      </c>
      <c r="BI87" s="446">
        <f t="shared" ref="BI87:BL87" si="329">SUM(BI95,BI110,BI117,BI102)</f>
        <v>0</v>
      </c>
      <c r="BJ87" s="446">
        <f t="shared" si="329"/>
        <v>0</v>
      </c>
      <c r="BK87" s="446">
        <f t="shared" si="329"/>
        <v>0</v>
      </c>
      <c r="BL87" s="446">
        <f t="shared" si="329"/>
        <v>0</v>
      </c>
      <c r="BM87" s="446">
        <f t="shared" ref="BM87:BN87" si="330">SUM(BM95,BM110,BM117,BM102)</f>
        <v>0</v>
      </c>
      <c r="BN87" s="446">
        <f t="shared" si="330"/>
        <v>0</v>
      </c>
      <c r="BO87" s="446">
        <f t="shared" ref="BO87:BR87" si="331">SUM(BO95,BO110,BO117,BO102)</f>
        <v>0</v>
      </c>
      <c r="BP87" s="446">
        <f t="shared" si="331"/>
        <v>0</v>
      </c>
      <c r="BQ87" s="446">
        <f t="shared" ref="BQ87:BQ92" si="332">SUM(BQ95,BQ110,BQ117,BQ102,BQ125)</f>
        <v>0</v>
      </c>
      <c r="BR87" s="446">
        <f t="shared" si="331"/>
        <v>0</v>
      </c>
      <c r="BS87" s="446">
        <f t="shared" ref="BS87:BS92" si="333">SUM(BS95,BS110,BS117,BS102,BS125)</f>
        <v>0</v>
      </c>
      <c r="BT87" s="446">
        <f t="shared" ref="BT87:BU92" si="334">SUM(BT95,BT110,BT117,BT102,BT125)</f>
        <v>0</v>
      </c>
      <c r="BU87" s="446">
        <f t="shared" si="334"/>
        <v>0</v>
      </c>
      <c r="BV87" s="446">
        <f t="shared" ref="BV87:BY87" si="335">SUM(BV95,BV110,BV117,BV102,BV125)</f>
        <v>0</v>
      </c>
      <c r="BW87" s="446">
        <f t="shared" si="335"/>
        <v>0</v>
      </c>
      <c r="BX87" s="446">
        <f t="shared" si="335"/>
        <v>0</v>
      </c>
      <c r="BY87" s="446">
        <f t="shared" si="335"/>
        <v>0</v>
      </c>
      <c r="BZ87" s="446">
        <f t="shared" ref="BZ87:CA87" si="336">SUM(BZ95,BZ110,BZ117,BZ102,BZ125)</f>
        <v>0</v>
      </c>
      <c r="CA87" s="446">
        <f t="shared" si="336"/>
        <v>0</v>
      </c>
      <c r="CB87" s="446">
        <f t="shared" ref="CB87:CC87" si="337">SUM(CB95,CB110,CB117,CB102,CB125)</f>
        <v>0</v>
      </c>
      <c r="CC87" s="446">
        <f t="shared" si="337"/>
        <v>0</v>
      </c>
      <c r="CD87" s="446">
        <f t="shared" ref="CD87" si="338">SUM(CD95,CD110,CD117,CD102,CD125)</f>
        <v>0</v>
      </c>
      <c r="CE87" s="446">
        <f t="shared" ref="CE87:CG87" si="339">SUM(CE95,CE110,CE117,CE102,CE125)</f>
        <v>0</v>
      </c>
      <c r="CF87" s="446">
        <f t="shared" si="339"/>
        <v>0</v>
      </c>
      <c r="CG87" s="446">
        <f t="shared" si="339"/>
        <v>0</v>
      </c>
      <c r="CH87" s="446">
        <f t="shared" ref="CH87:CI87" si="340">SUM(CH95,CH110,CH117,CH102,CH125)</f>
        <v>0</v>
      </c>
      <c r="CI87" s="446">
        <f t="shared" si="340"/>
        <v>0</v>
      </c>
      <c r="CJ87" s="446">
        <v>0</v>
      </c>
      <c r="CK87" s="446">
        <f t="shared" ref="CK87" si="341">SUM(CK95,CK110,CK117,CK102,CK125)</f>
        <v>0</v>
      </c>
      <c r="CL87" s="446">
        <f t="shared" ref="CL87:CO87" si="342">SUM(CL95,CL110,CL117,CL102,CL125)</f>
        <v>0</v>
      </c>
      <c r="CM87" s="446">
        <f t="shared" si="342"/>
        <v>0</v>
      </c>
      <c r="CN87" s="446">
        <f t="shared" si="342"/>
        <v>0</v>
      </c>
      <c r="CO87" s="446">
        <f t="shared" si="342"/>
        <v>0</v>
      </c>
    </row>
    <row r="88" spans="1:93" s="289" customFormat="1" x14ac:dyDescent="0.25">
      <c r="A88" s="442" t="str">
        <f>Language!C84</f>
        <v>Concer</v>
      </c>
      <c r="B88" s="443">
        <f t="shared" ref="B88:AF88" si="343">SUM(B96,B111,B118)</f>
        <v>37882</v>
      </c>
      <c r="C88" s="443">
        <f t="shared" si="343"/>
        <v>37625</v>
      </c>
      <c r="D88" s="443">
        <f t="shared" si="343"/>
        <v>45304</v>
      </c>
      <c r="E88" s="443">
        <f t="shared" si="343"/>
        <v>51636</v>
      </c>
      <c r="F88" s="444">
        <f t="shared" si="343"/>
        <v>44243</v>
      </c>
      <c r="G88" s="443">
        <f t="shared" si="343"/>
        <v>43428</v>
      </c>
      <c r="H88" s="443">
        <f t="shared" si="343"/>
        <v>49029</v>
      </c>
      <c r="I88" s="443">
        <f t="shared" si="343"/>
        <v>61387</v>
      </c>
      <c r="J88" s="444">
        <f t="shared" si="343"/>
        <v>50821</v>
      </c>
      <c r="K88" s="443">
        <f t="shared" si="343"/>
        <v>50387</v>
      </c>
      <c r="L88" s="443">
        <f t="shared" si="343"/>
        <v>53557</v>
      </c>
      <c r="M88" s="443">
        <f t="shared" si="343"/>
        <v>64623</v>
      </c>
      <c r="N88" s="444">
        <f t="shared" si="343"/>
        <v>63910</v>
      </c>
      <c r="O88" s="443">
        <f t="shared" si="343"/>
        <v>125509</v>
      </c>
      <c r="P88" s="443">
        <f t="shared" si="343"/>
        <v>158973</v>
      </c>
      <c r="Q88" s="443">
        <f t="shared" si="343"/>
        <v>66413</v>
      </c>
      <c r="R88" s="444">
        <f t="shared" si="343"/>
        <v>275158</v>
      </c>
      <c r="S88" s="443">
        <f t="shared" si="343"/>
        <v>91167</v>
      </c>
      <c r="T88" s="443">
        <f t="shared" si="343"/>
        <v>74172</v>
      </c>
      <c r="U88" s="445">
        <f t="shared" si="343"/>
        <v>72778</v>
      </c>
      <c r="V88" s="445">
        <f t="shared" si="343"/>
        <v>366325</v>
      </c>
      <c r="W88" s="446">
        <f t="shared" si="343"/>
        <v>440497</v>
      </c>
      <c r="X88" s="447">
        <f t="shared" si="343"/>
        <v>513275</v>
      </c>
      <c r="Y88" s="448">
        <f t="shared" si="343"/>
        <v>71390</v>
      </c>
      <c r="Z88" s="446">
        <f t="shared" si="343"/>
        <v>62270</v>
      </c>
      <c r="AA88" s="443">
        <f t="shared" si="343"/>
        <v>51627</v>
      </c>
      <c r="AB88" s="445">
        <f t="shared" si="343"/>
        <v>48950</v>
      </c>
      <c r="AC88" s="446">
        <f t="shared" si="343"/>
        <v>133660</v>
      </c>
      <c r="AD88" s="446">
        <f t="shared" si="343"/>
        <v>185287</v>
      </c>
      <c r="AE88" s="447">
        <f t="shared" si="343"/>
        <v>234237</v>
      </c>
      <c r="AF88" s="446">
        <f t="shared" si="343"/>
        <v>50511</v>
      </c>
      <c r="AG88" s="446">
        <f t="shared" si="319"/>
        <v>92465.239111111121</v>
      </c>
      <c r="AH88" s="446">
        <f t="shared" si="320"/>
        <v>51797.760888888879</v>
      </c>
      <c r="AI88" s="446">
        <f t="shared" si="321"/>
        <v>52415</v>
      </c>
      <c r="AJ88" s="446">
        <f t="shared" si="322"/>
        <v>142976.23911111112</v>
      </c>
      <c r="AK88" s="446">
        <f t="shared" si="322"/>
        <v>194774</v>
      </c>
      <c r="AL88" s="447">
        <f t="shared" si="322"/>
        <v>247189</v>
      </c>
      <c r="AM88" s="446">
        <f t="shared" si="322"/>
        <v>47767</v>
      </c>
      <c r="AN88" s="446">
        <f t="shared" si="323"/>
        <v>44959</v>
      </c>
      <c r="AO88" s="446">
        <f t="shared" si="324"/>
        <v>53599</v>
      </c>
      <c r="AP88" s="446">
        <f t="shared" si="324"/>
        <v>55208.278407919162</v>
      </c>
      <c r="AQ88" s="446">
        <f t="shared" si="325"/>
        <v>92726</v>
      </c>
      <c r="AR88" s="446">
        <f t="shared" si="325"/>
        <v>146325</v>
      </c>
      <c r="AS88" s="447">
        <f t="shared" si="325"/>
        <v>201533.27840791916</v>
      </c>
      <c r="AT88" s="446">
        <f t="shared" si="325"/>
        <v>55249.898499999996</v>
      </c>
      <c r="AU88" s="446">
        <f t="shared" si="326"/>
        <v>57306.913399999998</v>
      </c>
      <c r="AV88" s="446">
        <f>SUM(AV96,AV111,AV118)</f>
        <v>58702.104999999996</v>
      </c>
      <c r="AW88" s="446">
        <f t="shared" ref="AW88:BF88" si="344">SUM(AW96,AW111,AW118,AW103)</f>
        <v>61727.001600000018</v>
      </c>
      <c r="AX88" s="446">
        <f t="shared" si="344"/>
        <v>112556.8119</v>
      </c>
      <c r="AY88" s="446">
        <f t="shared" si="344"/>
        <v>171258.91690000001</v>
      </c>
      <c r="AZ88" s="446">
        <f t="shared" si="344"/>
        <v>232985.9185</v>
      </c>
      <c r="BA88" s="446">
        <f t="shared" si="344"/>
        <v>55141</v>
      </c>
      <c r="BB88" s="446">
        <f t="shared" si="344"/>
        <v>38293</v>
      </c>
      <c r="BC88" s="446">
        <f t="shared" si="344"/>
        <v>54024</v>
      </c>
      <c r="BD88" s="446">
        <f t="shared" si="344"/>
        <v>59111</v>
      </c>
      <c r="BE88" s="446">
        <f t="shared" si="344"/>
        <v>93434</v>
      </c>
      <c r="BF88" s="446">
        <f t="shared" si="344"/>
        <v>147458</v>
      </c>
      <c r="BG88" s="446">
        <f t="shared" ref="BG88:BH88" si="345">SUM(BG96,BG111,BG118,BG103)</f>
        <v>206569</v>
      </c>
      <c r="BH88" s="446">
        <f t="shared" si="345"/>
        <v>54263</v>
      </c>
      <c r="BI88" s="446">
        <f t="shared" ref="BI88:BL88" si="346">SUM(BI96,BI111,BI118,BI103)</f>
        <v>52240</v>
      </c>
      <c r="BJ88" s="446">
        <f t="shared" si="346"/>
        <v>57837</v>
      </c>
      <c r="BK88" s="446">
        <f t="shared" si="346"/>
        <v>59680</v>
      </c>
      <c r="BL88" s="446">
        <f t="shared" si="346"/>
        <v>106503</v>
      </c>
      <c r="BM88" s="446">
        <f t="shared" ref="BM88:BN88" si="347">SUM(BM96,BM111,BM118,BM103)</f>
        <v>164340</v>
      </c>
      <c r="BN88" s="446">
        <f t="shared" si="347"/>
        <v>224020</v>
      </c>
      <c r="BO88" s="446">
        <f t="shared" ref="BO88:BR88" si="348">SUM(BO96,BO111,BO118,BO103)</f>
        <v>54741</v>
      </c>
      <c r="BP88" s="446">
        <f t="shared" si="348"/>
        <v>57420</v>
      </c>
      <c r="BQ88" s="446">
        <f t="shared" si="332"/>
        <v>65779</v>
      </c>
      <c r="BR88" s="446">
        <f t="shared" si="348"/>
        <v>64091</v>
      </c>
      <c r="BS88" s="446">
        <f t="shared" si="333"/>
        <v>112161</v>
      </c>
      <c r="BT88" s="446">
        <f t="shared" si="334"/>
        <v>177940</v>
      </c>
      <c r="BU88" s="446">
        <f t="shared" si="334"/>
        <v>242031</v>
      </c>
      <c r="BV88" s="446">
        <f t="shared" ref="BV88:BY88" si="349">SUM(BV96,BV111,BV118,BV103,BV126)</f>
        <v>69253</v>
      </c>
      <c r="BW88" s="446">
        <f t="shared" si="349"/>
        <v>69565</v>
      </c>
      <c r="BX88" s="446">
        <f t="shared" si="349"/>
        <v>70625</v>
      </c>
      <c r="BY88" s="446">
        <f t="shared" si="349"/>
        <v>73500</v>
      </c>
      <c r="BZ88" s="446">
        <f t="shared" ref="BZ88:CA88" si="350">SUM(BZ96,BZ111,BZ118,BZ103,BZ126)</f>
        <v>140298</v>
      </c>
      <c r="CA88" s="446">
        <f t="shared" si="350"/>
        <v>210923</v>
      </c>
      <c r="CB88" s="446">
        <f t="shared" ref="CB88:CC88" si="351">SUM(CB96,CB111,CB118,CB103,CB126)</f>
        <v>284423</v>
      </c>
      <c r="CC88" s="446">
        <f t="shared" si="351"/>
        <v>78795</v>
      </c>
      <c r="CD88" s="446">
        <f t="shared" ref="CD88" si="352">SUM(CD96,CD111,CD118,CD103,CD126)</f>
        <v>83630</v>
      </c>
      <c r="CE88" s="446">
        <f t="shared" ref="CE88:CG88" si="353">SUM(CE96,CE111,CE118,CE103,CE126)</f>
        <v>85309</v>
      </c>
      <c r="CF88" s="446">
        <f t="shared" si="353"/>
        <v>85888</v>
      </c>
      <c r="CG88" s="446">
        <f t="shared" si="353"/>
        <v>162425</v>
      </c>
      <c r="CH88" s="446">
        <f t="shared" ref="CH88:CI88" si="354">SUM(CH96,CH111,CH118,CH103,CH126)</f>
        <v>247734</v>
      </c>
      <c r="CI88" s="446">
        <f t="shared" si="354"/>
        <v>333622</v>
      </c>
      <c r="CJ88" s="446">
        <v>79121</v>
      </c>
      <c r="CK88" s="446">
        <f t="shared" ref="CK88" si="355">SUM(CK96,CK111,CK118,CK103,CK126)</f>
        <v>77334</v>
      </c>
      <c r="CL88" s="446">
        <f t="shared" ref="CL88:CO88" si="356">SUM(CL96,CL111,CL118,CL103,CL126)</f>
        <v>0</v>
      </c>
      <c r="CM88" s="446">
        <f t="shared" si="356"/>
        <v>0</v>
      </c>
      <c r="CN88" s="446">
        <f t="shared" si="356"/>
        <v>156455</v>
      </c>
      <c r="CO88" s="446">
        <f t="shared" si="356"/>
        <v>0</v>
      </c>
    </row>
    <row r="89" spans="1:93" s="289" customFormat="1" x14ac:dyDescent="0.25">
      <c r="A89" s="442" t="str">
        <f>Language!C85</f>
        <v>Econorte</v>
      </c>
      <c r="B89" s="443">
        <f t="shared" ref="B89:AF89" si="357">SUM(B97,B112,B119)</f>
        <v>35863</v>
      </c>
      <c r="C89" s="443">
        <f t="shared" si="357"/>
        <v>39863</v>
      </c>
      <c r="D89" s="443">
        <f t="shared" si="357"/>
        <v>40613</v>
      </c>
      <c r="E89" s="443">
        <f t="shared" si="357"/>
        <v>43586</v>
      </c>
      <c r="F89" s="444">
        <f t="shared" si="357"/>
        <v>43164</v>
      </c>
      <c r="G89" s="443">
        <f t="shared" si="357"/>
        <v>48431</v>
      </c>
      <c r="H89" s="443">
        <f t="shared" si="357"/>
        <v>48891</v>
      </c>
      <c r="I89" s="443">
        <f t="shared" si="357"/>
        <v>59215</v>
      </c>
      <c r="J89" s="444">
        <f t="shared" si="357"/>
        <v>52521</v>
      </c>
      <c r="K89" s="443">
        <f t="shared" si="357"/>
        <v>50863</v>
      </c>
      <c r="L89" s="443">
        <f t="shared" si="357"/>
        <v>59686</v>
      </c>
      <c r="M89" s="443">
        <f t="shared" si="357"/>
        <v>79332</v>
      </c>
      <c r="N89" s="444">
        <f t="shared" si="357"/>
        <v>70977</v>
      </c>
      <c r="O89" s="443">
        <f t="shared" si="357"/>
        <v>67732</v>
      </c>
      <c r="P89" s="443">
        <f t="shared" si="357"/>
        <v>68245</v>
      </c>
      <c r="Q89" s="443">
        <f t="shared" si="357"/>
        <v>62356</v>
      </c>
      <c r="R89" s="444">
        <f t="shared" si="357"/>
        <v>53019</v>
      </c>
      <c r="S89" s="443">
        <f t="shared" si="357"/>
        <v>54648</v>
      </c>
      <c r="T89" s="443">
        <f t="shared" si="357"/>
        <v>58216</v>
      </c>
      <c r="U89" s="445">
        <f t="shared" si="357"/>
        <v>65707</v>
      </c>
      <c r="V89" s="445">
        <f t="shared" si="357"/>
        <v>107667</v>
      </c>
      <c r="W89" s="446">
        <f t="shared" si="357"/>
        <v>165883</v>
      </c>
      <c r="X89" s="447">
        <f t="shared" si="357"/>
        <v>231590</v>
      </c>
      <c r="Y89" s="448">
        <f t="shared" si="357"/>
        <v>59114</v>
      </c>
      <c r="Z89" s="446">
        <f t="shared" si="357"/>
        <v>57454</v>
      </c>
      <c r="AA89" s="443">
        <f t="shared" si="357"/>
        <v>62514</v>
      </c>
      <c r="AB89" s="445">
        <f t="shared" si="357"/>
        <v>61532</v>
      </c>
      <c r="AC89" s="446">
        <f t="shared" si="357"/>
        <v>116568</v>
      </c>
      <c r="AD89" s="446">
        <f t="shared" si="357"/>
        <v>179082</v>
      </c>
      <c r="AE89" s="447">
        <f t="shared" si="357"/>
        <v>240614</v>
      </c>
      <c r="AF89" s="446">
        <f t="shared" si="357"/>
        <v>61844</v>
      </c>
      <c r="AG89" s="446">
        <f t="shared" si="319"/>
        <v>63128.57644444445</v>
      </c>
      <c r="AH89" s="446">
        <f t="shared" si="320"/>
        <v>76599.42355555555</v>
      </c>
      <c r="AI89" s="446">
        <f t="shared" si="321"/>
        <v>71423</v>
      </c>
      <c r="AJ89" s="446">
        <f t="shared" si="322"/>
        <v>124972.57644444445</v>
      </c>
      <c r="AK89" s="446">
        <f t="shared" si="322"/>
        <v>201572</v>
      </c>
      <c r="AL89" s="447">
        <f t="shared" si="322"/>
        <v>272995</v>
      </c>
      <c r="AM89" s="446">
        <f t="shared" si="322"/>
        <v>58254</v>
      </c>
      <c r="AN89" s="446">
        <f t="shared" si="323"/>
        <v>53734</v>
      </c>
      <c r="AO89" s="446">
        <f t="shared" si="324"/>
        <v>66383</v>
      </c>
      <c r="AP89" s="446">
        <f t="shared" si="324"/>
        <v>62879.9420499072</v>
      </c>
      <c r="AQ89" s="446">
        <f t="shared" si="325"/>
        <v>111988</v>
      </c>
      <c r="AR89" s="446">
        <f t="shared" si="325"/>
        <v>178371</v>
      </c>
      <c r="AS89" s="447">
        <f t="shared" si="325"/>
        <v>241250.9420499072</v>
      </c>
      <c r="AT89" s="446">
        <f t="shared" si="325"/>
        <v>41513</v>
      </c>
      <c r="AU89" s="446">
        <f t="shared" si="326"/>
        <v>41660</v>
      </c>
      <c r="AV89" s="446">
        <f>SUM(AV97,AV112,AV119)</f>
        <v>63802</v>
      </c>
      <c r="AW89" s="446">
        <f>SUM(AW97,AW112,AW119,AW104)</f>
        <v>84833</v>
      </c>
      <c r="AX89" s="446">
        <f t="shared" ref="AX89:BF89" si="358">SUM(AX97,AX112,AX119,AX104)</f>
        <v>83173</v>
      </c>
      <c r="AY89" s="446">
        <f t="shared" si="358"/>
        <v>146975</v>
      </c>
      <c r="AZ89" s="446">
        <f t="shared" si="358"/>
        <v>231808</v>
      </c>
      <c r="BA89" s="446">
        <f t="shared" si="358"/>
        <v>79448</v>
      </c>
      <c r="BB89" s="446">
        <f t="shared" si="358"/>
        <v>69878</v>
      </c>
      <c r="BC89" s="446">
        <f t="shared" si="358"/>
        <v>81687</v>
      </c>
      <c r="BD89" s="446">
        <f t="shared" si="358"/>
        <v>95940</v>
      </c>
      <c r="BE89" s="446">
        <f t="shared" si="358"/>
        <v>149326</v>
      </c>
      <c r="BF89" s="446">
        <f t="shared" si="358"/>
        <v>231013</v>
      </c>
      <c r="BG89" s="446">
        <f t="shared" ref="BG89:BH89" si="359">SUM(BG97,BG112,BG119,BG104)</f>
        <v>326953</v>
      </c>
      <c r="BH89" s="446">
        <f t="shared" si="359"/>
        <v>94046</v>
      </c>
      <c r="BI89" s="446">
        <f t="shared" ref="BI89:BL89" si="360">SUM(BI97,BI112,BI119,BI104)</f>
        <v>100609</v>
      </c>
      <c r="BJ89" s="446">
        <f t="shared" si="360"/>
        <v>105331</v>
      </c>
      <c r="BK89" s="446">
        <f t="shared" si="360"/>
        <v>70818</v>
      </c>
      <c r="BL89" s="446">
        <f t="shared" si="360"/>
        <v>194655</v>
      </c>
      <c r="BM89" s="446">
        <f t="shared" ref="BM89:BN89" si="361">SUM(BM97,BM112,BM119,BM104)</f>
        <v>299986</v>
      </c>
      <c r="BN89" s="446">
        <f t="shared" si="361"/>
        <v>370804</v>
      </c>
      <c r="BO89" s="446">
        <f t="shared" ref="BO89:BR89" si="362">SUM(BO97,BO112,BO119,BO104)</f>
        <v>0</v>
      </c>
      <c r="BP89" s="446">
        <f t="shared" si="362"/>
        <v>99</v>
      </c>
      <c r="BQ89" s="446">
        <f t="shared" si="332"/>
        <v>-99</v>
      </c>
      <c r="BR89" s="446">
        <f t="shared" si="362"/>
        <v>0</v>
      </c>
      <c r="BS89" s="446">
        <f t="shared" si="333"/>
        <v>99</v>
      </c>
      <c r="BT89" s="446">
        <f t="shared" si="334"/>
        <v>0</v>
      </c>
      <c r="BU89" s="446">
        <f t="shared" si="334"/>
        <v>0</v>
      </c>
      <c r="BV89" s="446">
        <f t="shared" ref="BV89:BY89" si="363">SUM(BV97,BV112,BV119,BV104,BV127)</f>
        <v>0</v>
      </c>
      <c r="BW89" s="446">
        <f t="shared" si="363"/>
        <v>0</v>
      </c>
      <c r="BX89" s="446">
        <f t="shared" si="363"/>
        <v>0</v>
      </c>
      <c r="BY89" s="446">
        <f t="shared" si="363"/>
        <v>0</v>
      </c>
      <c r="BZ89" s="446">
        <f t="shared" ref="BZ89:CA89" si="364">SUM(BZ97,BZ112,BZ119,BZ104,BZ127)</f>
        <v>0</v>
      </c>
      <c r="CA89" s="446">
        <f t="shared" si="364"/>
        <v>0</v>
      </c>
      <c r="CB89" s="446">
        <f t="shared" ref="CB89:CC89" si="365">SUM(CB97,CB112,CB119,CB104,CB127)</f>
        <v>0</v>
      </c>
      <c r="CC89" s="446">
        <f t="shared" si="365"/>
        <v>0</v>
      </c>
      <c r="CD89" s="446">
        <f t="shared" ref="CD89" si="366">SUM(CD97,CD112,CD119,CD104,CD127)</f>
        <v>0</v>
      </c>
      <c r="CE89" s="446">
        <f t="shared" ref="CE89:CG89" si="367">SUM(CE97,CE112,CE119,CE104,CE127)</f>
        <v>0</v>
      </c>
      <c r="CF89" s="446">
        <f t="shared" si="367"/>
        <v>0</v>
      </c>
      <c r="CG89" s="446">
        <f t="shared" si="367"/>
        <v>0</v>
      </c>
      <c r="CH89" s="446">
        <f t="shared" ref="CH89:CI89" si="368">SUM(CH97,CH112,CH119,CH104,CH127)</f>
        <v>0</v>
      </c>
      <c r="CI89" s="446">
        <f t="shared" si="368"/>
        <v>0</v>
      </c>
      <c r="CJ89" s="446">
        <v>0</v>
      </c>
      <c r="CK89" s="446">
        <f t="shared" ref="CK89" si="369">SUM(CK97,CK112,CK119,CK104,CK127)</f>
        <v>0</v>
      </c>
      <c r="CL89" s="446">
        <f t="shared" ref="CL89:CO89" si="370">SUM(CL97,CL112,CL119,CL104,CL127)</f>
        <v>0</v>
      </c>
      <c r="CM89" s="446">
        <f t="shared" si="370"/>
        <v>0</v>
      </c>
      <c r="CN89" s="446">
        <f t="shared" si="370"/>
        <v>0</v>
      </c>
      <c r="CO89" s="446">
        <f t="shared" si="370"/>
        <v>0</v>
      </c>
    </row>
    <row r="90" spans="1:93" s="289" customFormat="1" x14ac:dyDescent="0.25">
      <c r="A90" s="442" t="str">
        <f>Language!C86</f>
        <v>Concebra</v>
      </c>
      <c r="B90" s="443">
        <f t="shared" ref="B90:AF90" si="371">SUM(B98,B113,B120)</f>
        <v>0</v>
      </c>
      <c r="C90" s="443">
        <f t="shared" si="371"/>
        <v>0</v>
      </c>
      <c r="D90" s="443">
        <f t="shared" si="371"/>
        <v>0</v>
      </c>
      <c r="E90" s="443">
        <f t="shared" si="371"/>
        <v>0</v>
      </c>
      <c r="F90" s="444">
        <f t="shared" si="371"/>
        <v>0</v>
      </c>
      <c r="G90" s="443">
        <f t="shared" si="371"/>
        <v>0</v>
      </c>
      <c r="H90" s="443">
        <f t="shared" si="371"/>
        <v>0</v>
      </c>
      <c r="I90" s="443">
        <f t="shared" si="371"/>
        <v>0</v>
      </c>
      <c r="J90" s="444">
        <f t="shared" si="371"/>
        <v>0</v>
      </c>
      <c r="K90" s="443">
        <f t="shared" si="371"/>
        <v>0</v>
      </c>
      <c r="L90" s="443">
        <f t="shared" si="371"/>
        <v>0</v>
      </c>
      <c r="M90" s="443">
        <f t="shared" si="371"/>
        <v>0</v>
      </c>
      <c r="N90" s="444">
        <f t="shared" si="371"/>
        <v>0</v>
      </c>
      <c r="O90" s="443">
        <f t="shared" si="371"/>
        <v>87523</v>
      </c>
      <c r="P90" s="443">
        <f t="shared" si="371"/>
        <v>93111</v>
      </c>
      <c r="Q90" s="443">
        <f t="shared" si="371"/>
        <v>247728</v>
      </c>
      <c r="R90" s="444">
        <f t="shared" si="371"/>
        <v>137667</v>
      </c>
      <c r="S90" s="443">
        <f t="shared" si="371"/>
        <v>228737</v>
      </c>
      <c r="T90" s="443">
        <f t="shared" si="371"/>
        <v>239704</v>
      </c>
      <c r="U90" s="445">
        <f t="shared" si="371"/>
        <v>217468</v>
      </c>
      <c r="V90" s="445">
        <f t="shared" si="371"/>
        <v>366404</v>
      </c>
      <c r="W90" s="446">
        <f t="shared" si="371"/>
        <v>606108</v>
      </c>
      <c r="X90" s="447">
        <f t="shared" si="371"/>
        <v>823576</v>
      </c>
      <c r="Y90" s="448">
        <f t="shared" si="371"/>
        <v>129826</v>
      </c>
      <c r="Z90" s="446">
        <f t="shared" si="371"/>
        <v>132077</v>
      </c>
      <c r="AA90" s="443">
        <f t="shared" si="371"/>
        <v>120604</v>
      </c>
      <c r="AB90" s="445">
        <f t="shared" si="371"/>
        <v>168227</v>
      </c>
      <c r="AC90" s="446">
        <f t="shared" si="371"/>
        <v>261903</v>
      </c>
      <c r="AD90" s="446">
        <f t="shared" si="371"/>
        <v>382507</v>
      </c>
      <c r="AE90" s="447">
        <f t="shared" si="371"/>
        <v>550734</v>
      </c>
      <c r="AF90" s="446">
        <f t="shared" si="371"/>
        <v>94832</v>
      </c>
      <c r="AG90" s="446">
        <f t="shared" si="319"/>
        <v>91096</v>
      </c>
      <c r="AH90" s="446">
        <f t="shared" si="320"/>
        <v>157504</v>
      </c>
      <c r="AI90" s="446">
        <f t="shared" si="321"/>
        <v>136095</v>
      </c>
      <c r="AJ90" s="446">
        <f t="shared" si="322"/>
        <v>185928</v>
      </c>
      <c r="AK90" s="446">
        <f t="shared" si="322"/>
        <v>343432</v>
      </c>
      <c r="AL90" s="447">
        <f t="shared" si="322"/>
        <v>479527</v>
      </c>
      <c r="AM90" s="446">
        <f t="shared" si="322"/>
        <v>118619</v>
      </c>
      <c r="AN90" s="446">
        <f t="shared" si="323"/>
        <v>118786</v>
      </c>
      <c r="AO90" s="446">
        <f t="shared" si="324"/>
        <v>135184</v>
      </c>
      <c r="AP90" s="446">
        <f t="shared" si="324"/>
        <v>111642</v>
      </c>
      <c r="AQ90" s="446">
        <f t="shared" si="325"/>
        <v>237405</v>
      </c>
      <c r="AR90" s="446">
        <f t="shared" si="325"/>
        <v>372589</v>
      </c>
      <c r="AS90" s="447">
        <f t="shared" si="325"/>
        <v>484231</v>
      </c>
      <c r="AT90" s="446">
        <f t="shared" si="325"/>
        <v>91867</v>
      </c>
      <c r="AU90" s="446">
        <f t="shared" si="326"/>
        <v>94079</v>
      </c>
      <c r="AV90" s="446">
        <f>SUM(AV98,AV113,AV120)</f>
        <v>110895</v>
      </c>
      <c r="AW90" s="446">
        <f>SUM(AW98,AW113,AW120,AW105)</f>
        <v>107692</v>
      </c>
      <c r="AX90" s="446">
        <f t="shared" ref="AX90:BF90" si="372">SUM(AX98,AX113,AX120,AX105)</f>
        <v>185946</v>
      </c>
      <c r="AY90" s="446">
        <f t="shared" si="372"/>
        <v>296841</v>
      </c>
      <c r="AZ90" s="446">
        <f t="shared" si="372"/>
        <v>404533</v>
      </c>
      <c r="BA90" s="446">
        <f t="shared" si="372"/>
        <v>92990</v>
      </c>
      <c r="BB90" s="446">
        <f t="shared" si="372"/>
        <v>86199</v>
      </c>
      <c r="BC90" s="446">
        <f t="shared" si="372"/>
        <v>74021</v>
      </c>
      <c r="BD90" s="446">
        <f t="shared" si="372"/>
        <v>74827</v>
      </c>
      <c r="BE90" s="446">
        <f t="shared" si="372"/>
        <v>179189</v>
      </c>
      <c r="BF90" s="446">
        <f t="shared" si="372"/>
        <v>253210</v>
      </c>
      <c r="BG90" s="446">
        <f t="shared" ref="BG90:BH90" si="373">SUM(BG98,BG113,BG120,BG105)</f>
        <v>328037</v>
      </c>
      <c r="BH90" s="446">
        <f t="shared" si="373"/>
        <v>64314</v>
      </c>
      <c r="BI90" s="446">
        <f t="shared" ref="BI90:BL90" si="374">SUM(BI98,BI113,BI120,BI105)</f>
        <v>65762</v>
      </c>
      <c r="BJ90" s="446">
        <f t="shared" si="374"/>
        <v>70057</v>
      </c>
      <c r="BK90" s="446">
        <f t="shared" si="374"/>
        <v>67532</v>
      </c>
      <c r="BL90" s="446">
        <f t="shared" si="374"/>
        <v>130076</v>
      </c>
      <c r="BM90" s="446">
        <f t="shared" ref="BM90:BN90" si="375">SUM(BM98,BM113,BM120,BM105)</f>
        <v>200133</v>
      </c>
      <c r="BN90" s="446">
        <f t="shared" si="375"/>
        <v>267665</v>
      </c>
      <c r="BO90" s="446">
        <f t="shared" ref="BO90:BP90" si="376">SUM(BO98,BO113,BO120,BO105)</f>
        <v>69304</v>
      </c>
      <c r="BP90" s="446">
        <f t="shared" si="376"/>
        <v>73772</v>
      </c>
      <c r="BQ90" s="446">
        <f t="shared" si="332"/>
        <v>57556</v>
      </c>
      <c r="BR90" s="446">
        <f>SUM(BR98,BR113,BR120,BR105,BR128)</f>
        <v>111059</v>
      </c>
      <c r="BS90" s="446">
        <f t="shared" si="333"/>
        <v>447043</v>
      </c>
      <c r="BT90" s="446">
        <f t="shared" si="334"/>
        <v>504599</v>
      </c>
      <c r="BU90" s="446">
        <f>SUM(BU98,BU113,BU120,BU105,BU128)</f>
        <v>615658</v>
      </c>
      <c r="BV90" s="446">
        <f>SUM(BV98,BV113,BV120,BV105,BV128)</f>
        <v>90594</v>
      </c>
      <c r="BW90" s="446">
        <f t="shared" ref="BW90:BY90" si="377">SUM(BW98,BW113,BW120,BW105,BW128)</f>
        <v>83353</v>
      </c>
      <c r="BX90" s="446">
        <f t="shared" si="377"/>
        <v>178422</v>
      </c>
      <c r="BY90" s="446">
        <f t="shared" si="377"/>
        <v>125917</v>
      </c>
      <c r="BZ90" s="446">
        <f t="shared" ref="BZ90:CI90" si="378">SUM(BZ98,BZ113,BZ120,BZ105,BZ128)</f>
        <v>173947</v>
      </c>
      <c r="CA90" s="446">
        <f t="shared" si="378"/>
        <v>352369</v>
      </c>
      <c r="CB90" s="446">
        <f t="shared" si="378"/>
        <v>478286</v>
      </c>
      <c r="CC90" s="446">
        <f t="shared" si="378"/>
        <v>119044</v>
      </c>
      <c r="CD90" s="446">
        <f t="shared" si="378"/>
        <v>170536</v>
      </c>
      <c r="CE90" s="446">
        <f t="shared" si="378"/>
        <v>276133</v>
      </c>
      <c r="CF90" s="446">
        <f t="shared" si="378"/>
        <v>185832</v>
      </c>
      <c r="CG90" s="446">
        <f t="shared" si="378"/>
        <v>289580</v>
      </c>
      <c r="CH90" s="446">
        <f>SUM(CH98,CH113,CH120,CH105,CH128)</f>
        <v>565713</v>
      </c>
      <c r="CI90" s="446">
        <f t="shared" si="378"/>
        <v>751545</v>
      </c>
      <c r="CJ90" s="446">
        <v>132951</v>
      </c>
      <c r="CK90" s="446">
        <f t="shared" ref="CK90" si="379">SUM(CK98,CK113,CK120,CK105,CK128)</f>
        <v>118618</v>
      </c>
      <c r="CL90" s="446">
        <f t="shared" ref="CL90:CO90" si="380">SUM(CL98,CL113,CL120,CL105,CL128)</f>
        <v>0</v>
      </c>
      <c r="CM90" s="446">
        <f t="shared" si="380"/>
        <v>0</v>
      </c>
      <c r="CN90" s="446">
        <f t="shared" si="380"/>
        <v>251569</v>
      </c>
      <c r="CO90" s="446">
        <f t="shared" si="380"/>
        <v>0</v>
      </c>
    </row>
    <row r="91" spans="1:93" s="289" customFormat="1" x14ac:dyDescent="0.25">
      <c r="A91" s="442" t="str">
        <f>Language!C87</f>
        <v>Transbrasiliana</v>
      </c>
      <c r="B91" s="443">
        <f t="shared" ref="B91:AF91" si="381">SUM(B99,B114,B121)</f>
        <v>0</v>
      </c>
      <c r="C91" s="443">
        <f t="shared" si="381"/>
        <v>0</v>
      </c>
      <c r="D91" s="443">
        <f t="shared" si="381"/>
        <v>0</v>
      </c>
      <c r="E91" s="443">
        <f t="shared" si="381"/>
        <v>0</v>
      </c>
      <c r="F91" s="444">
        <f t="shared" si="381"/>
        <v>0</v>
      </c>
      <c r="G91" s="443">
        <f t="shared" si="381"/>
        <v>0</v>
      </c>
      <c r="H91" s="443">
        <f t="shared" si="381"/>
        <v>0</v>
      </c>
      <c r="I91" s="443">
        <f t="shared" si="381"/>
        <v>0</v>
      </c>
      <c r="J91" s="444">
        <f t="shared" si="381"/>
        <v>0</v>
      </c>
      <c r="K91" s="443">
        <f t="shared" si="381"/>
        <v>0</v>
      </c>
      <c r="L91" s="443">
        <f t="shared" si="381"/>
        <v>0</v>
      </c>
      <c r="M91" s="443">
        <f t="shared" si="381"/>
        <v>0</v>
      </c>
      <c r="N91" s="444">
        <f t="shared" si="381"/>
        <v>0</v>
      </c>
      <c r="O91" s="443">
        <f t="shared" si="381"/>
        <v>0</v>
      </c>
      <c r="P91" s="443">
        <f t="shared" si="381"/>
        <v>0</v>
      </c>
      <c r="Q91" s="443">
        <f t="shared" si="381"/>
        <v>0</v>
      </c>
      <c r="R91" s="444">
        <f t="shared" si="381"/>
        <v>38114</v>
      </c>
      <c r="S91" s="443">
        <f t="shared" si="381"/>
        <v>37140</v>
      </c>
      <c r="T91" s="443">
        <f t="shared" si="381"/>
        <v>39295</v>
      </c>
      <c r="U91" s="445">
        <f t="shared" si="381"/>
        <v>76437</v>
      </c>
      <c r="V91" s="445">
        <f t="shared" si="381"/>
        <v>75254</v>
      </c>
      <c r="W91" s="446">
        <f t="shared" si="381"/>
        <v>114549</v>
      </c>
      <c r="X91" s="447">
        <f t="shared" si="381"/>
        <v>190986</v>
      </c>
      <c r="Y91" s="448">
        <f t="shared" si="381"/>
        <v>40442</v>
      </c>
      <c r="Z91" s="446">
        <f t="shared" si="381"/>
        <v>39405</v>
      </c>
      <c r="AA91" s="443">
        <f t="shared" si="381"/>
        <v>31489</v>
      </c>
      <c r="AB91" s="445">
        <f t="shared" si="381"/>
        <v>32375</v>
      </c>
      <c r="AC91" s="446">
        <f t="shared" si="381"/>
        <v>79847</v>
      </c>
      <c r="AD91" s="446">
        <f t="shared" si="381"/>
        <v>111336</v>
      </c>
      <c r="AE91" s="447">
        <f t="shared" si="381"/>
        <v>143711</v>
      </c>
      <c r="AF91" s="446">
        <f t="shared" si="381"/>
        <v>30130</v>
      </c>
      <c r="AG91" s="446">
        <f t="shared" si="319"/>
        <v>30735.422666666665</v>
      </c>
      <c r="AH91" s="446">
        <f t="shared" si="320"/>
        <v>33457.577333333335</v>
      </c>
      <c r="AI91" s="446">
        <f t="shared" si="321"/>
        <v>48329</v>
      </c>
      <c r="AJ91" s="446">
        <f t="shared" si="322"/>
        <v>60865.422666666665</v>
      </c>
      <c r="AK91" s="446">
        <f t="shared" si="322"/>
        <v>94323</v>
      </c>
      <c r="AL91" s="447">
        <f t="shared" si="322"/>
        <v>142652</v>
      </c>
      <c r="AM91" s="446">
        <f t="shared" si="322"/>
        <v>36451</v>
      </c>
      <c r="AN91" s="446">
        <f t="shared" si="323"/>
        <v>43026</v>
      </c>
      <c r="AO91" s="446">
        <f t="shared" si="324"/>
        <v>43696</v>
      </c>
      <c r="AP91" s="446">
        <f t="shared" si="324"/>
        <v>48011.517838729633</v>
      </c>
      <c r="AQ91" s="446">
        <f t="shared" si="325"/>
        <v>79477</v>
      </c>
      <c r="AR91" s="446">
        <f t="shared" si="325"/>
        <v>123173</v>
      </c>
      <c r="AS91" s="447">
        <f t="shared" si="325"/>
        <v>171184.51783872963</v>
      </c>
      <c r="AT91" s="446">
        <f>SUM(AT99,AT114,AT121)</f>
        <v>34533</v>
      </c>
      <c r="AU91" s="446">
        <f t="shared" si="326"/>
        <v>36852</v>
      </c>
      <c r="AV91" s="446">
        <f>SUM(AV99,AV114,AV121)</f>
        <v>40355</v>
      </c>
      <c r="AW91" s="446">
        <f t="shared" ref="AW91:BF91" si="382">SUM(AW99,AW114,AW121,AW106)</f>
        <v>39095</v>
      </c>
      <c r="AX91" s="446">
        <f t="shared" si="382"/>
        <v>71385</v>
      </c>
      <c r="AY91" s="446">
        <f t="shared" si="382"/>
        <v>111740</v>
      </c>
      <c r="AZ91" s="446">
        <f t="shared" si="382"/>
        <v>150835</v>
      </c>
      <c r="BA91" s="446">
        <f t="shared" si="382"/>
        <v>35677</v>
      </c>
      <c r="BB91" s="446">
        <f t="shared" si="382"/>
        <v>30683</v>
      </c>
      <c r="BC91" s="446">
        <f t="shared" si="382"/>
        <v>37334</v>
      </c>
      <c r="BD91" s="446">
        <f t="shared" si="382"/>
        <v>39716</v>
      </c>
      <c r="BE91" s="446">
        <f t="shared" si="382"/>
        <v>66360</v>
      </c>
      <c r="BF91" s="446">
        <f t="shared" si="382"/>
        <v>103694</v>
      </c>
      <c r="BG91" s="446">
        <f t="shared" ref="BG91:BH91" si="383">SUM(BG99,BG114,BG121,BG106)</f>
        <v>143410</v>
      </c>
      <c r="BH91" s="446">
        <f t="shared" si="383"/>
        <v>39284</v>
      </c>
      <c r="BI91" s="446">
        <f t="shared" ref="BI91:BL91" si="384">SUM(BI99,BI114,BI121,BI106)</f>
        <v>48952</v>
      </c>
      <c r="BJ91" s="446">
        <f t="shared" si="384"/>
        <v>64748</v>
      </c>
      <c r="BK91" s="446">
        <f t="shared" si="384"/>
        <v>67453</v>
      </c>
      <c r="BL91" s="446">
        <f t="shared" si="384"/>
        <v>88236</v>
      </c>
      <c r="BM91" s="446">
        <f t="shared" ref="BM91:BN91" si="385">SUM(BM99,BM114,BM121,BM106)</f>
        <v>152984</v>
      </c>
      <c r="BN91" s="446">
        <f t="shared" si="385"/>
        <v>220437</v>
      </c>
      <c r="BO91" s="446">
        <f t="shared" ref="BO91:BR91" si="386">SUM(BO99,BO114,BO121,BO106)</f>
        <v>62878</v>
      </c>
      <c r="BP91" s="446">
        <f t="shared" si="386"/>
        <v>68762</v>
      </c>
      <c r="BQ91" s="446">
        <f t="shared" si="332"/>
        <v>78531</v>
      </c>
      <c r="BR91" s="446">
        <f t="shared" si="386"/>
        <v>66895</v>
      </c>
      <c r="BS91" s="446">
        <f t="shared" si="333"/>
        <v>131640</v>
      </c>
      <c r="BT91" s="446">
        <f t="shared" si="334"/>
        <v>210171</v>
      </c>
      <c r="BU91" s="446">
        <f t="shared" si="334"/>
        <v>277066</v>
      </c>
      <c r="BV91" s="446">
        <f t="shared" ref="BV91:BY91" si="387">SUM(BV99,BV114,BV121,BV106,BV129)</f>
        <v>64167</v>
      </c>
      <c r="BW91" s="446">
        <f t="shared" si="387"/>
        <v>64691</v>
      </c>
      <c r="BX91" s="446">
        <f t="shared" si="387"/>
        <v>78614</v>
      </c>
      <c r="BY91" s="446">
        <f t="shared" si="387"/>
        <v>73284</v>
      </c>
      <c r="BZ91" s="446">
        <f t="shared" ref="BZ91:CA91" si="388">SUM(BZ99,BZ114,BZ121,BZ106,BZ129)</f>
        <v>128858</v>
      </c>
      <c r="CA91" s="446">
        <f t="shared" si="388"/>
        <v>207472</v>
      </c>
      <c r="CB91" s="446">
        <f t="shared" ref="CB91:CC91" si="389">SUM(CB99,CB114,CB121,CB106,CB129)</f>
        <v>280756</v>
      </c>
      <c r="CC91" s="446">
        <f t="shared" si="389"/>
        <v>65257</v>
      </c>
      <c r="CD91" s="446">
        <f t="shared" ref="CD91" si="390">SUM(CD99,CD114,CD121,CD106,CD129)</f>
        <v>70018</v>
      </c>
      <c r="CE91" s="446">
        <f t="shared" ref="CE91:CG91" si="391">SUM(CE99,CE114,CE121,CE106,CE129)</f>
        <v>77522</v>
      </c>
      <c r="CF91" s="446">
        <f t="shared" si="391"/>
        <v>62874</v>
      </c>
      <c r="CG91" s="446">
        <f t="shared" si="391"/>
        <v>135275</v>
      </c>
      <c r="CH91" s="446">
        <f>SUM(CH99,CH114,CH121,CH106,CH129)</f>
        <v>212797</v>
      </c>
      <c r="CI91" s="446">
        <f t="shared" ref="CI91" si="392">SUM(CI99,CI114,CI121,CI106,CI129)</f>
        <v>275671</v>
      </c>
      <c r="CJ91" s="446">
        <v>69613</v>
      </c>
      <c r="CK91" s="446">
        <f t="shared" ref="CK91:CO91" si="393">SUM(CK99,CK114,CK121,CK106,CK129)</f>
        <v>66709</v>
      </c>
      <c r="CL91" s="446">
        <f t="shared" si="393"/>
        <v>0</v>
      </c>
      <c r="CM91" s="446">
        <f t="shared" si="393"/>
        <v>0</v>
      </c>
      <c r="CN91" s="446">
        <f t="shared" si="393"/>
        <v>136322</v>
      </c>
      <c r="CO91" s="446">
        <f t="shared" si="393"/>
        <v>0</v>
      </c>
    </row>
    <row r="92" spans="1:93" s="289" customFormat="1" x14ac:dyDescent="0.25">
      <c r="A92" s="753" t="s">
        <v>670</v>
      </c>
      <c r="B92" s="443"/>
      <c r="C92" s="443"/>
      <c r="D92" s="443"/>
      <c r="E92" s="443"/>
      <c r="F92" s="444"/>
      <c r="G92" s="443"/>
      <c r="H92" s="443"/>
      <c r="I92" s="443"/>
      <c r="J92" s="444"/>
      <c r="K92" s="443"/>
      <c r="L92" s="443"/>
      <c r="M92" s="443"/>
      <c r="N92" s="444"/>
      <c r="O92" s="443"/>
      <c r="P92" s="443"/>
      <c r="Q92" s="443"/>
      <c r="R92" s="444"/>
      <c r="S92" s="443"/>
      <c r="T92" s="443"/>
      <c r="U92" s="445"/>
      <c r="V92" s="445"/>
      <c r="W92" s="446"/>
      <c r="X92" s="447"/>
      <c r="Y92" s="448"/>
      <c r="Z92" s="446"/>
      <c r="AA92" s="443"/>
      <c r="AB92" s="445"/>
      <c r="AC92" s="446"/>
      <c r="AD92" s="446"/>
      <c r="AE92" s="447"/>
      <c r="AF92" s="446"/>
      <c r="AG92" s="446"/>
      <c r="AH92" s="446"/>
      <c r="AI92" s="446"/>
      <c r="AJ92" s="446"/>
      <c r="AK92" s="446"/>
      <c r="AL92" s="447"/>
      <c r="AM92" s="446"/>
      <c r="AN92" s="446"/>
      <c r="AO92" s="446"/>
      <c r="AP92" s="446"/>
      <c r="AQ92" s="446"/>
      <c r="AR92" s="446"/>
      <c r="AS92" s="447"/>
      <c r="AT92" s="446"/>
      <c r="AU92" s="446">
        <f t="shared" si="326"/>
        <v>701</v>
      </c>
      <c r="AV92" s="446">
        <f t="shared" ref="AV92" si="394">SUM(AV100,AV115,AV122)</f>
        <v>0</v>
      </c>
      <c r="AW92" s="446">
        <f>AZ92-AY92</f>
        <v>-701</v>
      </c>
      <c r="AX92" s="446">
        <f t="shared" ref="AX92:BF92" si="395">SUM(AX100,AX115,AX122,AX107)</f>
        <v>701</v>
      </c>
      <c r="AY92" s="650">
        <f t="shared" si="395"/>
        <v>701</v>
      </c>
      <c r="AZ92" s="446">
        <f>SUM(AZ100,AZ115,AZ122,AZ107)</f>
        <v>0</v>
      </c>
      <c r="BA92" s="446">
        <f t="shared" si="395"/>
        <v>0</v>
      </c>
      <c r="BB92" s="446">
        <f t="shared" si="395"/>
        <v>0</v>
      </c>
      <c r="BC92" s="446">
        <f t="shared" si="395"/>
        <v>0</v>
      </c>
      <c r="BD92" s="446">
        <f t="shared" si="395"/>
        <v>0</v>
      </c>
      <c r="BE92" s="446">
        <f t="shared" si="395"/>
        <v>0</v>
      </c>
      <c r="BF92" s="446">
        <f t="shared" si="395"/>
        <v>0</v>
      </c>
      <c r="BG92" s="446">
        <f t="shared" ref="BG92:BH92" si="396">SUM(BG100,BG115,BG122,BG107)</f>
        <v>0</v>
      </c>
      <c r="BH92" s="446">
        <f t="shared" si="396"/>
        <v>0</v>
      </c>
      <c r="BI92" s="446">
        <f t="shared" ref="BI92:BL92" si="397">SUM(BI100,BI115,BI122,BI107)</f>
        <v>0</v>
      </c>
      <c r="BJ92" s="446">
        <f t="shared" si="397"/>
        <v>0</v>
      </c>
      <c r="BK92" s="446">
        <f t="shared" si="397"/>
        <v>0</v>
      </c>
      <c r="BL92" s="446">
        <f t="shared" si="397"/>
        <v>0</v>
      </c>
      <c r="BM92" s="446">
        <f t="shared" ref="BM92:BN92" si="398">SUM(BM100,BM115,BM122,BM107)</f>
        <v>0</v>
      </c>
      <c r="BN92" s="446">
        <f t="shared" si="398"/>
        <v>0</v>
      </c>
      <c r="BO92" s="446">
        <f t="shared" ref="BO92:BR92" si="399">SUM(BO100,BO115,BO122,BO107)</f>
        <v>0</v>
      </c>
      <c r="BP92" s="446">
        <f t="shared" si="399"/>
        <v>0</v>
      </c>
      <c r="BQ92" s="446">
        <f t="shared" si="332"/>
        <v>0</v>
      </c>
      <c r="BR92" s="446">
        <f t="shared" si="399"/>
        <v>0</v>
      </c>
      <c r="BS92" s="446">
        <f t="shared" si="333"/>
        <v>0</v>
      </c>
      <c r="BT92" s="446">
        <f t="shared" si="334"/>
        <v>0</v>
      </c>
      <c r="BU92" s="446">
        <f t="shared" si="334"/>
        <v>0</v>
      </c>
      <c r="BV92" s="446">
        <f t="shared" ref="BV92:BY92" si="400">SUM(BV100,BV115,BV122,BV107,BV130)</f>
        <v>0</v>
      </c>
      <c r="BW92" s="446">
        <f t="shared" si="400"/>
        <v>0</v>
      </c>
      <c r="BX92" s="446">
        <f t="shared" si="400"/>
        <v>0</v>
      </c>
      <c r="BY92" s="446">
        <f t="shared" si="400"/>
        <v>0</v>
      </c>
      <c r="BZ92" s="446">
        <f t="shared" ref="BZ92:CA92" si="401">SUM(BZ100,BZ115,BZ122,BZ107,BZ130)</f>
        <v>0</v>
      </c>
      <c r="CA92" s="446">
        <f t="shared" si="401"/>
        <v>0</v>
      </c>
      <c r="CB92" s="446">
        <f t="shared" ref="CB92:CC92" si="402">SUM(CB100,CB115,CB122,CB107,CB130)</f>
        <v>0</v>
      </c>
      <c r="CC92" s="446">
        <f t="shared" si="402"/>
        <v>0</v>
      </c>
      <c r="CD92" s="446">
        <f t="shared" ref="CD92" si="403">SUM(CD100,CD115,CD122,CD107,CD130)</f>
        <v>0</v>
      </c>
      <c r="CE92" s="446">
        <f t="shared" ref="CE92:CG92" si="404">SUM(CE100,CE115,CE122,CE107,CE130)</f>
        <v>0</v>
      </c>
      <c r="CF92" s="446">
        <f t="shared" si="404"/>
        <v>0</v>
      </c>
      <c r="CG92" s="446">
        <f t="shared" si="404"/>
        <v>0</v>
      </c>
      <c r="CH92" s="446">
        <f t="shared" ref="CH92:CI92" si="405">SUM(CH100,CH115,CH122,CH107,CH130)</f>
        <v>0</v>
      </c>
      <c r="CI92" s="446">
        <f t="shared" si="405"/>
        <v>0</v>
      </c>
      <c r="CJ92" s="446">
        <v>0</v>
      </c>
      <c r="CK92" s="446">
        <f t="shared" ref="CK92" si="406">SUM(CK100,CK115,CK122,CK107,CK130)</f>
        <v>0</v>
      </c>
      <c r="CL92" s="446">
        <f t="shared" ref="CL92:CO92" si="407">SUM(CL100,CL115,CL122,CL107,CL130)</f>
        <v>0</v>
      </c>
      <c r="CM92" s="446">
        <f t="shared" si="407"/>
        <v>0</v>
      </c>
      <c r="CN92" s="446">
        <f t="shared" si="407"/>
        <v>0</v>
      </c>
      <c r="CO92" s="446">
        <f t="shared" si="407"/>
        <v>0</v>
      </c>
    </row>
    <row r="93" spans="1:93" s="289" customFormat="1" x14ac:dyDescent="0.25">
      <c r="A93" s="753" t="s">
        <v>695</v>
      </c>
      <c r="B93" s="443"/>
      <c r="C93" s="443"/>
      <c r="D93" s="443"/>
      <c r="E93" s="443"/>
      <c r="F93" s="444"/>
      <c r="G93" s="443"/>
      <c r="H93" s="443"/>
      <c r="I93" s="443"/>
      <c r="J93" s="444"/>
      <c r="K93" s="443"/>
      <c r="L93" s="443"/>
      <c r="M93" s="443"/>
      <c r="N93" s="444"/>
      <c r="O93" s="443"/>
      <c r="P93" s="443"/>
      <c r="Q93" s="443"/>
      <c r="R93" s="444"/>
      <c r="S93" s="443"/>
      <c r="T93" s="443"/>
      <c r="U93" s="445"/>
      <c r="V93" s="445"/>
      <c r="W93" s="446"/>
      <c r="X93" s="447"/>
      <c r="Y93" s="448"/>
      <c r="Z93" s="446"/>
      <c r="AA93" s="443"/>
      <c r="AB93" s="445"/>
      <c r="AC93" s="446"/>
      <c r="AD93" s="446"/>
      <c r="AE93" s="447"/>
      <c r="AF93" s="446"/>
      <c r="AG93" s="446"/>
      <c r="AH93" s="446"/>
      <c r="AI93" s="446"/>
      <c r="AJ93" s="446"/>
      <c r="AK93" s="446"/>
      <c r="AL93" s="447"/>
      <c r="AM93" s="446"/>
      <c r="AN93" s="446"/>
      <c r="AO93" s="446"/>
      <c r="AP93" s="446"/>
      <c r="AQ93" s="446"/>
      <c r="AR93" s="446"/>
      <c r="AS93" s="447"/>
      <c r="AT93" s="446"/>
      <c r="AU93" s="446">
        <f>AX93-AT93</f>
        <v>1764</v>
      </c>
      <c r="AV93" s="446">
        <f>AY93-AX93</f>
        <v>199</v>
      </c>
      <c r="AW93" s="446">
        <f>AZ93-AY93</f>
        <v>-1137</v>
      </c>
      <c r="AX93" s="446">
        <v>1764</v>
      </c>
      <c r="AY93" s="446">
        <v>1963</v>
      </c>
      <c r="AZ93" s="446">
        <v>826</v>
      </c>
      <c r="BA93" s="446"/>
      <c r="BB93" s="446"/>
      <c r="BC93" s="446">
        <f>BF93-BE93</f>
        <v>609</v>
      </c>
      <c r="BD93" s="446">
        <f>BG93-BF93</f>
        <v>201</v>
      </c>
      <c r="BE93" s="446"/>
      <c r="BF93" s="446">
        <v>609</v>
      </c>
      <c r="BG93" s="446">
        <v>810</v>
      </c>
      <c r="BH93" s="446">
        <v>202</v>
      </c>
      <c r="BI93" s="446">
        <f>BL93-BH93</f>
        <v>201</v>
      </c>
      <c r="BJ93" s="446">
        <f>BM93-BL93</f>
        <v>201</v>
      </c>
      <c r="BK93" s="446">
        <f>BN93-BM93</f>
        <v>201</v>
      </c>
      <c r="BL93" s="446">
        <v>403</v>
      </c>
      <c r="BM93" s="446">
        <v>604</v>
      </c>
      <c r="BN93" s="446">
        <v>805</v>
      </c>
      <c r="BO93" s="446"/>
      <c r="BP93" s="446">
        <f>BS93-BO93</f>
        <v>99</v>
      </c>
      <c r="BQ93" s="446">
        <f>BT93-BS93</f>
        <v>-99</v>
      </c>
      <c r="BR93" s="446"/>
      <c r="BS93" s="446">
        <v>99</v>
      </c>
      <c r="BT93" s="446"/>
      <c r="BU93" s="446"/>
      <c r="BV93" s="446"/>
      <c r="BW93" s="446"/>
      <c r="BX93" s="446"/>
      <c r="BY93" s="446"/>
      <c r="BZ93" s="446"/>
      <c r="CA93" s="446"/>
      <c r="CB93" s="446"/>
      <c r="CC93" s="446"/>
      <c r="CD93" s="446"/>
      <c r="CE93" s="446"/>
      <c r="CF93" s="446"/>
      <c r="CG93" s="446"/>
      <c r="CH93" s="446"/>
      <c r="CI93" s="446"/>
      <c r="CJ93" s="446"/>
      <c r="CK93" s="446"/>
      <c r="CL93" s="446"/>
      <c r="CM93" s="446"/>
      <c r="CN93" s="446"/>
      <c r="CO93" s="446"/>
    </row>
    <row r="94" spans="1:93" s="423" customFormat="1" ht="13" x14ac:dyDescent="0.3">
      <c r="A94" s="449" t="str">
        <f>Language!C88</f>
        <v>Arrecadação de Pedágio</v>
      </c>
      <c r="B94" s="450">
        <f>SUM(B95,B96,B97,B98)</f>
        <v>114265</v>
      </c>
      <c r="C94" s="450">
        <f t="shared" ref="C94:M94" si="408">SUM(C95,C96,C97,C98)</f>
        <v>104561</v>
      </c>
      <c r="D94" s="450">
        <f t="shared" si="408"/>
        <v>109716</v>
      </c>
      <c r="E94" s="450">
        <f t="shared" si="408"/>
        <v>122654</v>
      </c>
      <c r="F94" s="451">
        <f t="shared" si="408"/>
        <v>128826</v>
      </c>
      <c r="G94" s="450">
        <f t="shared" si="408"/>
        <v>115010</v>
      </c>
      <c r="H94" s="450">
        <f t="shared" si="408"/>
        <v>123046</v>
      </c>
      <c r="I94" s="450">
        <f t="shared" si="408"/>
        <v>136062</v>
      </c>
      <c r="J94" s="451">
        <f t="shared" si="408"/>
        <v>139665</v>
      </c>
      <c r="K94" s="450">
        <f t="shared" si="408"/>
        <v>126661</v>
      </c>
      <c r="L94" s="450">
        <f t="shared" si="408"/>
        <v>135188</v>
      </c>
      <c r="M94" s="450">
        <f t="shared" si="408"/>
        <v>150771</v>
      </c>
      <c r="N94" s="451">
        <f>SUM(N95,N96,N97,N98,N99)</f>
        <v>155416</v>
      </c>
      <c r="O94" s="450">
        <f>SUM(O95,O96,O97,O98,O99)</f>
        <v>139133</v>
      </c>
      <c r="P94" s="450">
        <f t="shared" ref="P94:R94" si="409">SUM(P95,P96,P97,P98,P99)</f>
        <v>143708</v>
      </c>
      <c r="Q94" s="450">
        <f t="shared" si="409"/>
        <v>163068</v>
      </c>
      <c r="R94" s="451">
        <f t="shared" si="409"/>
        <v>188930</v>
      </c>
      <c r="S94" s="450">
        <f t="shared" ref="S94:W94" si="410">SUM(S95,S96,S97,S98,S99)</f>
        <v>170624</v>
      </c>
      <c r="T94" s="450">
        <f>SUM(T95,T96,T97,T98,T99)</f>
        <v>267053</v>
      </c>
      <c r="U94" s="450">
        <f>SUM(U95,U96,U97,U98,U99)</f>
        <v>293289</v>
      </c>
      <c r="V94" s="450">
        <f>SUM(V95,V96,V97,V98,V99)</f>
        <v>359554</v>
      </c>
      <c r="W94" s="452">
        <f t="shared" si="410"/>
        <v>626607</v>
      </c>
      <c r="X94" s="453">
        <f t="shared" ref="X94" si="411">SUM(X95,X96,X97,X98,X99)</f>
        <v>919896</v>
      </c>
      <c r="Y94" s="454">
        <f>SUM(Y95,Y96,Y97,Y98,Y99)</f>
        <v>301907</v>
      </c>
      <c r="Z94" s="452">
        <f t="shared" ref="Z94" si="412">SUM(Z95,Z96,Z97,Z98,Z99)</f>
        <v>276241</v>
      </c>
      <c r="AA94" s="450">
        <f t="shared" ref="AA94:AF94" si="413">SUM(AA95,AA96,AA97,AA98,AA99)</f>
        <v>287649</v>
      </c>
      <c r="AB94" s="450">
        <f t="shared" si="413"/>
        <v>304262</v>
      </c>
      <c r="AC94" s="452">
        <f t="shared" si="413"/>
        <v>578148</v>
      </c>
      <c r="AD94" s="452">
        <f t="shared" si="413"/>
        <v>865797</v>
      </c>
      <c r="AE94" s="453">
        <f t="shared" si="413"/>
        <v>1170059</v>
      </c>
      <c r="AF94" s="452">
        <f t="shared" si="413"/>
        <v>316377</v>
      </c>
      <c r="AG94" s="452">
        <f t="shared" si="319"/>
        <v>291864</v>
      </c>
      <c r="AH94" s="452">
        <f t="shared" si="320"/>
        <v>292060</v>
      </c>
      <c r="AI94" s="452">
        <f t="shared" si="321"/>
        <v>290557</v>
      </c>
      <c r="AJ94" s="452">
        <f t="shared" ref="AJ94:AK94" si="414">SUM(AJ95,AJ96,AJ97,AJ98,AJ99)</f>
        <v>608241</v>
      </c>
      <c r="AK94" s="452">
        <f t="shared" si="414"/>
        <v>900301</v>
      </c>
      <c r="AL94" s="453">
        <f t="shared" ref="AL94:AQ94" si="415">SUM(AL95,AL96,AL97,AL98,AL99)</f>
        <v>1190858</v>
      </c>
      <c r="AM94" s="452">
        <f t="shared" si="415"/>
        <v>285797</v>
      </c>
      <c r="AN94" s="452">
        <f t="shared" si="323"/>
        <v>257899</v>
      </c>
      <c r="AO94" s="452">
        <f t="shared" si="324"/>
        <v>245864</v>
      </c>
      <c r="AP94" s="452">
        <f t="shared" si="324"/>
        <v>226641</v>
      </c>
      <c r="AQ94" s="452">
        <f t="shared" si="415"/>
        <v>543696</v>
      </c>
      <c r="AR94" s="452">
        <f t="shared" ref="AR94:AS94" si="416">SUM(AR95,AR96,AR97,AR98,AR99)</f>
        <v>789560</v>
      </c>
      <c r="AS94" s="453">
        <f t="shared" si="416"/>
        <v>1016201</v>
      </c>
      <c r="AT94" s="452">
        <f t="shared" ref="AT94" si="417">SUM(AT95,AT96,AT97,AT98,AT99)</f>
        <v>198014.7291</v>
      </c>
      <c r="AU94" s="452">
        <f>SUM(AU95,AU96,AU97,AU98,AU99,AU100)</f>
        <v>212794.12219999998</v>
      </c>
      <c r="AV94" s="452">
        <f t="shared" ref="AV94:AZ94" si="418">SUM(AV95,AV96,AV97,AV98,AV99)</f>
        <v>243605.29619999998</v>
      </c>
      <c r="AW94" s="452">
        <f t="shared" ref="AW94:AW179" si="419">AZ94-AY94</f>
        <v>260173.75760000001</v>
      </c>
      <c r="AX94" s="452">
        <f>SUM(AX95,AX96,AX97,AX98,AX99,AX100)</f>
        <v>410808.85129999998</v>
      </c>
      <c r="AY94" s="452">
        <f t="shared" si="418"/>
        <v>654414.14749999996</v>
      </c>
      <c r="AZ94" s="452">
        <f t="shared" si="418"/>
        <v>914587.90509999997</v>
      </c>
      <c r="BA94" s="452">
        <f t="shared" ref="BA94:BB94" si="420">SUM(BA95,BA96,BA97,BA98,BA99)</f>
        <v>235068</v>
      </c>
      <c r="BB94" s="452">
        <f t="shared" si="420"/>
        <v>198753</v>
      </c>
      <c r="BC94" s="452">
        <f t="shared" ref="BC94:BE94" si="421">SUM(BC95,BC96,BC97,BC98,BC99)</f>
        <v>216475</v>
      </c>
      <c r="BD94" s="452">
        <f t="shared" ref="BD94" si="422">SUM(BD95,BD96,BD97,BD98,BD99)</f>
        <v>231965</v>
      </c>
      <c r="BE94" s="452">
        <f t="shared" si="421"/>
        <v>433821</v>
      </c>
      <c r="BF94" s="452">
        <f t="shared" ref="BF94:BG94" si="423">SUM(BF95,BF96,BF97,BF98,BF99)</f>
        <v>650296</v>
      </c>
      <c r="BG94" s="452">
        <f t="shared" si="423"/>
        <v>882261</v>
      </c>
      <c r="BH94" s="452">
        <f t="shared" ref="BH94:BL94" si="424">SUM(BH95,BH96,BH97,BH98,BH99)</f>
        <v>216478</v>
      </c>
      <c r="BI94" s="452">
        <f t="shared" si="424"/>
        <v>227958</v>
      </c>
      <c r="BJ94" s="452">
        <f t="shared" si="424"/>
        <v>249510</v>
      </c>
      <c r="BK94" s="452">
        <f t="shared" si="424"/>
        <v>222308</v>
      </c>
      <c r="BL94" s="452">
        <f t="shared" si="424"/>
        <v>444436</v>
      </c>
      <c r="BM94" s="784">
        <f t="shared" ref="BM94:BN94" si="425">SUM(BM95,BM96,BM97,BM98,BM99)</f>
        <v>693946</v>
      </c>
      <c r="BN94" s="784">
        <f t="shared" si="425"/>
        <v>916254</v>
      </c>
      <c r="BO94" s="784">
        <f t="shared" ref="BO94:BS94" si="426">SUM(BO95,BO96,BO97,BO98,BO99)</f>
        <v>163480</v>
      </c>
      <c r="BP94" s="784">
        <f t="shared" si="426"/>
        <v>171252</v>
      </c>
      <c r="BQ94" s="784">
        <f t="shared" si="426"/>
        <v>187729</v>
      </c>
      <c r="BR94" s="784">
        <f t="shared" si="426"/>
        <v>182065</v>
      </c>
      <c r="BS94" s="784">
        <f t="shared" si="426"/>
        <v>334732</v>
      </c>
      <c r="BT94" s="784">
        <f t="shared" ref="BT94:BU94" si="427">SUM(BT95,BT96,BT97,BT98,BT99)</f>
        <v>522461</v>
      </c>
      <c r="BU94" s="784">
        <f t="shared" si="427"/>
        <v>704526</v>
      </c>
      <c r="BV94" s="784">
        <f t="shared" ref="BV94:BY94" si="428">SUM(BV95,BV96,BV97,BV98,BV99)</f>
        <v>177680</v>
      </c>
      <c r="BW94" s="784">
        <f t="shared" si="428"/>
        <v>180287</v>
      </c>
      <c r="BX94" s="784">
        <f t="shared" si="428"/>
        <v>208216</v>
      </c>
      <c r="BY94" s="784">
        <f t="shared" si="428"/>
        <v>239763</v>
      </c>
      <c r="BZ94" s="784">
        <f t="shared" ref="BZ94:CA94" si="429">SUM(BZ95,BZ96,BZ97,BZ98,BZ99)</f>
        <v>357967</v>
      </c>
      <c r="CA94" s="784">
        <f t="shared" si="429"/>
        <v>566183</v>
      </c>
      <c r="CB94" s="784">
        <f t="shared" ref="CB94:CC94" si="430">SUM(CB95,CB96,CB97,CB98,CB99)</f>
        <v>805946</v>
      </c>
      <c r="CC94" s="784">
        <f t="shared" si="430"/>
        <v>243097</v>
      </c>
      <c r="CD94" s="784">
        <f t="shared" ref="CD94" si="431">SUM(CD95,CD96,CD97,CD98,CD99)</f>
        <v>257100</v>
      </c>
      <c r="CE94" s="784">
        <f t="shared" ref="CE94:CG94" si="432">SUM(CE95,CE96,CE97,CE98,CE99)</f>
        <v>417180</v>
      </c>
      <c r="CF94" s="784">
        <f t="shared" si="432"/>
        <v>313173</v>
      </c>
      <c r="CG94" s="784">
        <f t="shared" si="432"/>
        <v>500197</v>
      </c>
      <c r="CH94" s="784">
        <f>SUM(CH95,CH96,CH97,CH98,CH99)</f>
        <v>917377</v>
      </c>
      <c r="CI94" s="784">
        <f t="shared" ref="CI94" si="433">SUM(CI95,CI96,CI97,CI98,CI99)</f>
        <v>1230550</v>
      </c>
      <c r="CJ94" s="784">
        <v>256944</v>
      </c>
      <c r="CK94" s="784">
        <f t="shared" ref="CK94:CO94" si="434">SUM(CK95,CK96,CK97,CK98,CK99)</f>
        <v>263703</v>
      </c>
      <c r="CL94" s="784">
        <f t="shared" si="434"/>
        <v>0</v>
      </c>
      <c r="CM94" s="784">
        <f t="shared" si="434"/>
        <v>0</v>
      </c>
      <c r="CN94" s="784">
        <f t="shared" si="434"/>
        <v>520647</v>
      </c>
      <c r="CO94" s="784">
        <f t="shared" si="434"/>
        <v>0</v>
      </c>
    </row>
    <row r="95" spans="1:93" s="289" customFormat="1" x14ac:dyDescent="0.25">
      <c r="A95" s="455" t="str">
        <f>Language!C89</f>
        <v>Concepa</v>
      </c>
      <c r="B95" s="280">
        <v>48087</v>
      </c>
      <c r="C95" s="280">
        <v>37447</v>
      </c>
      <c r="D95" s="280">
        <v>38560</v>
      </c>
      <c r="E95" s="280">
        <v>48487</v>
      </c>
      <c r="F95" s="279">
        <v>55430</v>
      </c>
      <c r="G95" s="280">
        <v>43002</v>
      </c>
      <c r="H95" s="280">
        <v>45278</v>
      </c>
      <c r="I95" s="280">
        <v>55789</v>
      </c>
      <c r="J95" s="279">
        <v>61687</v>
      </c>
      <c r="K95" s="280">
        <v>49590</v>
      </c>
      <c r="L95" s="280">
        <v>52445</v>
      </c>
      <c r="M95" s="280">
        <v>65587</v>
      </c>
      <c r="N95" s="279">
        <v>73058</v>
      </c>
      <c r="O95" s="280">
        <v>57763</v>
      </c>
      <c r="P95" s="280">
        <v>61530</v>
      </c>
      <c r="Q95" s="280">
        <v>75128</v>
      </c>
      <c r="R95" s="279">
        <v>80008</v>
      </c>
      <c r="S95" s="280">
        <v>61789</v>
      </c>
      <c r="T95" s="280">
        <f>W95-S95-R95</f>
        <v>62185</v>
      </c>
      <c r="U95" s="280">
        <f>X95-W95</f>
        <v>81961</v>
      </c>
      <c r="V95" s="280">
        <f>R95+S95</f>
        <v>141797</v>
      </c>
      <c r="W95" s="281">
        <v>203982</v>
      </c>
      <c r="X95" s="282">
        <v>285943</v>
      </c>
      <c r="Y95" s="283">
        <v>95874</v>
      </c>
      <c r="Z95" s="281">
        <f t="shared" ref="Z95:Z99" si="435">AC95-Y95</f>
        <v>70001</v>
      </c>
      <c r="AA95" s="280">
        <f>AD95-Z95-Y95</f>
        <v>73635</v>
      </c>
      <c r="AB95" s="280">
        <f>AE95-AD95</f>
        <v>88666</v>
      </c>
      <c r="AC95" s="281">
        <v>165875</v>
      </c>
      <c r="AD95" s="281">
        <v>239510</v>
      </c>
      <c r="AE95" s="282">
        <v>328176</v>
      </c>
      <c r="AF95" s="281">
        <v>105350</v>
      </c>
      <c r="AG95" s="281">
        <f t="shared" si="319"/>
        <v>78175</v>
      </c>
      <c r="AH95" s="281">
        <f t="shared" si="320"/>
        <v>46572</v>
      </c>
      <c r="AI95" s="281">
        <f t="shared" si="321"/>
        <v>52118</v>
      </c>
      <c r="AJ95" s="281">
        <v>183525</v>
      </c>
      <c r="AK95" s="281">
        <v>230097</v>
      </c>
      <c r="AL95" s="282">
        <v>282215</v>
      </c>
      <c r="AM95" s="281">
        <v>58908</v>
      </c>
      <c r="AN95" s="281">
        <f t="shared" si="323"/>
        <v>42935</v>
      </c>
      <c r="AO95" s="281">
        <f t="shared" si="324"/>
        <v>1174</v>
      </c>
      <c r="AP95" s="281">
        <f t="shared" si="324"/>
        <v>0</v>
      </c>
      <c r="AQ95" s="281">
        <v>101843</v>
      </c>
      <c r="AR95" s="281">
        <v>103017</v>
      </c>
      <c r="AS95" s="282">
        <v>103017</v>
      </c>
      <c r="AT95" s="281"/>
      <c r="AU95" s="281"/>
      <c r="AV95" s="281"/>
      <c r="AW95" s="281">
        <f t="shared" si="419"/>
        <v>0</v>
      </c>
      <c r="AX95" s="281"/>
      <c r="AY95" s="281"/>
      <c r="AZ95" s="732">
        <v>0</v>
      </c>
      <c r="BA95" s="732">
        <v>0</v>
      </c>
      <c r="BB95" s="732">
        <f>BE95</f>
        <v>0</v>
      </c>
      <c r="BC95" s="732"/>
      <c r="BD95" s="732"/>
      <c r="BE95" s="732">
        <v>0</v>
      </c>
      <c r="BF95" s="732">
        <v>0</v>
      </c>
      <c r="BG95" s="732"/>
      <c r="BH95" s="732"/>
      <c r="BI95" s="732"/>
      <c r="BJ95" s="732"/>
      <c r="BK95" s="732"/>
      <c r="BL95" s="732"/>
      <c r="BM95" s="737"/>
      <c r="BN95" s="737"/>
      <c r="BO95" s="737"/>
      <c r="BP95" s="737"/>
      <c r="BQ95" s="737"/>
      <c r="BR95" s="737"/>
      <c r="BS95" s="737"/>
      <c r="BT95" s="737"/>
      <c r="BU95" s="737"/>
      <c r="BV95" s="737"/>
      <c r="BW95" s="737"/>
      <c r="BX95" s="737"/>
      <c r="BY95" s="737"/>
      <c r="BZ95" s="737"/>
      <c r="CA95" s="737"/>
      <c r="CB95" s="737"/>
      <c r="CC95" s="737"/>
      <c r="CD95" s="737"/>
      <c r="CE95" s="737"/>
      <c r="CF95" s="737"/>
      <c r="CG95" s="737"/>
      <c r="CH95" s="737"/>
      <c r="CI95" s="737"/>
      <c r="CJ95" s="737"/>
      <c r="CK95" s="737"/>
      <c r="CL95" s="737"/>
      <c r="CM95" s="737"/>
      <c r="CN95" s="737"/>
      <c r="CO95" s="737"/>
    </row>
    <row r="96" spans="1:93" s="289" customFormat="1" x14ac:dyDescent="0.25">
      <c r="A96" s="455" t="str">
        <f>Language!C90</f>
        <v>Concer</v>
      </c>
      <c r="B96" s="280">
        <v>32190</v>
      </c>
      <c r="C96" s="280">
        <v>32353</v>
      </c>
      <c r="D96" s="280">
        <v>34870</v>
      </c>
      <c r="E96" s="280">
        <v>36231</v>
      </c>
      <c r="F96" s="279">
        <v>36405</v>
      </c>
      <c r="G96" s="280">
        <v>35444</v>
      </c>
      <c r="H96" s="280">
        <v>37622</v>
      </c>
      <c r="I96" s="280">
        <v>38376</v>
      </c>
      <c r="J96" s="279">
        <v>36771</v>
      </c>
      <c r="K96" s="280">
        <v>36567</v>
      </c>
      <c r="L96" s="280">
        <v>39719</v>
      </c>
      <c r="M96" s="280">
        <v>39537</v>
      </c>
      <c r="N96" s="279">
        <v>38649</v>
      </c>
      <c r="O96" s="280">
        <v>38452</v>
      </c>
      <c r="P96" s="280">
        <v>38039</v>
      </c>
      <c r="Q96" s="280">
        <v>40853</v>
      </c>
      <c r="R96" s="279">
        <v>38114</v>
      </c>
      <c r="S96" s="280">
        <v>36077</v>
      </c>
      <c r="T96" s="280">
        <f t="shared" ref="T96:T99" si="436">W96-S96-R96</f>
        <v>40576</v>
      </c>
      <c r="U96" s="280">
        <f>X96-W96</f>
        <v>45291</v>
      </c>
      <c r="V96" s="280">
        <f t="shared" ref="V96:V99" si="437">R96+S96</f>
        <v>74191</v>
      </c>
      <c r="W96" s="281">
        <v>114767</v>
      </c>
      <c r="X96" s="282">
        <v>160058</v>
      </c>
      <c r="Y96" s="283">
        <v>43150</v>
      </c>
      <c r="Z96" s="281">
        <f t="shared" si="435"/>
        <v>42165</v>
      </c>
      <c r="AA96" s="280">
        <f t="shared" ref="AA96:AA99" si="438">AD96-Z96-Y96</f>
        <v>44347</v>
      </c>
      <c r="AB96" s="280">
        <f>AE96-AD96</f>
        <v>46683</v>
      </c>
      <c r="AC96" s="281">
        <v>85315</v>
      </c>
      <c r="AD96" s="281">
        <v>129662</v>
      </c>
      <c r="AE96" s="282">
        <v>176345</v>
      </c>
      <c r="AF96" s="281">
        <v>46368</v>
      </c>
      <c r="AG96" s="281">
        <f t="shared" si="319"/>
        <v>44703</v>
      </c>
      <c r="AH96" s="281">
        <f t="shared" si="320"/>
        <v>46645</v>
      </c>
      <c r="AI96" s="281">
        <f t="shared" si="321"/>
        <v>47319</v>
      </c>
      <c r="AJ96" s="281">
        <v>91071</v>
      </c>
      <c r="AK96" s="281">
        <v>137716</v>
      </c>
      <c r="AL96" s="282">
        <v>185035</v>
      </c>
      <c r="AM96" s="281">
        <v>45042</v>
      </c>
      <c r="AN96" s="281">
        <f t="shared" si="323"/>
        <v>42353</v>
      </c>
      <c r="AO96" s="281">
        <f t="shared" si="324"/>
        <v>51284</v>
      </c>
      <c r="AP96" s="281">
        <f t="shared" si="324"/>
        <v>51600</v>
      </c>
      <c r="AQ96" s="281">
        <v>87395</v>
      </c>
      <c r="AR96" s="281">
        <v>138679</v>
      </c>
      <c r="AS96" s="282">
        <v>190279</v>
      </c>
      <c r="AT96" s="281">
        <v>52618.729099999997</v>
      </c>
      <c r="AU96" s="281">
        <f>AX96-AT96</f>
        <v>55428.122199999998</v>
      </c>
      <c r="AV96" s="281">
        <f>AY96-AX96</f>
        <v>55261.296199999997</v>
      </c>
      <c r="AW96" s="281">
        <f t="shared" si="419"/>
        <v>59447.757600000012</v>
      </c>
      <c r="AX96" s="281">
        <v>108046.85129999999</v>
      </c>
      <c r="AY96" s="281">
        <v>163308.14749999999</v>
      </c>
      <c r="AZ96" s="281">
        <v>222755.9051</v>
      </c>
      <c r="BA96" s="281">
        <v>52712</v>
      </c>
      <c r="BB96" s="281">
        <f>BE96-BA96</f>
        <v>36356</v>
      </c>
      <c r="BC96" s="281">
        <f>BF96-BE96</f>
        <v>51991</v>
      </c>
      <c r="BD96" s="281">
        <f>BG96-BF96</f>
        <v>57233</v>
      </c>
      <c r="BE96" s="281">
        <v>89068</v>
      </c>
      <c r="BF96" s="302">
        <v>141059</v>
      </c>
      <c r="BG96" s="302">
        <v>198292</v>
      </c>
      <c r="BH96" s="302">
        <v>52572</v>
      </c>
      <c r="BI96" s="302">
        <f>BL96-BH96</f>
        <v>51781</v>
      </c>
      <c r="BJ96" s="302">
        <f>BM96-BL96</f>
        <v>57135</v>
      </c>
      <c r="BK96" s="302">
        <f>BN96-BM96</f>
        <v>58641</v>
      </c>
      <c r="BL96" s="302">
        <v>104353</v>
      </c>
      <c r="BM96" s="302">
        <v>161488</v>
      </c>
      <c r="BN96" s="302">
        <v>220129</v>
      </c>
      <c r="BO96" s="302">
        <v>54535</v>
      </c>
      <c r="BP96" s="302">
        <f>BS96-BO96</f>
        <v>57168</v>
      </c>
      <c r="BQ96" s="302">
        <f>BT96-BS96</f>
        <v>62151</v>
      </c>
      <c r="BR96" s="302">
        <f>BU96-BT96</f>
        <v>63241</v>
      </c>
      <c r="BS96" s="302">
        <v>111703</v>
      </c>
      <c r="BT96" s="302">
        <v>173854</v>
      </c>
      <c r="BU96" s="302">
        <v>237095</v>
      </c>
      <c r="BV96" s="302">
        <v>62859</v>
      </c>
      <c r="BW96" s="302">
        <f>BZ96-BV96</f>
        <v>62815</v>
      </c>
      <c r="BX96" s="302">
        <f>CA96-BZ96</f>
        <v>65684</v>
      </c>
      <c r="BY96" s="302">
        <f>CB96-CA96</f>
        <v>68125</v>
      </c>
      <c r="BZ96" s="302">
        <v>125674</v>
      </c>
      <c r="CA96" s="302">
        <v>191358</v>
      </c>
      <c r="CB96" s="302">
        <v>259483</v>
      </c>
      <c r="CC96" s="302">
        <v>73917</v>
      </c>
      <c r="CD96" s="302">
        <f>CG96-CC96</f>
        <v>74903</v>
      </c>
      <c r="CE96" s="302">
        <f>CH96-CG96</f>
        <v>78414</v>
      </c>
      <c r="CF96" s="302">
        <f>CI96-CH96</f>
        <v>79035</v>
      </c>
      <c r="CG96" s="302">
        <v>148820</v>
      </c>
      <c r="CH96" s="302">
        <v>227234</v>
      </c>
      <c r="CI96" s="302">
        <v>306269</v>
      </c>
      <c r="CJ96" s="302">
        <v>75733</v>
      </c>
      <c r="CK96" s="302">
        <f>CN96-CJ96</f>
        <v>75683</v>
      </c>
      <c r="CL96" s="302"/>
      <c r="CM96" s="302"/>
      <c r="CN96" s="302">
        <v>151416</v>
      </c>
      <c r="CO96" s="302"/>
    </row>
    <row r="97" spans="1:93" s="289" customFormat="1" x14ac:dyDescent="0.25">
      <c r="A97" s="455" t="str">
        <f>Language!C91</f>
        <v>Econorte</v>
      </c>
      <c r="B97" s="280">
        <v>33988</v>
      </c>
      <c r="C97" s="280">
        <v>34761</v>
      </c>
      <c r="D97" s="280">
        <v>36286</v>
      </c>
      <c r="E97" s="280">
        <v>37936</v>
      </c>
      <c r="F97" s="279">
        <v>36991</v>
      </c>
      <c r="G97" s="280">
        <v>36564</v>
      </c>
      <c r="H97" s="280">
        <v>40146</v>
      </c>
      <c r="I97" s="280">
        <v>41897</v>
      </c>
      <c r="J97" s="279">
        <v>41207</v>
      </c>
      <c r="K97" s="280">
        <v>40504</v>
      </c>
      <c r="L97" s="280">
        <v>43024</v>
      </c>
      <c r="M97" s="280">
        <v>45647</v>
      </c>
      <c r="N97" s="279">
        <v>43709</v>
      </c>
      <c r="O97" s="280">
        <v>42918</v>
      </c>
      <c r="P97" s="280">
        <v>44139</v>
      </c>
      <c r="Q97" s="280">
        <v>47087</v>
      </c>
      <c r="R97" s="279">
        <v>47578</v>
      </c>
      <c r="S97" s="280">
        <v>46240</v>
      </c>
      <c r="T97" s="280">
        <f t="shared" si="436"/>
        <v>48896</v>
      </c>
      <c r="U97" s="280">
        <f>X97-W97</f>
        <v>52924</v>
      </c>
      <c r="V97" s="280">
        <f t="shared" si="437"/>
        <v>93818</v>
      </c>
      <c r="W97" s="281">
        <v>142714</v>
      </c>
      <c r="X97" s="282">
        <v>195638</v>
      </c>
      <c r="Y97" s="283">
        <v>53040</v>
      </c>
      <c r="Z97" s="281">
        <f t="shared" si="435"/>
        <v>51446</v>
      </c>
      <c r="AA97" s="280">
        <f t="shared" si="438"/>
        <v>52579</v>
      </c>
      <c r="AB97" s="280">
        <f>AE97-AD97</f>
        <v>54374</v>
      </c>
      <c r="AC97" s="281">
        <v>104486</v>
      </c>
      <c r="AD97" s="281">
        <v>157065</v>
      </c>
      <c r="AE97" s="282">
        <v>211439</v>
      </c>
      <c r="AF97" s="281">
        <v>54534</v>
      </c>
      <c r="AG97" s="281">
        <f t="shared" si="319"/>
        <v>54208</v>
      </c>
      <c r="AH97" s="281">
        <f t="shared" si="320"/>
        <v>58599</v>
      </c>
      <c r="AI97" s="281">
        <f t="shared" si="321"/>
        <v>58861</v>
      </c>
      <c r="AJ97" s="281">
        <v>108742</v>
      </c>
      <c r="AK97" s="281">
        <v>167341</v>
      </c>
      <c r="AL97" s="282">
        <v>226202</v>
      </c>
      <c r="AM97" s="281">
        <v>56692</v>
      </c>
      <c r="AN97" s="281">
        <f t="shared" si="323"/>
        <v>52468</v>
      </c>
      <c r="AO97" s="281">
        <f t="shared" si="324"/>
        <v>58099</v>
      </c>
      <c r="AP97" s="281">
        <f t="shared" si="324"/>
        <v>46067</v>
      </c>
      <c r="AQ97" s="281">
        <v>109160</v>
      </c>
      <c r="AR97" s="281">
        <v>167259</v>
      </c>
      <c r="AS97" s="282">
        <v>213326</v>
      </c>
      <c r="AT97" s="281">
        <v>27169</v>
      </c>
      <c r="AU97" s="281">
        <f t="shared" ref="AU97:AU99" si="439">AX97-AT97</f>
        <v>35204</v>
      </c>
      <c r="AV97" s="281">
        <f t="shared" ref="AV97:AV99" si="440">AY97-AX97</f>
        <v>53673</v>
      </c>
      <c r="AW97" s="281">
        <f t="shared" si="419"/>
        <v>69463</v>
      </c>
      <c r="AX97" s="281">
        <v>62373</v>
      </c>
      <c r="AY97" s="281">
        <v>116046</v>
      </c>
      <c r="AZ97" s="281">
        <v>185509</v>
      </c>
      <c r="BA97" s="281">
        <v>62424</v>
      </c>
      <c r="BB97" s="281">
        <f t="shared" ref="BB97:BB99" si="441">BE97-BA97</f>
        <v>52881</v>
      </c>
      <c r="BC97" s="281">
        <f t="shared" ref="BC97:BC99" si="442">BF97-BE97</f>
        <v>66870</v>
      </c>
      <c r="BD97" s="281">
        <f t="shared" ref="BD97:BD99" si="443">BG97-BF97</f>
        <v>73605</v>
      </c>
      <c r="BE97" s="281">
        <v>115305</v>
      </c>
      <c r="BF97" s="281">
        <v>182175</v>
      </c>
      <c r="BG97" s="281">
        <v>255780</v>
      </c>
      <c r="BH97" s="281">
        <v>68950</v>
      </c>
      <c r="BI97" s="302">
        <f t="shared" ref="BI97:BI99" si="444">BL97-BH97</f>
        <v>68808</v>
      </c>
      <c r="BJ97" s="302">
        <f t="shared" ref="BJ97:BJ99" si="445">BM97-BL97</f>
        <v>75001</v>
      </c>
      <c r="BK97" s="302">
        <f t="shared" ref="BK97:BK99" si="446">BN97-BM97</f>
        <v>48443</v>
      </c>
      <c r="BL97" s="281">
        <v>137758</v>
      </c>
      <c r="BM97" s="281">
        <v>212759</v>
      </c>
      <c r="BN97" s="281">
        <v>261202</v>
      </c>
      <c r="BO97" s="281">
        <v>0</v>
      </c>
      <c r="BP97" s="302">
        <f t="shared" ref="BP97:BP99" si="447">BS97-BO97</f>
        <v>0</v>
      </c>
      <c r="BQ97" s="302">
        <f t="shared" ref="BQ97:BQ99" si="448">BT97-BS97</f>
        <v>0</v>
      </c>
      <c r="BR97" s="302">
        <f t="shared" ref="BR97:BR99" si="449">BU97-BT97</f>
        <v>0</v>
      </c>
      <c r="BS97" s="281">
        <v>0</v>
      </c>
      <c r="BT97" s="281">
        <v>0</v>
      </c>
      <c r="BU97" s="281">
        <v>0</v>
      </c>
      <c r="BV97" s="281">
        <v>0</v>
      </c>
      <c r="BW97" s="302">
        <f t="shared" ref="BW97:BW99" si="450">BZ97-BV97</f>
        <v>0</v>
      </c>
      <c r="BX97" s="302">
        <f t="shared" ref="BX97:BX99" si="451">CA97-BZ97</f>
        <v>0</v>
      </c>
      <c r="BY97" s="302">
        <f t="shared" ref="BY97:BY99" si="452">CB97-CA97</f>
        <v>0</v>
      </c>
      <c r="BZ97" s="281">
        <v>0</v>
      </c>
      <c r="CA97" s="281">
        <v>0</v>
      </c>
      <c r="CB97" s="281">
        <v>0</v>
      </c>
      <c r="CC97" s="281">
        <v>0</v>
      </c>
      <c r="CD97" s="302">
        <f t="shared" ref="CD97:CD99" si="453">CG97-CC97</f>
        <v>0</v>
      </c>
      <c r="CE97" s="302">
        <f t="shared" ref="CE97:CE99" si="454">CH97-CG97</f>
        <v>0</v>
      </c>
      <c r="CF97" s="302">
        <f t="shared" ref="CF97:CF99" si="455">CI97-CH97</f>
        <v>0</v>
      </c>
      <c r="CG97" s="281">
        <v>0</v>
      </c>
      <c r="CH97" s="281">
        <v>0</v>
      </c>
      <c r="CI97" s="281">
        <v>0</v>
      </c>
      <c r="CJ97" s="281">
        <v>0</v>
      </c>
      <c r="CK97" s="302">
        <f t="shared" ref="CK97:CK99" si="456">CN97-CJ97</f>
        <v>0</v>
      </c>
      <c r="CL97" s="281"/>
      <c r="CM97" s="281"/>
      <c r="CN97" s="281">
        <v>0</v>
      </c>
      <c r="CO97" s="281"/>
    </row>
    <row r="98" spans="1:93" s="289" customFormat="1" x14ac:dyDescent="0.25">
      <c r="A98" s="455" t="str">
        <f>Language!C92</f>
        <v>Concebra</v>
      </c>
      <c r="B98" s="280">
        <v>0</v>
      </c>
      <c r="C98" s="280">
        <v>0</v>
      </c>
      <c r="D98" s="280">
        <v>0</v>
      </c>
      <c r="E98" s="280">
        <v>0</v>
      </c>
      <c r="F98" s="279">
        <v>0</v>
      </c>
      <c r="G98" s="280">
        <v>0</v>
      </c>
      <c r="H98" s="280">
        <v>0</v>
      </c>
      <c r="I98" s="280">
        <v>0</v>
      </c>
      <c r="J98" s="279">
        <v>0</v>
      </c>
      <c r="K98" s="280">
        <v>0</v>
      </c>
      <c r="L98" s="280">
        <v>0</v>
      </c>
      <c r="M98" s="280">
        <v>0</v>
      </c>
      <c r="N98" s="279">
        <v>0</v>
      </c>
      <c r="O98" s="280">
        <v>0</v>
      </c>
      <c r="P98" s="280">
        <v>0</v>
      </c>
      <c r="Q98" s="280">
        <v>0</v>
      </c>
      <c r="R98" s="279">
        <v>0</v>
      </c>
      <c r="S98" s="280">
        <v>3701</v>
      </c>
      <c r="T98" s="280">
        <f t="shared" si="436"/>
        <v>91976</v>
      </c>
      <c r="U98" s="280">
        <f>X98-W98</f>
        <v>89310</v>
      </c>
      <c r="V98" s="280">
        <f t="shared" si="437"/>
        <v>3701</v>
      </c>
      <c r="W98" s="281">
        <v>95677</v>
      </c>
      <c r="X98" s="282">
        <v>184987</v>
      </c>
      <c r="Y98" s="283">
        <v>84547</v>
      </c>
      <c r="Z98" s="281">
        <f t="shared" si="435"/>
        <v>86524</v>
      </c>
      <c r="AA98" s="280">
        <f t="shared" si="438"/>
        <v>90910</v>
      </c>
      <c r="AB98" s="280">
        <f>AE98-AD98</f>
        <v>88710</v>
      </c>
      <c r="AC98" s="281">
        <v>171071</v>
      </c>
      <c r="AD98" s="281">
        <v>261981</v>
      </c>
      <c r="AE98" s="282">
        <v>350691</v>
      </c>
      <c r="AF98" s="281">
        <v>83402</v>
      </c>
      <c r="AG98" s="281">
        <f t="shared" si="319"/>
        <v>87469</v>
      </c>
      <c r="AH98" s="281">
        <f t="shared" si="320"/>
        <v>110988</v>
      </c>
      <c r="AI98" s="281">
        <f t="shared" si="321"/>
        <v>103623</v>
      </c>
      <c r="AJ98" s="281">
        <v>170871</v>
      </c>
      <c r="AK98" s="281">
        <v>281859</v>
      </c>
      <c r="AL98" s="282">
        <v>385482</v>
      </c>
      <c r="AM98" s="281">
        <v>95381</v>
      </c>
      <c r="AN98" s="281">
        <f t="shared" si="323"/>
        <v>93234</v>
      </c>
      <c r="AO98" s="281">
        <f t="shared" si="324"/>
        <v>103665</v>
      </c>
      <c r="AP98" s="281">
        <f t="shared" si="324"/>
        <v>94922</v>
      </c>
      <c r="AQ98" s="281">
        <v>188615</v>
      </c>
      <c r="AR98" s="281">
        <v>292280</v>
      </c>
      <c r="AS98" s="282">
        <v>387202</v>
      </c>
      <c r="AT98" s="281">
        <v>89679</v>
      </c>
      <c r="AU98" s="281">
        <f t="shared" si="439"/>
        <v>92508</v>
      </c>
      <c r="AV98" s="281">
        <f t="shared" si="440"/>
        <v>101529</v>
      </c>
      <c r="AW98" s="281">
        <f t="shared" si="419"/>
        <v>99619</v>
      </c>
      <c r="AX98" s="281">
        <v>182187</v>
      </c>
      <c r="AY98" s="281">
        <v>283716</v>
      </c>
      <c r="AZ98" s="281">
        <v>383335</v>
      </c>
      <c r="BA98" s="281">
        <v>90535</v>
      </c>
      <c r="BB98" s="281">
        <f t="shared" si="441"/>
        <v>82340</v>
      </c>
      <c r="BC98" s="281">
        <f t="shared" si="442"/>
        <v>65047</v>
      </c>
      <c r="BD98" s="281">
        <f t="shared" si="443"/>
        <v>67776</v>
      </c>
      <c r="BE98" s="281">
        <v>172875</v>
      </c>
      <c r="BF98" s="281">
        <v>237922</v>
      </c>
      <c r="BG98" s="281">
        <v>305698</v>
      </c>
      <c r="BH98" s="281">
        <v>61256</v>
      </c>
      <c r="BI98" s="302">
        <f t="shared" si="444"/>
        <v>64479</v>
      </c>
      <c r="BJ98" s="302">
        <f t="shared" si="445"/>
        <v>69452</v>
      </c>
      <c r="BK98" s="302">
        <f t="shared" si="446"/>
        <v>66917</v>
      </c>
      <c r="BL98" s="281">
        <v>125735</v>
      </c>
      <c r="BM98" s="281">
        <v>195187</v>
      </c>
      <c r="BN98" s="281">
        <v>262104</v>
      </c>
      <c r="BO98" s="281">
        <v>62848</v>
      </c>
      <c r="BP98" s="302">
        <f t="shared" si="447"/>
        <v>66942</v>
      </c>
      <c r="BQ98" s="302">
        <f t="shared" si="448"/>
        <v>74934</v>
      </c>
      <c r="BR98" s="302">
        <f t="shared" si="449"/>
        <v>69487</v>
      </c>
      <c r="BS98" s="281">
        <v>129790</v>
      </c>
      <c r="BT98" s="281">
        <v>204724</v>
      </c>
      <c r="BU98" s="281">
        <v>274211</v>
      </c>
      <c r="BV98" s="281">
        <v>66952</v>
      </c>
      <c r="BW98" s="302">
        <f t="shared" si="450"/>
        <v>69839</v>
      </c>
      <c r="BX98" s="302">
        <f t="shared" si="451"/>
        <v>85151</v>
      </c>
      <c r="BY98" s="302">
        <f t="shared" si="452"/>
        <v>113709</v>
      </c>
      <c r="BZ98" s="281">
        <v>136791</v>
      </c>
      <c r="CA98" s="281">
        <v>221942</v>
      </c>
      <c r="CB98" s="281">
        <v>335651</v>
      </c>
      <c r="CC98" s="281">
        <v>113628</v>
      </c>
      <c r="CD98" s="302">
        <f t="shared" si="453"/>
        <v>123628</v>
      </c>
      <c r="CE98" s="302">
        <f t="shared" si="454"/>
        <v>277704</v>
      </c>
      <c r="CF98" s="302">
        <f t="shared" si="455"/>
        <v>177511</v>
      </c>
      <c r="CG98" s="281">
        <v>237256</v>
      </c>
      <c r="CH98" s="281">
        <v>514960</v>
      </c>
      <c r="CI98" s="281">
        <v>692471</v>
      </c>
      <c r="CJ98" s="281">
        <v>123014</v>
      </c>
      <c r="CK98" s="302">
        <f t="shared" si="456"/>
        <v>128633</v>
      </c>
      <c r="CL98" s="281"/>
      <c r="CM98" s="281"/>
      <c r="CN98" s="281">
        <v>251647</v>
      </c>
      <c r="CO98" s="281"/>
    </row>
    <row r="99" spans="1:93" s="289" customFormat="1" x14ac:dyDescent="0.25">
      <c r="A99" s="455" t="str">
        <f>Language!C93</f>
        <v>Transbrasiliana</v>
      </c>
      <c r="B99" s="280">
        <v>0</v>
      </c>
      <c r="C99" s="280">
        <v>0</v>
      </c>
      <c r="D99" s="280">
        <v>0</v>
      </c>
      <c r="E99" s="280">
        <v>0</v>
      </c>
      <c r="F99" s="279">
        <v>0</v>
      </c>
      <c r="G99" s="280">
        <v>0</v>
      </c>
      <c r="H99" s="280">
        <v>0</v>
      </c>
      <c r="I99" s="280">
        <v>0</v>
      </c>
      <c r="J99" s="279">
        <v>0</v>
      </c>
      <c r="K99" s="280">
        <v>0</v>
      </c>
      <c r="L99" s="280">
        <v>0</v>
      </c>
      <c r="M99" s="280">
        <v>0</v>
      </c>
      <c r="N99" s="279">
        <v>0</v>
      </c>
      <c r="O99" s="280">
        <v>0</v>
      </c>
      <c r="P99" s="280">
        <v>0</v>
      </c>
      <c r="Q99" s="280">
        <v>0</v>
      </c>
      <c r="R99" s="279">
        <v>23230</v>
      </c>
      <c r="S99" s="280">
        <v>22817</v>
      </c>
      <c r="T99" s="280">
        <f t="shared" si="436"/>
        <v>23420</v>
      </c>
      <c r="U99" s="280">
        <f>X99-W99</f>
        <v>23803</v>
      </c>
      <c r="V99" s="280">
        <f t="shared" si="437"/>
        <v>46047</v>
      </c>
      <c r="W99" s="281">
        <v>69467</v>
      </c>
      <c r="X99" s="282">
        <v>93270</v>
      </c>
      <c r="Y99" s="283">
        <v>25296</v>
      </c>
      <c r="Z99" s="281">
        <f t="shared" si="435"/>
        <v>26105</v>
      </c>
      <c r="AA99" s="280">
        <f t="shared" si="438"/>
        <v>26178</v>
      </c>
      <c r="AB99" s="280">
        <f>AE99-AD99</f>
        <v>25829</v>
      </c>
      <c r="AC99" s="281">
        <v>51401</v>
      </c>
      <c r="AD99" s="281">
        <v>77579</v>
      </c>
      <c r="AE99" s="282">
        <v>103408</v>
      </c>
      <c r="AF99" s="281">
        <v>26723</v>
      </c>
      <c r="AG99" s="281">
        <f t="shared" si="319"/>
        <v>27309</v>
      </c>
      <c r="AH99" s="281">
        <f t="shared" si="320"/>
        <v>29256</v>
      </c>
      <c r="AI99" s="281">
        <f t="shared" si="321"/>
        <v>28636</v>
      </c>
      <c r="AJ99" s="281">
        <v>54032</v>
      </c>
      <c r="AK99" s="281">
        <v>83288</v>
      </c>
      <c r="AL99" s="282">
        <v>111924</v>
      </c>
      <c r="AM99" s="281">
        <v>29774</v>
      </c>
      <c r="AN99" s="281">
        <f t="shared" si="323"/>
        <v>26909</v>
      </c>
      <c r="AO99" s="281">
        <f t="shared" si="324"/>
        <v>31642</v>
      </c>
      <c r="AP99" s="281">
        <f t="shared" si="324"/>
        <v>34052</v>
      </c>
      <c r="AQ99" s="281">
        <v>56683</v>
      </c>
      <c r="AR99" s="281">
        <v>88325</v>
      </c>
      <c r="AS99" s="282">
        <v>122377</v>
      </c>
      <c r="AT99" s="281">
        <v>28548</v>
      </c>
      <c r="AU99" s="281">
        <f t="shared" si="439"/>
        <v>29654</v>
      </c>
      <c r="AV99" s="281">
        <f t="shared" si="440"/>
        <v>33142</v>
      </c>
      <c r="AW99" s="281">
        <f t="shared" si="419"/>
        <v>31644</v>
      </c>
      <c r="AX99" s="281">
        <v>58202</v>
      </c>
      <c r="AY99" s="281">
        <v>91344</v>
      </c>
      <c r="AZ99" s="281">
        <v>122988</v>
      </c>
      <c r="BA99" s="281">
        <v>29397</v>
      </c>
      <c r="BB99" s="281">
        <f t="shared" si="441"/>
        <v>27176</v>
      </c>
      <c r="BC99" s="281">
        <f t="shared" si="442"/>
        <v>32567</v>
      </c>
      <c r="BD99" s="281">
        <f t="shared" si="443"/>
        <v>33351</v>
      </c>
      <c r="BE99" s="281">
        <v>56573</v>
      </c>
      <c r="BF99" s="281">
        <v>89140</v>
      </c>
      <c r="BG99" s="281">
        <v>122491</v>
      </c>
      <c r="BH99" s="281">
        <v>33700</v>
      </c>
      <c r="BI99" s="302">
        <f t="shared" si="444"/>
        <v>42890</v>
      </c>
      <c r="BJ99" s="302">
        <f t="shared" si="445"/>
        <v>47922</v>
      </c>
      <c r="BK99" s="302">
        <f t="shared" si="446"/>
        <v>48307</v>
      </c>
      <c r="BL99" s="281">
        <v>76590</v>
      </c>
      <c r="BM99" s="281">
        <v>124512</v>
      </c>
      <c r="BN99" s="281">
        <v>172819</v>
      </c>
      <c r="BO99" s="281">
        <v>46097</v>
      </c>
      <c r="BP99" s="302">
        <f t="shared" si="447"/>
        <v>47142</v>
      </c>
      <c r="BQ99" s="302">
        <f t="shared" si="448"/>
        <v>50644</v>
      </c>
      <c r="BR99" s="302">
        <f t="shared" si="449"/>
        <v>49337</v>
      </c>
      <c r="BS99" s="281">
        <v>93239</v>
      </c>
      <c r="BT99" s="281">
        <v>143883</v>
      </c>
      <c r="BU99" s="281">
        <v>193220</v>
      </c>
      <c r="BV99" s="281">
        <v>47869</v>
      </c>
      <c r="BW99" s="302">
        <f t="shared" si="450"/>
        <v>47633</v>
      </c>
      <c r="BX99" s="302">
        <f t="shared" si="451"/>
        <v>57381</v>
      </c>
      <c r="BY99" s="302">
        <f t="shared" si="452"/>
        <v>57929</v>
      </c>
      <c r="BZ99" s="281">
        <v>95502</v>
      </c>
      <c r="CA99" s="281">
        <v>152883</v>
      </c>
      <c r="CB99" s="281">
        <v>210812</v>
      </c>
      <c r="CC99" s="281">
        <v>55552</v>
      </c>
      <c r="CD99" s="302">
        <f t="shared" si="453"/>
        <v>58569</v>
      </c>
      <c r="CE99" s="302">
        <f t="shared" si="454"/>
        <v>61062</v>
      </c>
      <c r="CF99" s="302">
        <f t="shared" si="455"/>
        <v>56627</v>
      </c>
      <c r="CG99" s="281">
        <v>114121</v>
      </c>
      <c r="CH99" s="281">
        <v>175183</v>
      </c>
      <c r="CI99" s="281">
        <v>231810</v>
      </c>
      <c r="CJ99" s="281">
        <v>58197</v>
      </c>
      <c r="CK99" s="302">
        <f t="shared" si="456"/>
        <v>59387</v>
      </c>
      <c r="CL99" s="281"/>
      <c r="CM99" s="281"/>
      <c r="CN99" s="281">
        <v>117584</v>
      </c>
      <c r="CO99" s="281"/>
    </row>
    <row r="100" spans="1:93" s="289" customFormat="1" x14ac:dyDescent="0.25">
      <c r="A100" s="713" t="s">
        <v>670</v>
      </c>
      <c r="B100" s="280"/>
      <c r="C100" s="280"/>
      <c r="D100" s="280"/>
      <c r="E100" s="280"/>
      <c r="F100" s="279"/>
      <c r="G100" s="280"/>
      <c r="H100" s="280"/>
      <c r="I100" s="280"/>
      <c r="J100" s="279"/>
      <c r="K100" s="280"/>
      <c r="L100" s="280"/>
      <c r="M100" s="280"/>
      <c r="N100" s="279"/>
      <c r="O100" s="280"/>
      <c r="P100" s="280"/>
      <c r="Q100" s="280"/>
      <c r="R100" s="279"/>
      <c r="S100" s="280"/>
      <c r="T100" s="280"/>
      <c r="U100" s="280"/>
      <c r="V100" s="280"/>
      <c r="W100" s="281"/>
      <c r="X100" s="282"/>
      <c r="Y100" s="283"/>
      <c r="Z100" s="281"/>
      <c r="AA100" s="280"/>
      <c r="AB100" s="280"/>
      <c r="AC100" s="281"/>
      <c r="AD100" s="281"/>
      <c r="AE100" s="282"/>
      <c r="AF100" s="281"/>
      <c r="AG100" s="281"/>
      <c r="AH100" s="281"/>
      <c r="AI100" s="281"/>
      <c r="AJ100" s="281"/>
      <c r="AK100" s="281"/>
      <c r="AL100" s="282"/>
      <c r="AM100" s="281"/>
      <c r="AN100" s="281"/>
      <c r="AO100" s="281"/>
      <c r="AP100" s="281"/>
      <c r="AQ100" s="281"/>
      <c r="AR100" s="281"/>
      <c r="AS100" s="282"/>
      <c r="AT100" s="281"/>
      <c r="AU100" s="281">
        <v>0</v>
      </c>
      <c r="AV100" s="281"/>
      <c r="AW100" s="281"/>
      <c r="AX100" s="281">
        <v>0</v>
      </c>
      <c r="AY100" s="281"/>
      <c r="AZ100" s="281"/>
      <c r="BA100" s="281"/>
      <c r="BB100" s="281"/>
      <c r="BC100" s="281"/>
      <c r="BD100" s="281"/>
      <c r="BE100" s="281"/>
      <c r="BF100" s="281"/>
      <c r="BG100" s="281"/>
      <c r="BH100" s="281"/>
      <c r="BI100" s="281"/>
      <c r="BJ100" s="281"/>
      <c r="BK100" s="281"/>
      <c r="BL100" s="281"/>
      <c r="BM100" s="281"/>
      <c r="BN100" s="281"/>
      <c r="BO100" s="281"/>
      <c r="BP100" s="281"/>
      <c r="BQ100" s="281"/>
      <c r="BR100" s="281"/>
      <c r="BS100" s="281"/>
      <c r="BT100" s="281"/>
      <c r="BU100" s="281"/>
      <c r="BV100" s="281"/>
      <c r="BW100" s="281"/>
      <c r="BX100" s="281"/>
      <c r="BY100" s="281"/>
      <c r="BZ100" s="281"/>
      <c r="CA100" s="281"/>
      <c r="CB100" s="281"/>
      <c r="CC100" s="281"/>
      <c r="CD100" s="281"/>
      <c r="CE100" s="281"/>
      <c r="CF100" s="281"/>
      <c r="CG100" s="281"/>
      <c r="CH100" s="281"/>
      <c r="CI100" s="281"/>
      <c r="CJ100" s="281"/>
      <c r="CK100" s="281"/>
      <c r="CL100" s="281"/>
      <c r="CM100" s="281"/>
      <c r="CN100" s="281"/>
      <c r="CO100" s="281"/>
    </row>
    <row r="101" spans="1:93" s="289" customFormat="1" ht="13" x14ac:dyDescent="0.3">
      <c r="A101" s="449" t="s">
        <v>696</v>
      </c>
      <c r="B101" s="280"/>
      <c r="C101" s="280"/>
      <c r="D101" s="280"/>
      <c r="E101" s="280"/>
      <c r="F101" s="279"/>
      <c r="G101" s="280"/>
      <c r="H101" s="280"/>
      <c r="I101" s="280"/>
      <c r="J101" s="279"/>
      <c r="K101" s="280"/>
      <c r="L101" s="280"/>
      <c r="M101" s="280"/>
      <c r="N101" s="279"/>
      <c r="O101" s="280"/>
      <c r="P101" s="280"/>
      <c r="Q101" s="280"/>
      <c r="R101" s="279"/>
      <c r="S101" s="280"/>
      <c r="T101" s="280"/>
      <c r="U101" s="280"/>
      <c r="V101" s="280"/>
      <c r="W101" s="281"/>
      <c r="X101" s="282"/>
      <c r="Y101" s="283"/>
      <c r="Z101" s="281"/>
      <c r="AA101" s="280"/>
      <c r="AB101" s="280"/>
      <c r="AC101" s="281"/>
      <c r="AD101" s="281"/>
      <c r="AE101" s="282"/>
      <c r="AF101" s="281"/>
      <c r="AG101" s="281"/>
      <c r="AH101" s="281"/>
      <c r="AI101" s="281"/>
      <c r="AJ101" s="281"/>
      <c r="AK101" s="281"/>
      <c r="AL101" s="282"/>
      <c r="AM101" s="281"/>
      <c r="AN101" s="281"/>
      <c r="AO101" s="281"/>
      <c r="AP101" s="281"/>
      <c r="AQ101" s="281"/>
      <c r="AR101" s="281"/>
      <c r="AS101" s="282"/>
      <c r="AT101" s="452">
        <f>SUM(AT102,AT103,AT104,AT105,AT106,AT107)</f>
        <v>0</v>
      </c>
      <c r="AU101" s="452">
        <f t="shared" ref="AU101:BE101" si="457">SUM(AU102,AU103,AU104,AU105,AU106,AU107)</f>
        <v>701</v>
      </c>
      <c r="AV101" s="452">
        <f t="shared" si="457"/>
        <v>0</v>
      </c>
      <c r="AW101" s="452">
        <f t="shared" si="457"/>
        <v>0</v>
      </c>
      <c r="AX101" s="452">
        <f t="shared" si="457"/>
        <v>701</v>
      </c>
      <c r="AY101" s="452">
        <f>SUM(AY102,AY103,AY104,AY105,AY106,AY107)+AY108</f>
        <v>0</v>
      </c>
      <c r="AZ101" s="452">
        <f t="shared" si="457"/>
        <v>0</v>
      </c>
      <c r="BA101" s="452">
        <f t="shared" si="457"/>
        <v>0</v>
      </c>
      <c r="BB101" s="452">
        <f t="shared" si="457"/>
        <v>0</v>
      </c>
      <c r="BC101" s="452">
        <f t="shared" si="457"/>
        <v>0</v>
      </c>
      <c r="BD101" s="452">
        <f t="shared" si="457"/>
        <v>0</v>
      </c>
      <c r="BE101" s="452">
        <f t="shared" si="457"/>
        <v>0</v>
      </c>
      <c r="BF101" s="452">
        <f t="shared" ref="BF101:BG101" si="458">SUM(BF102,BF103,BF104,BF105,BF106,BF107)</f>
        <v>0</v>
      </c>
      <c r="BG101" s="452">
        <f t="shared" si="458"/>
        <v>0</v>
      </c>
      <c r="BH101" s="452">
        <f t="shared" ref="BH101:BL101" si="459">SUM(BH102,BH103,BH104,BH105,BH106,BH107)</f>
        <v>0</v>
      </c>
      <c r="BI101" s="452">
        <f t="shared" si="459"/>
        <v>0</v>
      </c>
      <c r="BJ101" s="452">
        <f t="shared" si="459"/>
        <v>0</v>
      </c>
      <c r="BK101" s="452">
        <f t="shared" si="459"/>
        <v>0</v>
      </c>
      <c r="BL101" s="452">
        <f t="shared" si="459"/>
        <v>0</v>
      </c>
      <c r="BM101" s="452">
        <f t="shared" ref="BM101:BN101" si="460">SUM(BM102,BM103,BM104,BM105,BM106,BM107)</f>
        <v>0</v>
      </c>
      <c r="BN101" s="452">
        <f t="shared" si="460"/>
        <v>0</v>
      </c>
      <c r="BO101" s="452">
        <f t="shared" ref="BO101:BS101" si="461">SUM(BO102,BO103,BO104,BO105,BO106,BO107)</f>
        <v>0</v>
      </c>
      <c r="BP101" s="452">
        <f t="shared" si="461"/>
        <v>0</v>
      </c>
      <c r="BQ101" s="452">
        <f t="shared" si="461"/>
        <v>0</v>
      </c>
      <c r="BR101" s="452">
        <f t="shared" si="461"/>
        <v>0</v>
      </c>
      <c r="BS101" s="452">
        <f t="shared" si="461"/>
        <v>0</v>
      </c>
      <c r="BT101" s="452">
        <f t="shared" ref="BT101:BU101" si="462">SUM(BT102,BT103,BT104,BT105,BT106,BT107)</f>
        <v>0</v>
      </c>
      <c r="BU101" s="452">
        <f t="shared" si="462"/>
        <v>0</v>
      </c>
      <c r="BV101" s="452">
        <f t="shared" ref="BV101:BY101" si="463">SUM(BV102,BV103,BV104,BV105,BV106,BV107)</f>
        <v>0</v>
      </c>
      <c r="BW101" s="452">
        <f t="shared" si="463"/>
        <v>0</v>
      </c>
      <c r="BX101" s="452">
        <f t="shared" si="463"/>
        <v>0</v>
      </c>
      <c r="BY101" s="452">
        <f t="shared" si="463"/>
        <v>0</v>
      </c>
      <c r="BZ101" s="452">
        <f t="shared" ref="BZ101:CA101" si="464">SUM(BZ102,BZ103,BZ104,BZ105,BZ106,BZ107)</f>
        <v>0</v>
      </c>
      <c r="CA101" s="452">
        <f t="shared" si="464"/>
        <v>0</v>
      </c>
      <c r="CB101" s="452">
        <f t="shared" ref="CB101:CC101" si="465">SUM(CB102,CB103,CB104,CB105,CB106,CB107)</f>
        <v>0</v>
      </c>
      <c r="CC101" s="452">
        <f t="shared" si="465"/>
        <v>0</v>
      </c>
      <c r="CD101" s="452">
        <f t="shared" ref="CD101" si="466">SUM(CD102,CD103,CD104,CD105,CD106,CD107)</f>
        <v>0</v>
      </c>
      <c r="CE101" s="452">
        <f t="shared" ref="CE101:CG101" si="467">SUM(CE102,CE103,CE104,CE105,CE106,CE107)</f>
        <v>0</v>
      </c>
      <c r="CF101" s="452">
        <f t="shared" si="467"/>
        <v>0</v>
      </c>
      <c r="CG101" s="452">
        <f t="shared" si="467"/>
        <v>0</v>
      </c>
      <c r="CH101" s="452">
        <f t="shared" ref="CH101:CI101" si="468">SUM(CH102,CH103,CH104,CH105,CH106,CH107)</f>
        <v>0</v>
      </c>
      <c r="CI101" s="452">
        <f t="shared" si="468"/>
        <v>0</v>
      </c>
      <c r="CJ101" s="452">
        <v>0</v>
      </c>
      <c r="CK101" s="452">
        <f t="shared" ref="CK101" si="469">SUM(CK102,CK103,CK104,CK105,CK106,CK107)</f>
        <v>0</v>
      </c>
      <c r="CL101" s="452">
        <f t="shared" ref="CL101:CO101" si="470">SUM(CL102,CL103,CL104,CL105,CL106,CL107)</f>
        <v>0</v>
      </c>
      <c r="CM101" s="452">
        <f t="shared" si="470"/>
        <v>0</v>
      </c>
      <c r="CN101" s="452">
        <f t="shared" si="470"/>
        <v>0</v>
      </c>
      <c r="CO101" s="452">
        <f t="shared" si="470"/>
        <v>0</v>
      </c>
    </row>
    <row r="102" spans="1:93" s="289" customFormat="1" x14ac:dyDescent="0.25">
      <c r="A102" s="713" t="s">
        <v>15</v>
      </c>
      <c r="B102" s="280"/>
      <c r="C102" s="280"/>
      <c r="D102" s="280"/>
      <c r="E102" s="280"/>
      <c r="F102" s="279"/>
      <c r="G102" s="280"/>
      <c r="H102" s="280"/>
      <c r="I102" s="280"/>
      <c r="J102" s="279"/>
      <c r="K102" s="280"/>
      <c r="L102" s="280"/>
      <c r="M102" s="280"/>
      <c r="N102" s="279"/>
      <c r="O102" s="280"/>
      <c r="P102" s="280"/>
      <c r="Q102" s="280"/>
      <c r="R102" s="279"/>
      <c r="S102" s="280"/>
      <c r="T102" s="280"/>
      <c r="U102" s="280"/>
      <c r="V102" s="280"/>
      <c r="W102" s="281"/>
      <c r="X102" s="282"/>
      <c r="Y102" s="283"/>
      <c r="Z102" s="281"/>
      <c r="AA102" s="280"/>
      <c r="AB102" s="280"/>
      <c r="AC102" s="281"/>
      <c r="AD102" s="281"/>
      <c r="AE102" s="282"/>
      <c r="AF102" s="281"/>
      <c r="AG102" s="281"/>
      <c r="AH102" s="281"/>
      <c r="AI102" s="281"/>
      <c r="AJ102" s="281"/>
      <c r="AK102" s="281"/>
      <c r="AL102" s="282"/>
      <c r="AM102" s="281"/>
      <c r="AN102" s="281"/>
      <c r="AO102" s="281"/>
      <c r="AP102" s="281"/>
      <c r="AQ102" s="281"/>
      <c r="AR102" s="281"/>
      <c r="AS102" s="282"/>
      <c r="AT102" s="281">
        <v>0</v>
      </c>
      <c r="AU102" s="281">
        <f>AX102-AT102</f>
        <v>0</v>
      </c>
      <c r="AV102" s="281">
        <f>AY102-AX102</f>
        <v>0</v>
      </c>
      <c r="AW102" s="281">
        <v>0</v>
      </c>
      <c r="AX102" s="281">
        <v>0</v>
      </c>
      <c r="AY102" s="281">
        <v>0</v>
      </c>
      <c r="AZ102" s="281">
        <v>0</v>
      </c>
      <c r="BA102" s="281">
        <v>0</v>
      </c>
      <c r="BB102" s="281">
        <v>0</v>
      </c>
      <c r="BC102" s="281">
        <v>0</v>
      </c>
      <c r="BD102" s="281">
        <v>0</v>
      </c>
      <c r="BE102" s="281">
        <v>0</v>
      </c>
      <c r="BF102" s="281">
        <v>0</v>
      </c>
      <c r="BG102" s="281">
        <v>0</v>
      </c>
      <c r="BH102" s="281">
        <v>0</v>
      </c>
      <c r="BI102" s="281">
        <v>0</v>
      </c>
      <c r="BJ102" s="281">
        <v>0</v>
      </c>
      <c r="BK102" s="281">
        <v>0</v>
      </c>
      <c r="BL102" s="281">
        <v>0</v>
      </c>
      <c r="BM102" s="281">
        <v>0</v>
      </c>
      <c r="BN102" s="281">
        <v>0</v>
      </c>
      <c r="BO102" s="281">
        <v>0</v>
      </c>
      <c r="BP102" s="281">
        <v>0</v>
      </c>
      <c r="BQ102" s="281">
        <v>0</v>
      </c>
      <c r="BR102" s="281">
        <v>0</v>
      </c>
      <c r="BS102" s="281">
        <v>0</v>
      </c>
      <c r="BT102" s="281">
        <v>0</v>
      </c>
      <c r="BU102" s="281">
        <v>0</v>
      </c>
      <c r="BV102" s="281">
        <v>0</v>
      </c>
      <c r="BW102" s="281">
        <v>0</v>
      </c>
      <c r="BX102" s="281">
        <v>0</v>
      </c>
      <c r="BY102" s="281">
        <v>0</v>
      </c>
      <c r="BZ102" s="281">
        <v>0</v>
      </c>
      <c r="CA102" s="281">
        <v>0</v>
      </c>
      <c r="CB102" s="281">
        <v>0</v>
      </c>
      <c r="CC102" s="281">
        <v>0</v>
      </c>
      <c r="CD102" s="281">
        <v>0</v>
      </c>
      <c r="CE102" s="281">
        <v>0</v>
      </c>
      <c r="CF102" s="281">
        <v>0</v>
      </c>
      <c r="CG102" s="281">
        <v>0</v>
      </c>
      <c r="CH102" s="281">
        <v>0</v>
      </c>
      <c r="CI102" s="281">
        <v>0</v>
      </c>
      <c r="CJ102" s="281">
        <v>0</v>
      </c>
      <c r="CK102" s="281">
        <v>0</v>
      </c>
      <c r="CL102" s="281">
        <v>0</v>
      </c>
      <c r="CM102" s="281">
        <v>0</v>
      </c>
      <c r="CN102" s="281">
        <v>0</v>
      </c>
      <c r="CO102" s="281">
        <v>0</v>
      </c>
    </row>
    <row r="103" spans="1:93" s="289" customFormat="1" x14ac:dyDescent="0.25">
      <c r="A103" s="713" t="s">
        <v>16</v>
      </c>
      <c r="B103" s="280"/>
      <c r="C103" s="280"/>
      <c r="D103" s="280"/>
      <c r="E103" s="280"/>
      <c r="F103" s="279"/>
      <c r="G103" s="280"/>
      <c r="H103" s="280"/>
      <c r="I103" s="280"/>
      <c r="J103" s="279"/>
      <c r="K103" s="280"/>
      <c r="L103" s="280"/>
      <c r="M103" s="280"/>
      <c r="N103" s="279"/>
      <c r="O103" s="280"/>
      <c r="P103" s="280"/>
      <c r="Q103" s="280"/>
      <c r="R103" s="279"/>
      <c r="S103" s="280"/>
      <c r="T103" s="280"/>
      <c r="U103" s="280"/>
      <c r="V103" s="280"/>
      <c r="W103" s="281"/>
      <c r="X103" s="282"/>
      <c r="Y103" s="283"/>
      <c r="Z103" s="281"/>
      <c r="AA103" s="280"/>
      <c r="AB103" s="280"/>
      <c r="AC103" s="281"/>
      <c r="AD103" s="281"/>
      <c r="AE103" s="282"/>
      <c r="AF103" s="281"/>
      <c r="AG103" s="281"/>
      <c r="AH103" s="281"/>
      <c r="AI103" s="281"/>
      <c r="AJ103" s="281"/>
      <c r="AK103" s="281"/>
      <c r="AL103" s="282"/>
      <c r="AM103" s="281"/>
      <c r="AN103" s="281"/>
      <c r="AO103" s="281"/>
      <c r="AP103" s="281"/>
      <c r="AQ103" s="281"/>
      <c r="AR103" s="281"/>
      <c r="AS103" s="282"/>
      <c r="AT103" s="281">
        <v>0</v>
      </c>
      <c r="AU103" s="281">
        <f t="shared" ref="AU103:AU107" si="471">AX103-AT103</f>
        <v>0</v>
      </c>
      <c r="AV103" s="281">
        <f t="shared" ref="AV103:AV108" si="472">AY103-AX103</f>
        <v>0</v>
      </c>
      <c r="AW103" s="281">
        <v>0</v>
      </c>
      <c r="AX103" s="281">
        <v>0</v>
      </c>
      <c r="AY103" s="281">
        <v>0</v>
      </c>
      <c r="AZ103" s="281">
        <v>0</v>
      </c>
      <c r="BA103" s="281">
        <v>0</v>
      </c>
      <c r="BB103" s="281">
        <v>0</v>
      </c>
      <c r="BC103" s="281">
        <v>0</v>
      </c>
      <c r="BD103" s="281">
        <v>0</v>
      </c>
      <c r="BE103" s="281">
        <v>0</v>
      </c>
      <c r="BF103" s="281">
        <v>0</v>
      </c>
      <c r="BG103" s="281">
        <v>0</v>
      </c>
      <c r="BH103" s="281">
        <v>0</v>
      </c>
      <c r="BI103" s="281">
        <v>0</v>
      </c>
      <c r="BJ103" s="281">
        <v>0</v>
      </c>
      <c r="BK103" s="281">
        <v>0</v>
      </c>
      <c r="BL103" s="281">
        <v>0</v>
      </c>
      <c r="BM103" s="281">
        <v>0</v>
      </c>
      <c r="BN103" s="281">
        <v>0</v>
      </c>
      <c r="BO103" s="281">
        <v>0</v>
      </c>
      <c r="BP103" s="281">
        <v>0</v>
      </c>
      <c r="BQ103" s="281">
        <v>0</v>
      </c>
      <c r="BR103" s="281">
        <v>0</v>
      </c>
      <c r="BS103" s="281">
        <v>0</v>
      </c>
      <c r="BT103" s="281">
        <v>0</v>
      </c>
      <c r="BU103" s="281">
        <v>0</v>
      </c>
      <c r="BV103" s="281">
        <v>0</v>
      </c>
      <c r="BW103" s="281">
        <v>0</v>
      </c>
      <c r="BX103" s="281">
        <v>0</v>
      </c>
      <c r="BY103" s="281">
        <v>0</v>
      </c>
      <c r="BZ103" s="281">
        <v>0</v>
      </c>
      <c r="CA103" s="281">
        <v>0</v>
      </c>
      <c r="CB103" s="281">
        <v>0</v>
      </c>
      <c r="CC103" s="281">
        <v>0</v>
      </c>
      <c r="CD103" s="281">
        <v>0</v>
      </c>
      <c r="CE103" s="281">
        <v>0</v>
      </c>
      <c r="CF103" s="281">
        <v>0</v>
      </c>
      <c r="CG103" s="281">
        <v>0</v>
      </c>
      <c r="CH103" s="281">
        <v>0</v>
      </c>
      <c r="CI103" s="281">
        <v>0</v>
      </c>
      <c r="CJ103" s="281">
        <v>0</v>
      </c>
      <c r="CK103" s="281">
        <v>0</v>
      </c>
      <c r="CL103" s="281">
        <v>0</v>
      </c>
      <c r="CM103" s="281">
        <v>0</v>
      </c>
      <c r="CN103" s="281">
        <v>0</v>
      </c>
      <c r="CO103" s="281">
        <v>0</v>
      </c>
    </row>
    <row r="104" spans="1:93" s="289" customFormat="1" x14ac:dyDescent="0.25">
      <c r="A104" s="713" t="s">
        <v>17</v>
      </c>
      <c r="B104" s="280"/>
      <c r="C104" s="280"/>
      <c r="D104" s="280"/>
      <c r="E104" s="280"/>
      <c r="F104" s="279"/>
      <c r="G104" s="280"/>
      <c r="H104" s="280"/>
      <c r="I104" s="280"/>
      <c r="J104" s="279"/>
      <c r="K104" s="280"/>
      <c r="L104" s="280"/>
      <c r="M104" s="280"/>
      <c r="N104" s="279"/>
      <c r="O104" s="280"/>
      <c r="P104" s="280"/>
      <c r="Q104" s="280"/>
      <c r="R104" s="279"/>
      <c r="S104" s="280"/>
      <c r="T104" s="280"/>
      <c r="U104" s="280"/>
      <c r="V104" s="280"/>
      <c r="W104" s="281"/>
      <c r="X104" s="282"/>
      <c r="Y104" s="283"/>
      <c r="Z104" s="281"/>
      <c r="AA104" s="280"/>
      <c r="AB104" s="280"/>
      <c r="AC104" s="281"/>
      <c r="AD104" s="281"/>
      <c r="AE104" s="282"/>
      <c r="AF104" s="281"/>
      <c r="AG104" s="281"/>
      <c r="AH104" s="281"/>
      <c r="AI104" s="281"/>
      <c r="AJ104" s="281"/>
      <c r="AK104" s="281"/>
      <c r="AL104" s="282"/>
      <c r="AM104" s="281"/>
      <c r="AN104" s="281"/>
      <c r="AO104" s="281"/>
      <c r="AP104" s="281"/>
      <c r="AQ104" s="281"/>
      <c r="AR104" s="281"/>
      <c r="AS104" s="282"/>
      <c r="AT104" s="281">
        <v>0</v>
      </c>
      <c r="AU104" s="281">
        <f t="shared" si="471"/>
        <v>0</v>
      </c>
      <c r="AV104" s="281">
        <f t="shared" si="472"/>
        <v>0</v>
      </c>
      <c r="AW104" s="281">
        <v>0</v>
      </c>
      <c r="AX104" s="281">
        <v>0</v>
      </c>
      <c r="AY104" s="281">
        <v>0</v>
      </c>
      <c r="AZ104" s="281">
        <v>0</v>
      </c>
      <c r="BA104" s="281">
        <v>0</v>
      </c>
      <c r="BB104" s="281">
        <v>0</v>
      </c>
      <c r="BC104" s="281">
        <v>0</v>
      </c>
      <c r="BD104" s="281">
        <v>0</v>
      </c>
      <c r="BE104" s="281">
        <v>0</v>
      </c>
      <c r="BF104" s="281">
        <v>0</v>
      </c>
      <c r="BG104" s="281">
        <v>0</v>
      </c>
      <c r="BH104" s="281">
        <v>0</v>
      </c>
      <c r="BI104" s="281">
        <v>0</v>
      </c>
      <c r="BJ104" s="281">
        <v>0</v>
      </c>
      <c r="BK104" s="281">
        <v>0</v>
      </c>
      <c r="BL104" s="281">
        <v>0</v>
      </c>
      <c r="BM104" s="281">
        <v>0</v>
      </c>
      <c r="BN104" s="281">
        <v>0</v>
      </c>
      <c r="BO104" s="281">
        <v>0</v>
      </c>
      <c r="BP104" s="281">
        <v>0</v>
      </c>
      <c r="BQ104" s="281">
        <v>0</v>
      </c>
      <c r="BR104" s="281">
        <v>0</v>
      </c>
      <c r="BS104" s="281">
        <v>0</v>
      </c>
      <c r="BT104" s="281">
        <v>0</v>
      </c>
      <c r="BU104" s="281">
        <v>0</v>
      </c>
      <c r="BV104" s="281">
        <v>0</v>
      </c>
      <c r="BW104" s="281">
        <v>0</v>
      </c>
      <c r="BX104" s="281">
        <v>0</v>
      </c>
      <c r="BY104" s="281">
        <v>0</v>
      </c>
      <c r="BZ104" s="281">
        <v>0</v>
      </c>
      <c r="CA104" s="281">
        <v>0</v>
      </c>
      <c r="CB104" s="281">
        <v>0</v>
      </c>
      <c r="CC104" s="281">
        <v>0</v>
      </c>
      <c r="CD104" s="281">
        <v>0</v>
      </c>
      <c r="CE104" s="281">
        <v>0</v>
      </c>
      <c r="CF104" s="281">
        <v>0</v>
      </c>
      <c r="CG104" s="281">
        <v>0</v>
      </c>
      <c r="CH104" s="281">
        <v>0</v>
      </c>
      <c r="CI104" s="281">
        <v>0</v>
      </c>
      <c r="CJ104" s="281">
        <v>0</v>
      </c>
      <c r="CK104" s="281">
        <v>0</v>
      </c>
      <c r="CL104" s="281">
        <v>0</v>
      </c>
      <c r="CM104" s="281">
        <v>0</v>
      </c>
      <c r="CN104" s="281">
        <v>0</v>
      </c>
      <c r="CO104" s="281">
        <v>0</v>
      </c>
    </row>
    <row r="105" spans="1:93" s="289" customFormat="1" x14ac:dyDescent="0.25">
      <c r="A105" s="713" t="s">
        <v>600</v>
      </c>
      <c r="B105" s="280"/>
      <c r="C105" s="280"/>
      <c r="D105" s="280"/>
      <c r="E105" s="280"/>
      <c r="F105" s="279"/>
      <c r="G105" s="280"/>
      <c r="H105" s="280"/>
      <c r="I105" s="280"/>
      <c r="J105" s="279"/>
      <c r="K105" s="280"/>
      <c r="L105" s="280"/>
      <c r="M105" s="280"/>
      <c r="N105" s="279"/>
      <c r="O105" s="280"/>
      <c r="P105" s="280"/>
      <c r="Q105" s="280"/>
      <c r="R105" s="279"/>
      <c r="S105" s="280"/>
      <c r="T105" s="280"/>
      <c r="U105" s="280"/>
      <c r="V105" s="280"/>
      <c r="W105" s="281"/>
      <c r="X105" s="282"/>
      <c r="Y105" s="283"/>
      <c r="Z105" s="281"/>
      <c r="AA105" s="280"/>
      <c r="AB105" s="280"/>
      <c r="AC105" s="281"/>
      <c r="AD105" s="281"/>
      <c r="AE105" s="282"/>
      <c r="AF105" s="281"/>
      <c r="AG105" s="281"/>
      <c r="AH105" s="281"/>
      <c r="AI105" s="281"/>
      <c r="AJ105" s="281"/>
      <c r="AK105" s="281"/>
      <c r="AL105" s="282"/>
      <c r="AM105" s="281"/>
      <c r="AN105" s="281"/>
      <c r="AO105" s="281"/>
      <c r="AP105" s="281"/>
      <c r="AQ105" s="281"/>
      <c r="AR105" s="281"/>
      <c r="AS105" s="282"/>
      <c r="AT105" s="281">
        <v>0</v>
      </c>
      <c r="AU105" s="281">
        <f t="shared" si="471"/>
        <v>0</v>
      </c>
      <c r="AV105" s="281">
        <f t="shared" si="472"/>
        <v>0</v>
      </c>
      <c r="AW105" s="281">
        <v>0</v>
      </c>
      <c r="AX105" s="281">
        <v>0</v>
      </c>
      <c r="AY105" s="281">
        <v>0</v>
      </c>
      <c r="AZ105" s="281">
        <v>0</v>
      </c>
      <c r="BA105" s="281">
        <v>0</v>
      </c>
      <c r="BB105" s="281">
        <v>0</v>
      </c>
      <c r="BC105" s="281">
        <v>0</v>
      </c>
      <c r="BD105" s="281">
        <v>0</v>
      </c>
      <c r="BE105" s="281">
        <v>0</v>
      </c>
      <c r="BF105" s="281">
        <v>0</v>
      </c>
      <c r="BG105" s="281">
        <v>0</v>
      </c>
      <c r="BH105" s="281">
        <v>0</v>
      </c>
      <c r="BI105" s="281">
        <v>0</v>
      </c>
      <c r="BJ105" s="281">
        <v>0</v>
      </c>
      <c r="BK105" s="281">
        <v>0</v>
      </c>
      <c r="BL105" s="281">
        <v>0</v>
      </c>
      <c r="BM105" s="281">
        <v>0</v>
      </c>
      <c r="BN105" s="281">
        <v>0</v>
      </c>
      <c r="BO105" s="281">
        <v>0</v>
      </c>
      <c r="BP105" s="281">
        <v>0</v>
      </c>
      <c r="BQ105" s="281">
        <v>0</v>
      </c>
      <c r="BR105" s="281">
        <v>0</v>
      </c>
      <c r="BS105" s="281">
        <v>0</v>
      </c>
      <c r="BT105" s="281">
        <v>0</v>
      </c>
      <c r="BU105" s="281">
        <v>0</v>
      </c>
      <c r="BV105" s="281">
        <v>0</v>
      </c>
      <c r="BW105" s="281">
        <v>0</v>
      </c>
      <c r="BX105" s="281">
        <v>0</v>
      </c>
      <c r="BY105" s="281">
        <v>0</v>
      </c>
      <c r="BZ105" s="281">
        <v>0</v>
      </c>
      <c r="CA105" s="281">
        <v>0</v>
      </c>
      <c r="CB105" s="281">
        <v>0</v>
      </c>
      <c r="CC105" s="281">
        <v>0</v>
      </c>
      <c r="CD105" s="281">
        <v>0</v>
      </c>
      <c r="CE105" s="281">
        <v>0</v>
      </c>
      <c r="CF105" s="281">
        <v>0</v>
      </c>
      <c r="CG105" s="281">
        <v>0</v>
      </c>
      <c r="CH105" s="281">
        <v>0</v>
      </c>
      <c r="CI105" s="281">
        <v>0</v>
      </c>
      <c r="CJ105" s="281">
        <v>0</v>
      </c>
      <c r="CK105" s="281">
        <v>0</v>
      </c>
      <c r="CL105" s="281">
        <v>0</v>
      </c>
      <c r="CM105" s="281">
        <v>0</v>
      </c>
      <c r="CN105" s="281">
        <v>0</v>
      </c>
      <c r="CO105" s="281">
        <v>0</v>
      </c>
    </row>
    <row r="106" spans="1:93" s="289" customFormat="1" x14ac:dyDescent="0.25">
      <c r="A106" s="713" t="s">
        <v>621</v>
      </c>
      <c r="B106" s="280"/>
      <c r="C106" s="280"/>
      <c r="D106" s="280"/>
      <c r="E106" s="280"/>
      <c r="F106" s="279"/>
      <c r="G106" s="280"/>
      <c r="H106" s="280"/>
      <c r="I106" s="280"/>
      <c r="J106" s="279"/>
      <c r="K106" s="280"/>
      <c r="L106" s="280"/>
      <c r="M106" s="280"/>
      <c r="N106" s="279"/>
      <c r="O106" s="280"/>
      <c r="P106" s="280"/>
      <c r="Q106" s="280"/>
      <c r="R106" s="279"/>
      <c r="S106" s="280"/>
      <c r="T106" s="280"/>
      <c r="U106" s="280"/>
      <c r="V106" s="280"/>
      <c r="W106" s="281"/>
      <c r="X106" s="282"/>
      <c r="Y106" s="283"/>
      <c r="Z106" s="281"/>
      <c r="AA106" s="280"/>
      <c r="AB106" s="280"/>
      <c r="AC106" s="281"/>
      <c r="AD106" s="281"/>
      <c r="AE106" s="282"/>
      <c r="AF106" s="281"/>
      <c r="AG106" s="281"/>
      <c r="AH106" s="281"/>
      <c r="AI106" s="281"/>
      <c r="AJ106" s="281"/>
      <c r="AK106" s="281"/>
      <c r="AL106" s="282"/>
      <c r="AM106" s="281"/>
      <c r="AN106" s="281"/>
      <c r="AO106" s="281"/>
      <c r="AP106" s="281"/>
      <c r="AQ106" s="281"/>
      <c r="AR106" s="281"/>
      <c r="AS106" s="282"/>
      <c r="AT106" s="281">
        <v>0</v>
      </c>
      <c r="AU106" s="281">
        <f t="shared" si="471"/>
        <v>0</v>
      </c>
      <c r="AV106" s="281">
        <f t="shared" si="472"/>
        <v>0</v>
      </c>
      <c r="AW106" s="281">
        <v>0</v>
      </c>
      <c r="AX106" s="281">
        <v>0</v>
      </c>
      <c r="AY106" s="281">
        <v>0</v>
      </c>
      <c r="AZ106" s="281">
        <v>0</v>
      </c>
      <c r="BA106" s="281">
        <v>0</v>
      </c>
      <c r="BB106" s="281">
        <v>0</v>
      </c>
      <c r="BC106" s="281">
        <v>0</v>
      </c>
      <c r="BD106" s="281">
        <v>0</v>
      </c>
      <c r="BE106" s="281">
        <v>0</v>
      </c>
      <c r="BF106" s="281">
        <v>0</v>
      </c>
      <c r="BG106" s="281">
        <v>0</v>
      </c>
      <c r="BH106" s="281">
        <v>0</v>
      </c>
      <c r="BI106" s="281">
        <v>0</v>
      </c>
      <c r="BJ106" s="281">
        <v>0</v>
      </c>
      <c r="BK106" s="281">
        <v>0</v>
      </c>
      <c r="BL106" s="281">
        <v>0</v>
      </c>
      <c r="BM106" s="281">
        <v>0</v>
      </c>
      <c r="BN106" s="281">
        <v>0</v>
      </c>
      <c r="BO106" s="281">
        <v>0</v>
      </c>
      <c r="BP106" s="281">
        <v>0</v>
      </c>
      <c r="BQ106" s="281">
        <v>0</v>
      </c>
      <c r="BR106" s="281">
        <v>0</v>
      </c>
      <c r="BS106" s="281">
        <v>0</v>
      </c>
      <c r="BT106" s="281">
        <v>0</v>
      </c>
      <c r="BU106" s="281">
        <v>0</v>
      </c>
      <c r="BV106" s="281">
        <v>0</v>
      </c>
      <c r="BW106" s="281">
        <v>0</v>
      </c>
      <c r="BX106" s="281">
        <v>0</v>
      </c>
      <c r="BY106" s="281">
        <v>0</v>
      </c>
      <c r="BZ106" s="281">
        <v>0</v>
      </c>
      <c r="CA106" s="281">
        <v>0</v>
      </c>
      <c r="CB106" s="281">
        <v>0</v>
      </c>
      <c r="CC106" s="281">
        <v>0</v>
      </c>
      <c r="CD106" s="281">
        <v>0</v>
      </c>
      <c r="CE106" s="281">
        <v>0</v>
      </c>
      <c r="CF106" s="281">
        <v>0</v>
      </c>
      <c r="CG106" s="281">
        <v>0</v>
      </c>
      <c r="CH106" s="281">
        <v>0</v>
      </c>
      <c r="CI106" s="281">
        <v>0</v>
      </c>
      <c r="CJ106" s="281">
        <v>0</v>
      </c>
      <c r="CK106" s="281">
        <v>0</v>
      </c>
      <c r="CL106" s="281">
        <v>0</v>
      </c>
      <c r="CM106" s="281">
        <v>0</v>
      </c>
      <c r="CN106" s="281">
        <v>0</v>
      </c>
      <c r="CO106" s="281">
        <v>0</v>
      </c>
    </row>
    <row r="107" spans="1:93" s="289" customFormat="1" x14ac:dyDescent="0.25">
      <c r="A107" s="713" t="s">
        <v>670</v>
      </c>
      <c r="B107" s="280"/>
      <c r="C107" s="280"/>
      <c r="D107" s="280"/>
      <c r="E107" s="280"/>
      <c r="F107" s="279"/>
      <c r="G107" s="280"/>
      <c r="H107" s="280"/>
      <c r="I107" s="280"/>
      <c r="J107" s="279"/>
      <c r="K107" s="280"/>
      <c r="L107" s="280"/>
      <c r="M107" s="280"/>
      <c r="N107" s="279"/>
      <c r="O107" s="280"/>
      <c r="P107" s="280"/>
      <c r="Q107" s="280"/>
      <c r="R107" s="279"/>
      <c r="S107" s="280"/>
      <c r="T107" s="280"/>
      <c r="U107" s="280"/>
      <c r="V107" s="280"/>
      <c r="W107" s="281"/>
      <c r="X107" s="282"/>
      <c r="Y107" s="283"/>
      <c r="Z107" s="281"/>
      <c r="AA107" s="280"/>
      <c r="AB107" s="280"/>
      <c r="AC107" s="281"/>
      <c r="AD107" s="281"/>
      <c r="AE107" s="282"/>
      <c r="AF107" s="281"/>
      <c r="AG107" s="281"/>
      <c r="AH107" s="281"/>
      <c r="AI107" s="281"/>
      <c r="AJ107" s="281"/>
      <c r="AK107" s="281"/>
      <c r="AL107" s="282"/>
      <c r="AM107" s="281"/>
      <c r="AN107" s="281"/>
      <c r="AO107" s="281"/>
      <c r="AP107" s="281"/>
      <c r="AQ107" s="281"/>
      <c r="AR107" s="281"/>
      <c r="AS107" s="282"/>
      <c r="AT107" s="281">
        <v>0</v>
      </c>
      <c r="AU107" s="281">
        <f t="shared" si="471"/>
        <v>701</v>
      </c>
      <c r="AV107" s="281">
        <f t="shared" si="472"/>
        <v>0</v>
      </c>
      <c r="AW107" s="281">
        <v>0</v>
      </c>
      <c r="AX107" s="281">
        <v>701</v>
      </c>
      <c r="AY107" s="281">
        <v>701</v>
      </c>
      <c r="AZ107" s="281">
        <v>0</v>
      </c>
      <c r="BA107" s="281">
        <v>0</v>
      </c>
      <c r="BB107" s="281">
        <v>0</v>
      </c>
      <c r="BC107" s="281">
        <v>0</v>
      </c>
      <c r="BD107" s="281">
        <v>0</v>
      </c>
      <c r="BE107" s="281">
        <v>0</v>
      </c>
      <c r="BF107" s="281">
        <v>0</v>
      </c>
      <c r="BG107" s="281">
        <v>0</v>
      </c>
      <c r="BH107" s="281">
        <v>0</v>
      </c>
      <c r="BI107" s="281">
        <v>0</v>
      </c>
      <c r="BJ107" s="281">
        <v>0</v>
      </c>
      <c r="BK107" s="281">
        <v>0</v>
      </c>
      <c r="BL107" s="281">
        <v>0</v>
      </c>
      <c r="BM107" s="281">
        <v>0</v>
      </c>
      <c r="BN107" s="281">
        <v>0</v>
      </c>
      <c r="BO107" s="281">
        <v>0</v>
      </c>
      <c r="BP107" s="281">
        <v>0</v>
      </c>
      <c r="BQ107" s="281">
        <v>0</v>
      </c>
      <c r="BR107" s="281">
        <v>0</v>
      </c>
      <c r="BS107" s="281">
        <v>0</v>
      </c>
      <c r="BT107" s="281">
        <v>0</v>
      </c>
      <c r="BU107" s="281">
        <v>0</v>
      </c>
      <c r="BV107" s="281">
        <v>0</v>
      </c>
      <c r="BW107" s="281">
        <v>0</v>
      </c>
      <c r="BX107" s="281">
        <v>0</v>
      </c>
      <c r="BY107" s="281">
        <v>0</v>
      </c>
      <c r="BZ107" s="281">
        <v>0</v>
      </c>
      <c r="CA107" s="281">
        <v>0</v>
      </c>
      <c r="CB107" s="281">
        <v>0</v>
      </c>
      <c r="CC107" s="281">
        <v>0</v>
      </c>
      <c r="CD107" s="281">
        <v>0</v>
      </c>
      <c r="CE107" s="281">
        <v>0</v>
      </c>
      <c r="CF107" s="281">
        <v>0</v>
      </c>
      <c r="CG107" s="281">
        <v>0</v>
      </c>
      <c r="CH107" s="281">
        <v>0</v>
      </c>
      <c r="CI107" s="281">
        <v>0</v>
      </c>
      <c r="CJ107" s="281">
        <v>0</v>
      </c>
      <c r="CK107" s="281">
        <v>0</v>
      </c>
      <c r="CL107" s="281">
        <v>0</v>
      </c>
      <c r="CM107" s="281">
        <v>0</v>
      </c>
      <c r="CN107" s="281">
        <v>0</v>
      </c>
      <c r="CO107" s="281">
        <v>0</v>
      </c>
    </row>
    <row r="108" spans="1:93" s="289" customFormat="1" x14ac:dyDescent="0.25">
      <c r="A108" s="753" t="s">
        <v>695</v>
      </c>
      <c r="B108" s="280"/>
      <c r="C108" s="280"/>
      <c r="D108" s="280"/>
      <c r="E108" s="280"/>
      <c r="F108" s="279"/>
      <c r="G108" s="280"/>
      <c r="H108" s="280"/>
      <c r="I108" s="280"/>
      <c r="J108" s="279"/>
      <c r="K108" s="280"/>
      <c r="L108" s="280"/>
      <c r="M108" s="280"/>
      <c r="N108" s="279"/>
      <c r="O108" s="280"/>
      <c r="P108" s="280"/>
      <c r="Q108" s="280"/>
      <c r="R108" s="279"/>
      <c r="S108" s="280"/>
      <c r="T108" s="280"/>
      <c r="U108" s="280"/>
      <c r="V108" s="280"/>
      <c r="W108" s="281"/>
      <c r="X108" s="282"/>
      <c r="Y108" s="283"/>
      <c r="Z108" s="281"/>
      <c r="AA108" s="280"/>
      <c r="AB108" s="280"/>
      <c r="AC108" s="281"/>
      <c r="AD108" s="281"/>
      <c r="AE108" s="282"/>
      <c r="AF108" s="281"/>
      <c r="AG108" s="281"/>
      <c r="AH108" s="281"/>
      <c r="AI108" s="281"/>
      <c r="AJ108" s="281"/>
      <c r="AK108" s="281"/>
      <c r="AL108" s="282"/>
      <c r="AM108" s="281"/>
      <c r="AN108" s="281"/>
      <c r="AO108" s="281"/>
      <c r="AP108" s="281"/>
      <c r="AQ108" s="281"/>
      <c r="AR108" s="281"/>
      <c r="AS108" s="282"/>
      <c r="AT108" s="281"/>
      <c r="AU108" s="281"/>
      <c r="AV108" s="281">
        <f t="shared" si="472"/>
        <v>-701</v>
      </c>
      <c r="AW108" s="281"/>
      <c r="AX108" s="281"/>
      <c r="AY108" s="281">
        <v>-701</v>
      </c>
      <c r="AZ108" s="281"/>
      <c r="BA108" s="281"/>
      <c r="BB108" s="281"/>
      <c r="BC108" s="281"/>
      <c r="BD108" s="281"/>
      <c r="BE108" s="281"/>
      <c r="BF108" s="281"/>
      <c r="BG108" s="281"/>
      <c r="BH108" s="281"/>
      <c r="BI108" s="281"/>
      <c r="BJ108" s="281"/>
      <c r="BK108" s="281"/>
      <c r="BL108" s="281"/>
      <c r="BM108" s="281"/>
      <c r="BN108" s="281"/>
      <c r="BO108" s="281"/>
      <c r="BP108" s="281"/>
      <c r="BQ108" s="281"/>
      <c r="BR108" s="281"/>
      <c r="BS108" s="281"/>
      <c r="BT108" s="281"/>
      <c r="BU108" s="281"/>
      <c r="BV108" s="281"/>
      <c r="BW108" s="281"/>
      <c r="BX108" s="281"/>
      <c r="BY108" s="281"/>
      <c r="BZ108" s="281"/>
      <c r="CA108" s="281"/>
      <c r="CB108" s="281"/>
      <c r="CC108" s="281"/>
      <c r="CD108" s="281"/>
      <c r="CE108" s="281"/>
      <c r="CF108" s="281"/>
      <c r="CG108" s="281"/>
      <c r="CH108" s="281"/>
      <c r="CI108" s="281"/>
      <c r="CJ108" s="281"/>
      <c r="CK108" s="281"/>
      <c r="CL108" s="281"/>
      <c r="CM108" s="281"/>
      <c r="CN108" s="281"/>
      <c r="CO108" s="281"/>
    </row>
    <row r="109" spans="1:93" s="423" customFormat="1" ht="13" x14ac:dyDescent="0.3">
      <c r="A109" s="449" t="str">
        <f>Language!C94</f>
        <v>Receita de Construção</v>
      </c>
      <c r="B109" s="450">
        <f>SUM(B110,B111,B112,B113)</f>
        <v>28536</v>
      </c>
      <c r="C109" s="450">
        <f t="shared" ref="C109:M109" si="473">SUM(C110,C111,C112,C113)</f>
        <v>5469</v>
      </c>
      <c r="D109" s="450">
        <f t="shared" si="473"/>
        <v>23849</v>
      </c>
      <c r="E109" s="450">
        <f t="shared" si="473"/>
        <v>36801</v>
      </c>
      <c r="F109" s="451">
        <f t="shared" si="473"/>
        <v>28720</v>
      </c>
      <c r="G109" s="450">
        <f t="shared" si="473"/>
        <v>34265</v>
      </c>
      <c r="H109" s="450">
        <f t="shared" si="473"/>
        <v>32810</v>
      </c>
      <c r="I109" s="450">
        <f t="shared" si="473"/>
        <v>52435</v>
      </c>
      <c r="J109" s="451">
        <f t="shared" si="473"/>
        <v>32616</v>
      </c>
      <c r="K109" s="450">
        <f t="shared" si="473"/>
        <v>33329</v>
      </c>
      <c r="L109" s="450">
        <f t="shared" si="473"/>
        <v>33110</v>
      </c>
      <c r="M109" s="450">
        <f t="shared" si="473"/>
        <v>69580</v>
      </c>
      <c r="N109" s="451">
        <f>SUM(N110,N111,N112,N113,N114)</f>
        <v>62625</v>
      </c>
      <c r="O109" s="450">
        <f>SUM(O110,O111,O112,O113,O114)</f>
        <v>213824</v>
      </c>
      <c r="P109" s="450">
        <f t="shared" ref="P109:R109" si="474">SUM(P110,P111,P112,P113,P114)</f>
        <v>279233</v>
      </c>
      <c r="Q109" s="450">
        <f t="shared" si="474"/>
        <v>360525</v>
      </c>
      <c r="R109" s="451">
        <f t="shared" si="474"/>
        <v>455642</v>
      </c>
      <c r="S109" s="450">
        <f t="shared" ref="S109:X109" si="475">SUM(S110,S111,S112,S113,S114)</f>
        <v>369997</v>
      </c>
      <c r="T109" s="450">
        <f t="shared" si="475"/>
        <v>269342</v>
      </c>
      <c r="U109" s="450">
        <f t="shared" si="475"/>
        <v>202421</v>
      </c>
      <c r="V109" s="450">
        <f t="shared" si="475"/>
        <v>825639</v>
      </c>
      <c r="W109" s="452">
        <f t="shared" si="475"/>
        <v>1094981</v>
      </c>
      <c r="X109" s="453">
        <f t="shared" si="475"/>
        <v>1297402</v>
      </c>
      <c r="Y109" s="454">
        <f>SUM(Y110,Y111,Y112,Y113,Y114)</f>
        <v>98870</v>
      </c>
      <c r="Z109" s="452">
        <f t="shared" ref="Z109:AB109" si="476">SUM(Z110,Z111,Z112,Z113,Z114)</f>
        <v>92291</v>
      </c>
      <c r="AA109" s="450">
        <f t="shared" si="476"/>
        <v>49912</v>
      </c>
      <c r="AB109" s="450">
        <f t="shared" si="476"/>
        <v>94391</v>
      </c>
      <c r="AC109" s="452">
        <f>SUM(AC110,AC111,AC112,AC113,AC114)</f>
        <v>191161</v>
      </c>
      <c r="AD109" s="452">
        <f>SUM(AD110,AD111,AD112,AD113,AD114)</f>
        <v>241073</v>
      </c>
      <c r="AE109" s="453">
        <f>SUM(AE110,AE111,AE112,AE113,AE114)</f>
        <v>335464</v>
      </c>
      <c r="AF109" s="452">
        <f>SUM(AF110,AF111,AF112,AF113,AF114)</f>
        <v>35275</v>
      </c>
      <c r="AG109" s="452">
        <f t="shared" si="319"/>
        <v>88214</v>
      </c>
      <c r="AH109" s="452">
        <f t="shared" si="320"/>
        <v>70969</v>
      </c>
      <c r="AI109" s="452">
        <f t="shared" si="321"/>
        <v>56351</v>
      </c>
      <c r="AJ109" s="452">
        <f>SUM(AJ110,AJ111,AJ112,AJ113,AJ114)</f>
        <v>123489</v>
      </c>
      <c r="AK109" s="452">
        <f>SUM(AK110,AK111,AK112,AK113,AK114)</f>
        <v>194458</v>
      </c>
      <c r="AL109" s="453">
        <f>SUM(AL110,AL111,AL112,AL113,AL114)</f>
        <v>250809</v>
      </c>
      <c r="AM109" s="452">
        <f>SUM(AM110,AM111,AM112,AM113,AM114)</f>
        <v>32860</v>
      </c>
      <c r="AN109" s="452">
        <f t="shared" si="323"/>
        <v>42016</v>
      </c>
      <c r="AO109" s="452">
        <f t="shared" si="324"/>
        <v>51480</v>
      </c>
      <c r="AP109" s="452">
        <f t="shared" si="324"/>
        <v>49099</v>
      </c>
      <c r="AQ109" s="452">
        <f>SUM(AQ110,AQ111,AQ112,AQ113,AQ114)</f>
        <v>74876</v>
      </c>
      <c r="AR109" s="452">
        <f>SUM(AR110,AR111,AR112,AR113,AR114)</f>
        <v>126356</v>
      </c>
      <c r="AS109" s="453">
        <f>SUM(AS110,AS111,AS112,AS113,AS114)</f>
        <v>175455</v>
      </c>
      <c r="AT109" s="452">
        <f>SUM(AT110,AT111,AT112,AT113,AT114)</f>
        <v>22871.270199999999</v>
      </c>
      <c r="AU109" s="452">
        <f>SUM(AU110,AU111,AU112,AU113,AU114,AU115)</f>
        <v>14223.766</v>
      </c>
      <c r="AV109" s="452">
        <f>SUM(AV110,AV111,AV112,AV113,AV114)</f>
        <v>27474.833999999999</v>
      </c>
      <c r="AW109" s="452">
        <f t="shared" si="419"/>
        <v>30677.11280000001</v>
      </c>
      <c r="AX109" s="452">
        <f>SUM(AX110,AX111,AX112,AX113,AX114,AX115)</f>
        <v>37095.036200000002</v>
      </c>
      <c r="AY109" s="452">
        <f t="shared" ref="AY109:BE109" si="477">SUM(AY110,AY111,AY112,AY113,AY114)</f>
        <v>64569.870199999998</v>
      </c>
      <c r="AZ109" s="452">
        <f t="shared" si="477"/>
        <v>95246.983000000007</v>
      </c>
      <c r="BA109" s="452">
        <f t="shared" si="477"/>
        <v>25914</v>
      </c>
      <c r="BB109" s="452">
        <f t="shared" si="477"/>
        <v>23506</v>
      </c>
      <c r="BC109" s="452">
        <f t="shared" si="477"/>
        <v>27244</v>
      </c>
      <c r="BD109" s="452">
        <f t="shared" si="477"/>
        <v>34804</v>
      </c>
      <c r="BE109" s="452">
        <f t="shared" si="477"/>
        <v>49420</v>
      </c>
      <c r="BF109" s="452">
        <f t="shared" ref="BF109:BG109" si="478">SUM(BF110,BF111,BF112,BF113,BF114)</f>
        <v>76664</v>
      </c>
      <c r="BG109" s="452">
        <f t="shared" si="478"/>
        <v>111468</v>
      </c>
      <c r="BH109" s="452">
        <f t="shared" ref="BH109:BL109" si="479">SUM(BH110,BH111,BH112,BH113,BH114)</f>
        <v>33293</v>
      </c>
      <c r="BI109" s="452">
        <f t="shared" si="479"/>
        <v>37194</v>
      </c>
      <c r="BJ109" s="452">
        <f t="shared" si="479"/>
        <v>46450</v>
      </c>
      <c r="BK109" s="452">
        <f t="shared" si="479"/>
        <v>41562</v>
      </c>
      <c r="BL109" s="452">
        <f t="shared" si="479"/>
        <v>70487</v>
      </c>
      <c r="BM109" s="452">
        <f t="shared" ref="BM109:BN109" si="480">SUM(BM110,BM111,BM112,BM113,BM114)</f>
        <v>116937</v>
      </c>
      <c r="BN109" s="452">
        <f t="shared" si="480"/>
        <v>158499</v>
      </c>
      <c r="BO109" s="452">
        <f t="shared" ref="BO109:BS109" si="481">SUM(BO110,BO111,BO112,BO113,BO114)</f>
        <v>22238</v>
      </c>
      <c r="BP109" s="452">
        <f t="shared" si="481"/>
        <v>27369</v>
      </c>
      <c r="BQ109" s="452">
        <f t="shared" si="481"/>
        <v>38233</v>
      </c>
      <c r="BR109" s="452">
        <f t="shared" si="481"/>
        <v>28349</v>
      </c>
      <c r="BS109" s="452">
        <f t="shared" si="481"/>
        <v>49607</v>
      </c>
      <c r="BT109" s="452">
        <f t="shared" ref="BT109:BU109" si="482">SUM(BT110,BT111,BT112,BT113,BT114)</f>
        <v>87840</v>
      </c>
      <c r="BU109" s="452">
        <f t="shared" si="482"/>
        <v>116189</v>
      </c>
      <c r="BV109" s="452">
        <f t="shared" ref="BV109:BY109" si="483">SUM(BV110,BV111,BV112,BV113,BV114)</f>
        <v>35456</v>
      </c>
      <c r="BW109" s="452">
        <f t="shared" si="483"/>
        <v>43324</v>
      </c>
      <c r="BX109" s="452">
        <f t="shared" si="483"/>
        <v>123156</v>
      </c>
      <c r="BY109" s="452">
        <f t="shared" si="483"/>
        <v>42491</v>
      </c>
      <c r="BZ109" s="452">
        <f t="shared" ref="BZ109:CA109" si="484">SUM(BZ110,BZ111,BZ112,BZ113,BZ114)</f>
        <v>80260</v>
      </c>
      <c r="CA109" s="452">
        <f t="shared" si="484"/>
        <v>203416</v>
      </c>
      <c r="CB109" s="452">
        <f t="shared" ref="CB109:CC109" si="485">SUM(CB110,CB111,CB112,CB113,CB114)</f>
        <v>245907</v>
      </c>
      <c r="CC109" s="452">
        <f t="shared" si="485"/>
        <v>16939</v>
      </c>
      <c r="CD109" s="452">
        <f t="shared" ref="CD109" si="486">SUM(CD110,CD111,CD112,CD113,CD114)</f>
        <v>72839</v>
      </c>
      <c r="CE109" s="452">
        <f t="shared" ref="CE109:CG109" si="487">SUM(CE110,CE111,CE112,CE113,CE114)</f>
        <v>41625</v>
      </c>
      <c r="CF109" s="452">
        <f t="shared" si="487"/>
        <v>22158</v>
      </c>
      <c r="CG109" s="452">
        <f t="shared" si="487"/>
        <v>89778</v>
      </c>
      <c r="CH109" s="452">
        <f t="shared" ref="CH109:CI109" si="488">SUM(CH110,CH111,CH112,CH113,CH114)</f>
        <v>131403</v>
      </c>
      <c r="CI109" s="452">
        <f t="shared" si="488"/>
        <v>153561</v>
      </c>
      <c r="CJ109" s="452">
        <v>16324</v>
      </c>
      <c r="CK109" s="452">
        <f t="shared" ref="CK109" si="489">SUM(CK110,CK111,CK112,CK113,CK114)</f>
        <v>9965</v>
      </c>
      <c r="CL109" s="452">
        <f t="shared" ref="CL109:CO109" si="490">SUM(CL110,CL111,CL112,CL113,CL114)</f>
        <v>0</v>
      </c>
      <c r="CM109" s="452">
        <f t="shared" si="490"/>
        <v>0</v>
      </c>
      <c r="CN109" s="452">
        <f t="shared" si="490"/>
        <v>26289</v>
      </c>
      <c r="CO109" s="452">
        <f t="shared" si="490"/>
        <v>0</v>
      </c>
    </row>
    <row r="110" spans="1:93" s="289" customFormat="1" x14ac:dyDescent="0.25">
      <c r="A110" s="455" t="str">
        <f>Language!C95</f>
        <v>Concepa</v>
      </c>
      <c r="B110" s="280">
        <v>21796</v>
      </c>
      <c r="C110" s="280">
        <v>-4100</v>
      </c>
      <c r="D110" s="280">
        <v>9959</v>
      </c>
      <c r="E110" s="280">
        <v>16742</v>
      </c>
      <c r="F110" s="279">
        <v>16194</v>
      </c>
      <c r="G110" s="280">
        <v>15425</v>
      </c>
      <c r="H110" s="280">
        <v>13554</v>
      </c>
      <c r="I110" s="280">
        <v>18364</v>
      </c>
      <c r="J110" s="279">
        <v>11315</v>
      </c>
      <c r="K110" s="280">
        <v>10284</v>
      </c>
      <c r="L110" s="280">
        <v>3846</v>
      </c>
      <c r="M110" s="280">
        <v>12005</v>
      </c>
      <c r="N110" s="279">
        <v>11307</v>
      </c>
      <c r="O110" s="280">
        <v>15593</v>
      </c>
      <c r="P110" s="280">
        <v>42154</v>
      </c>
      <c r="Q110" s="280">
        <v>73359</v>
      </c>
      <c r="R110" s="279">
        <v>63160</v>
      </c>
      <c r="S110" s="280">
        <v>68476</v>
      </c>
      <c r="T110" s="280">
        <f t="shared" ref="T110:T114" si="491">W110-S110-R110</f>
        <v>64190</v>
      </c>
      <c r="U110" s="280">
        <f>X110-W110</f>
        <v>-15111</v>
      </c>
      <c r="V110" s="280">
        <f t="shared" ref="V110:V114" si="492">R110+S110</f>
        <v>131636</v>
      </c>
      <c r="W110" s="281">
        <v>195826</v>
      </c>
      <c r="X110" s="282">
        <v>180715</v>
      </c>
      <c r="Y110" s="283">
        <v>5948</v>
      </c>
      <c r="Z110" s="281">
        <f t="shared" ref="Z110:Z114" si="493">AC110-Y110</f>
        <v>9125</v>
      </c>
      <c r="AA110" s="280">
        <f t="shared" ref="AA110:AA114" si="494">AD110-Z110-Y110</f>
        <v>-442</v>
      </c>
      <c r="AB110" s="280">
        <f>AE110-AD110</f>
        <v>876</v>
      </c>
      <c r="AC110" s="281">
        <v>15073</v>
      </c>
      <c r="AD110" s="281">
        <v>14631</v>
      </c>
      <c r="AE110" s="282">
        <v>15507</v>
      </c>
      <c r="AF110" s="281">
        <v>11019</v>
      </c>
      <c r="AG110" s="281">
        <f t="shared" si="319"/>
        <v>26406</v>
      </c>
      <c r="AH110" s="281">
        <f t="shared" si="320"/>
        <v>0</v>
      </c>
      <c r="AI110" s="281">
        <f t="shared" si="321"/>
        <v>0</v>
      </c>
      <c r="AJ110" s="281">
        <v>37425</v>
      </c>
      <c r="AK110" s="281">
        <v>37425</v>
      </c>
      <c r="AL110" s="282">
        <v>37425</v>
      </c>
      <c r="AM110" s="281">
        <v>0</v>
      </c>
      <c r="AN110" s="281">
        <f t="shared" si="323"/>
        <v>0</v>
      </c>
      <c r="AO110" s="281">
        <f t="shared" si="324"/>
        <v>0</v>
      </c>
      <c r="AP110" s="281">
        <f t="shared" si="324"/>
        <v>0</v>
      </c>
      <c r="AQ110" s="281">
        <v>0</v>
      </c>
      <c r="AR110" s="281"/>
      <c r="AS110" s="282"/>
      <c r="AT110" s="281"/>
      <c r="AU110" s="281"/>
      <c r="AV110" s="281"/>
      <c r="AW110" s="281">
        <f t="shared" si="419"/>
        <v>0</v>
      </c>
      <c r="AX110" s="281"/>
      <c r="AY110" s="281"/>
      <c r="AZ110" s="733">
        <v>0</v>
      </c>
      <c r="BA110" s="733">
        <v>0</v>
      </c>
      <c r="BB110" s="281">
        <f>BE110-BA110</f>
        <v>0</v>
      </c>
      <c r="BC110" s="733">
        <f>BF110-BE110</f>
        <v>0</v>
      </c>
      <c r="BD110" s="733"/>
      <c r="BE110" s="733">
        <v>0</v>
      </c>
      <c r="BF110" s="733">
        <v>0</v>
      </c>
      <c r="BG110" s="733"/>
      <c r="BH110" s="733"/>
      <c r="BI110" s="733"/>
      <c r="BJ110" s="733"/>
      <c r="BK110" s="733"/>
      <c r="BL110" s="733"/>
      <c r="BM110" s="733"/>
      <c r="BN110" s="733"/>
      <c r="BO110" s="733"/>
      <c r="BP110" s="733"/>
      <c r="BQ110" s="733"/>
      <c r="BR110" s="733"/>
      <c r="BS110" s="733"/>
      <c r="BT110" s="733"/>
      <c r="BU110" s="733"/>
      <c r="BV110" s="733"/>
      <c r="BW110" s="733"/>
      <c r="BX110" s="733"/>
      <c r="BY110" s="733"/>
      <c r="BZ110" s="733"/>
      <c r="CA110" s="733"/>
      <c r="CB110" s="733"/>
      <c r="CC110" s="733"/>
      <c r="CD110" s="733"/>
      <c r="CE110" s="733"/>
      <c r="CF110" s="733"/>
      <c r="CG110" s="733"/>
      <c r="CH110" s="733"/>
      <c r="CI110" s="733"/>
      <c r="CJ110" s="733"/>
      <c r="CK110" s="733"/>
      <c r="CL110" s="733"/>
      <c r="CM110" s="733"/>
      <c r="CN110" s="733"/>
      <c r="CO110" s="733"/>
    </row>
    <row r="111" spans="1:93" s="289" customFormat="1" x14ac:dyDescent="0.25">
      <c r="A111" s="455" t="str">
        <f>Language!C96</f>
        <v>Concer</v>
      </c>
      <c r="B111" s="280">
        <v>5220</v>
      </c>
      <c r="C111" s="280">
        <v>4812</v>
      </c>
      <c r="D111" s="280">
        <v>9925</v>
      </c>
      <c r="E111" s="280">
        <v>14801</v>
      </c>
      <c r="F111" s="279">
        <v>7174</v>
      </c>
      <c r="G111" s="280">
        <v>7265</v>
      </c>
      <c r="H111" s="280">
        <v>10697</v>
      </c>
      <c r="I111" s="280">
        <v>17062</v>
      </c>
      <c r="J111" s="279">
        <v>13309</v>
      </c>
      <c r="K111" s="280">
        <v>13105</v>
      </c>
      <c r="L111" s="280">
        <v>13052</v>
      </c>
      <c r="M111" s="280">
        <v>24337</v>
      </c>
      <c r="N111" s="279">
        <v>24501</v>
      </c>
      <c r="O111" s="280">
        <v>86348</v>
      </c>
      <c r="P111" s="280">
        <v>120209</v>
      </c>
      <c r="Q111" s="280">
        <v>24594</v>
      </c>
      <c r="R111" s="279">
        <v>236328</v>
      </c>
      <c r="S111" s="280">
        <v>54363</v>
      </c>
      <c r="T111" s="280">
        <f t="shared" si="491"/>
        <v>32896</v>
      </c>
      <c r="U111" s="280">
        <f>X111-W111</f>
        <v>26739</v>
      </c>
      <c r="V111" s="280">
        <f t="shared" si="492"/>
        <v>290691</v>
      </c>
      <c r="W111" s="281">
        <v>323587</v>
      </c>
      <c r="X111" s="282">
        <v>350326</v>
      </c>
      <c r="Y111" s="283">
        <v>27481</v>
      </c>
      <c r="Z111" s="281">
        <f t="shared" si="493"/>
        <v>19357</v>
      </c>
      <c r="AA111" s="280">
        <f t="shared" si="494"/>
        <v>6541</v>
      </c>
      <c r="AB111" s="280">
        <f>AE111-AD111</f>
        <v>1390</v>
      </c>
      <c r="AC111" s="281">
        <v>46838</v>
      </c>
      <c r="AD111" s="281">
        <v>53379</v>
      </c>
      <c r="AE111" s="282">
        <v>54769</v>
      </c>
      <c r="AF111" s="281">
        <v>3233</v>
      </c>
      <c r="AG111" s="281">
        <f t="shared" si="319"/>
        <v>46961</v>
      </c>
      <c r="AH111" s="281">
        <f t="shared" si="320"/>
        <v>4411</v>
      </c>
      <c r="AI111" s="281">
        <f t="shared" si="321"/>
        <v>4273</v>
      </c>
      <c r="AJ111" s="281">
        <v>50194</v>
      </c>
      <c r="AK111" s="281">
        <v>54605</v>
      </c>
      <c r="AL111" s="282">
        <v>58878</v>
      </c>
      <c r="AM111" s="281">
        <v>1944</v>
      </c>
      <c r="AN111" s="281">
        <f t="shared" si="323"/>
        <v>1666</v>
      </c>
      <c r="AO111" s="281">
        <f t="shared" si="324"/>
        <v>1342</v>
      </c>
      <c r="AP111" s="281">
        <f t="shared" si="324"/>
        <v>2211</v>
      </c>
      <c r="AQ111" s="281">
        <v>3610</v>
      </c>
      <c r="AR111" s="281">
        <v>4952</v>
      </c>
      <c r="AS111" s="282">
        <v>7163</v>
      </c>
      <c r="AT111" s="281">
        <v>1764.2701999999999</v>
      </c>
      <c r="AU111" s="281">
        <f t="shared" ref="AU111:AU123" si="495">AX111-AT111</f>
        <v>843.76600000000008</v>
      </c>
      <c r="AV111" s="281">
        <f>AY111-AX111</f>
        <v>2429.8339999999994</v>
      </c>
      <c r="AW111" s="281">
        <f t="shared" si="419"/>
        <v>1446.1128000000008</v>
      </c>
      <c r="AX111" s="281">
        <v>2608.0362</v>
      </c>
      <c r="AY111" s="281">
        <v>5037.8701999999994</v>
      </c>
      <c r="AZ111" s="281">
        <v>6483.9830000000002</v>
      </c>
      <c r="BA111" s="281">
        <v>1635</v>
      </c>
      <c r="BB111" s="281">
        <f t="shared" ref="BB111:BB136" si="496">BE111-BA111</f>
        <v>639</v>
      </c>
      <c r="BC111" s="281">
        <f t="shared" ref="BC111:BC114" si="497">BF111-BE111</f>
        <v>761</v>
      </c>
      <c r="BD111" s="281">
        <f>BG111-BF111</f>
        <v>799</v>
      </c>
      <c r="BE111" s="281">
        <v>2274</v>
      </c>
      <c r="BF111" s="281">
        <v>3035</v>
      </c>
      <c r="BG111" s="281">
        <v>3834</v>
      </c>
      <c r="BH111" s="281">
        <v>934</v>
      </c>
      <c r="BI111" s="281">
        <f>BL111-BH111</f>
        <v>244</v>
      </c>
      <c r="BJ111" s="281">
        <f>BM111-BL111</f>
        <v>492</v>
      </c>
      <c r="BK111" s="281">
        <f>BN111-BM111</f>
        <v>811</v>
      </c>
      <c r="BL111" s="281">
        <v>1178</v>
      </c>
      <c r="BM111" s="281">
        <v>1670</v>
      </c>
      <c r="BN111" s="281">
        <v>2481</v>
      </c>
      <c r="BO111" s="281">
        <v>27</v>
      </c>
      <c r="BP111" s="281">
        <f>BS111-BO111</f>
        <v>14</v>
      </c>
      <c r="BQ111" s="281">
        <f>BT111-BS111</f>
        <v>94</v>
      </c>
      <c r="BR111" s="281">
        <f>BU111-BT111</f>
        <v>44</v>
      </c>
      <c r="BS111" s="281">
        <v>41</v>
      </c>
      <c r="BT111" s="281">
        <v>135</v>
      </c>
      <c r="BU111" s="281">
        <v>179</v>
      </c>
      <c r="BV111" s="281">
        <v>5469</v>
      </c>
      <c r="BW111" s="281">
        <v>5469</v>
      </c>
      <c r="BX111" s="281">
        <f>CA111-BZ111</f>
        <v>4101</v>
      </c>
      <c r="BY111" s="281">
        <f>CB111-CA111</f>
        <v>4544</v>
      </c>
      <c r="BZ111" s="281">
        <v>12418</v>
      </c>
      <c r="CA111" s="281">
        <v>16519</v>
      </c>
      <c r="CB111" s="281">
        <v>21063</v>
      </c>
      <c r="CC111" s="281">
        <v>4030</v>
      </c>
      <c r="CD111" s="281">
        <f>CG111-CC111</f>
        <v>7932</v>
      </c>
      <c r="CE111" s="281">
        <f>CH111-CG111</f>
        <v>5787</v>
      </c>
      <c r="CF111" s="281">
        <f>CI111-CH111</f>
        <v>4808</v>
      </c>
      <c r="CG111" s="281">
        <v>11962</v>
      </c>
      <c r="CH111" s="281">
        <v>17749</v>
      </c>
      <c r="CI111" s="281">
        <v>22557</v>
      </c>
      <c r="CJ111" s="281">
        <v>2111</v>
      </c>
      <c r="CK111" s="281">
        <f>CN111-CJ111</f>
        <v>243</v>
      </c>
      <c r="CL111" s="281"/>
      <c r="CM111" s="281"/>
      <c r="CN111" s="281">
        <v>2354</v>
      </c>
      <c r="CO111" s="281"/>
    </row>
    <row r="112" spans="1:93" s="289" customFormat="1" x14ac:dyDescent="0.25">
      <c r="A112" s="455" t="str">
        <f>Language!C97</f>
        <v>Econorte</v>
      </c>
      <c r="B112" s="280">
        <v>1520</v>
      </c>
      <c r="C112" s="280">
        <v>4757</v>
      </c>
      <c r="D112" s="280">
        <v>3965</v>
      </c>
      <c r="E112" s="280">
        <v>5258</v>
      </c>
      <c r="F112" s="279">
        <v>5352</v>
      </c>
      <c r="G112" s="280">
        <v>11575</v>
      </c>
      <c r="H112" s="280">
        <v>8559</v>
      </c>
      <c r="I112" s="280">
        <v>17009</v>
      </c>
      <c r="J112" s="279">
        <v>7992</v>
      </c>
      <c r="K112" s="280">
        <v>9940</v>
      </c>
      <c r="L112" s="280">
        <v>16212</v>
      </c>
      <c r="M112" s="280">
        <v>33238</v>
      </c>
      <c r="N112" s="279">
        <v>26817</v>
      </c>
      <c r="O112" s="280">
        <v>24360</v>
      </c>
      <c r="P112" s="280">
        <v>23759</v>
      </c>
      <c r="Q112" s="280">
        <v>14844</v>
      </c>
      <c r="R112" s="279">
        <v>4140</v>
      </c>
      <c r="S112" s="280">
        <v>8340</v>
      </c>
      <c r="T112" s="280">
        <f t="shared" si="491"/>
        <v>9233</v>
      </c>
      <c r="U112" s="280">
        <f>X112-W112</f>
        <v>12435</v>
      </c>
      <c r="V112" s="280">
        <f t="shared" si="492"/>
        <v>12480</v>
      </c>
      <c r="W112" s="281">
        <v>21713</v>
      </c>
      <c r="X112" s="282">
        <v>34148</v>
      </c>
      <c r="Y112" s="283">
        <v>5599</v>
      </c>
      <c r="Z112" s="281">
        <f t="shared" si="493"/>
        <v>5535</v>
      </c>
      <c r="AA112" s="280">
        <f t="shared" si="494"/>
        <v>9463</v>
      </c>
      <c r="AB112" s="280">
        <f>AE112-AD112</f>
        <v>6732</v>
      </c>
      <c r="AC112" s="281">
        <v>11134</v>
      </c>
      <c r="AD112" s="281">
        <v>20597</v>
      </c>
      <c r="AE112" s="282">
        <v>27329</v>
      </c>
      <c r="AF112" s="281">
        <v>6834</v>
      </c>
      <c r="AG112" s="281">
        <f t="shared" si="319"/>
        <v>8444</v>
      </c>
      <c r="AH112" s="281">
        <f t="shared" si="320"/>
        <v>17488</v>
      </c>
      <c r="AI112" s="281">
        <f t="shared" si="321"/>
        <v>11952</v>
      </c>
      <c r="AJ112" s="281">
        <v>15278</v>
      </c>
      <c r="AK112" s="281">
        <v>32766</v>
      </c>
      <c r="AL112" s="282">
        <v>44718</v>
      </c>
      <c r="AM112" s="281">
        <v>1001</v>
      </c>
      <c r="AN112" s="281">
        <f t="shared" si="323"/>
        <v>876</v>
      </c>
      <c r="AO112" s="281">
        <f t="shared" si="324"/>
        <v>7664</v>
      </c>
      <c r="AP112" s="281">
        <f t="shared" si="324"/>
        <v>16533</v>
      </c>
      <c r="AQ112" s="281">
        <v>1877</v>
      </c>
      <c r="AR112" s="281">
        <v>9541</v>
      </c>
      <c r="AS112" s="282">
        <v>26074</v>
      </c>
      <c r="AT112" s="281">
        <v>13610</v>
      </c>
      <c r="AU112" s="281">
        <f t="shared" si="495"/>
        <v>5710</v>
      </c>
      <c r="AV112" s="281">
        <f t="shared" ref="AV112:AV115" si="498">AY112-AX112</f>
        <v>9358</v>
      </c>
      <c r="AW112" s="281">
        <f t="shared" si="419"/>
        <v>14599</v>
      </c>
      <c r="AX112" s="281">
        <v>19320</v>
      </c>
      <c r="AY112" s="281">
        <v>28678</v>
      </c>
      <c r="AZ112" s="281">
        <v>43277</v>
      </c>
      <c r="BA112" s="281">
        <v>16467</v>
      </c>
      <c r="BB112" s="281">
        <f t="shared" si="496"/>
        <v>16429</v>
      </c>
      <c r="BC112" s="281">
        <f t="shared" si="497"/>
        <v>13670</v>
      </c>
      <c r="BD112" s="281">
        <f t="shared" ref="BD112:BD114" si="499">BG112-BF112</f>
        <v>21510</v>
      </c>
      <c r="BE112" s="281">
        <v>32896</v>
      </c>
      <c r="BF112" s="281">
        <v>46566</v>
      </c>
      <c r="BG112" s="281">
        <v>68076</v>
      </c>
      <c r="BH112" s="281">
        <v>24662</v>
      </c>
      <c r="BI112" s="281">
        <f t="shared" ref="BI112:BI114" si="500">BL112-BH112</f>
        <v>30560</v>
      </c>
      <c r="BJ112" s="281">
        <f t="shared" ref="BJ112:BJ114" si="501">BM112-BL112</f>
        <v>29495</v>
      </c>
      <c r="BK112" s="281">
        <f t="shared" ref="BK112:BK114" si="502">BN112-BM112</f>
        <v>21952</v>
      </c>
      <c r="BL112" s="281">
        <v>55222</v>
      </c>
      <c r="BM112" s="281">
        <v>84717</v>
      </c>
      <c r="BN112" s="281">
        <v>106669</v>
      </c>
      <c r="BO112" s="281">
        <v>0</v>
      </c>
      <c r="BP112" s="281">
        <f t="shared" ref="BP112:BP114" si="503">BS112-BO112</f>
        <v>0</v>
      </c>
      <c r="BQ112" s="281">
        <f t="shared" ref="BQ112:BQ114" si="504">BT112-BS112</f>
        <v>0</v>
      </c>
      <c r="BR112" s="281">
        <f t="shared" ref="BR112:BR114" si="505">BU112-BT112</f>
        <v>0</v>
      </c>
      <c r="BS112" s="281">
        <v>0</v>
      </c>
      <c r="BT112" s="281">
        <v>0</v>
      </c>
      <c r="BU112" s="281">
        <v>0</v>
      </c>
      <c r="BV112" s="281">
        <v>0</v>
      </c>
      <c r="BW112" s="281">
        <f>BZ112-BV112</f>
        <v>0</v>
      </c>
      <c r="BX112" s="281">
        <f>CA112-BZ112</f>
        <v>0</v>
      </c>
      <c r="BY112" s="281">
        <f>CB112-CA112</f>
        <v>0</v>
      </c>
      <c r="BZ112" s="281">
        <v>0</v>
      </c>
      <c r="CA112" s="281">
        <v>0</v>
      </c>
      <c r="CB112" s="281">
        <v>0</v>
      </c>
      <c r="CC112" s="281">
        <v>0</v>
      </c>
      <c r="CD112" s="281">
        <f t="shared" ref="CD112:CD114" si="506">CG112-CC112</f>
        <v>0</v>
      </c>
      <c r="CE112" s="281">
        <f t="shared" ref="CE112:CE114" si="507">CH112-CG112</f>
        <v>0</v>
      </c>
      <c r="CF112" s="281">
        <f t="shared" ref="CF112:CF114" si="508">CI112-CH112</f>
        <v>0</v>
      </c>
      <c r="CG112" s="281">
        <v>0</v>
      </c>
      <c r="CH112" s="281">
        <v>0</v>
      </c>
      <c r="CI112" s="281">
        <v>0</v>
      </c>
      <c r="CJ112" s="281">
        <v>0</v>
      </c>
      <c r="CK112" s="281">
        <f t="shared" ref="CK112:CK114" si="509">CN112-CJ112</f>
        <v>0</v>
      </c>
      <c r="CL112" s="281"/>
      <c r="CM112" s="281"/>
      <c r="CN112" s="281">
        <v>0</v>
      </c>
      <c r="CO112" s="281"/>
    </row>
    <row r="113" spans="1:93" x14ac:dyDescent="0.25">
      <c r="A113" s="455" t="str">
        <f>Language!C98</f>
        <v>Concebra</v>
      </c>
      <c r="B113" s="280">
        <v>0</v>
      </c>
      <c r="C113" s="280">
        <v>0</v>
      </c>
      <c r="D113" s="280">
        <v>0</v>
      </c>
      <c r="E113" s="280">
        <v>0</v>
      </c>
      <c r="F113" s="279">
        <v>0</v>
      </c>
      <c r="G113" s="280">
        <v>0</v>
      </c>
      <c r="H113" s="280">
        <v>0</v>
      </c>
      <c r="I113" s="280">
        <v>0</v>
      </c>
      <c r="J113" s="279">
        <v>0</v>
      </c>
      <c r="K113" s="280">
        <v>0</v>
      </c>
      <c r="L113" s="280">
        <v>0</v>
      </c>
      <c r="M113" s="280">
        <v>0</v>
      </c>
      <c r="N113" s="279">
        <v>0</v>
      </c>
      <c r="O113" s="280">
        <v>87523</v>
      </c>
      <c r="P113" s="280">
        <v>93111</v>
      </c>
      <c r="Q113" s="280">
        <v>247728</v>
      </c>
      <c r="R113" s="279">
        <v>137667</v>
      </c>
      <c r="S113" s="280">
        <v>225036</v>
      </c>
      <c r="T113" s="280">
        <f t="shared" si="491"/>
        <v>147698</v>
      </c>
      <c r="U113" s="280">
        <f>X113-W113</f>
        <v>128179</v>
      </c>
      <c r="V113" s="280">
        <f t="shared" si="492"/>
        <v>362703</v>
      </c>
      <c r="W113" s="281">
        <v>510401</v>
      </c>
      <c r="X113" s="282">
        <v>638580</v>
      </c>
      <c r="Y113" s="283">
        <v>45279</v>
      </c>
      <c r="Z113" s="281">
        <f t="shared" si="493"/>
        <v>45553</v>
      </c>
      <c r="AA113" s="280">
        <f t="shared" si="494"/>
        <v>29694</v>
      </c>
      <c r="AB113" s="280">
        <f>AE113-AD113</f>
        <v>79517</v>
      </c>
      <c r="AC113" s="281">
        <v>90832</v>
      </c>
      <c r="AD113" s="281">
        <v>120526</v>
      </c>
      <c r="AE113" s="282">
        <v>200043</v>
      </c>
      <c r="AF113" s="281">
        <v>11430</v>
      </c>
      <c r="AG113" s="281">
        <f t="shared" si="319"/>
        <v>3627</v>
      </c>
      <c r="AH113" s="281">
        <f t="shared" si="320"/>
        <v>45521</v>
      </c>
      <c r="AI113" s="281">
        <f t="shared" si="321"/>
        <v>32472</v>
      </c>
      <c r="AJ113" s="281">
        <v>15057</v>
      </c>
      <c r="AK113" s="281">
        <v>60578</v>
      </c>
      <c r="AL113" s="282">
        <v>93050</v>
      </c>
      <c r="AM113" s="281">
        <v>23238</v>
      </c>
      <c r="AN113" s="281">
        <f t="shared" si="323"/>
        <v>25552</v>
      </c>
      <c r="AO113" s="281">
        <f t="shared" si="324"/>
        <v>31519</v>
      </c>
      <c r="AP113" s="281">
        <f t="shared" si="324"/>
        <v>16720</v>
      </c>
      <c r="AQ113" s="281">
        <v>48790</v>
      </c>
      <c r="AR113" s="281">
        <v>80309</v>
      </c>
      <c r="AS113" s="282">
        <v>97029</v>
      </c>
      <c r="AT113" s="281">
        <v>2188</v>
      </c>
      <c r="AU113" s="281">
        <f t="shared" si="495"/>
        <v>1571</v>
      </c>
      <c r="AV113" s="281">
        <f t="shared" si="498"/>
        <v>9366</v>
      </c>
      <c r="AW113" s="281">
        <f t="shared" si="419"/>
        <v>8073</v>
      </c>
      <c r="AX113" s="281">
        <v>3759</v>
      </c>
      <c r="AY113" s="281">
        <v>13125</v>
      </c>
      <c r="AZ113" s="281">
        <v>21198</v>
      </c>
      <c r="BA113" s="281">
        <v>2455</v>
      </c>
      <c r="BB113" s="281">
        <f t="shared" si="496"/>
        <v>3859</v>
      </c>
      <c r="BC113" s="281">
        <f t="shared" si="497"/>
        <v>8974</v>
      </c>
      <c r="BD113" s="281">
        <f t="shared" si="499"/>
        <v>7051</v>
      </c>
      <c r="BE113" s="281">
        <v>6314</v>
      </c>
      <c r="BF113" s="281">
        <v>15288</v>
      </c>
      <c r="BG113" s="281">
        <v>22339</v>
      </c>
      <c r="BH113" s="281">
        <v>3058</v>
      </c>
      <c r="BI113" s="281">
        <f t="shared" si="500"/>
        <v>1283</v>
      </c>
      <c r="BJ113" s="281">
        <f t="shared" si="501"/>
        <v>605</v>
      </c>
      <c r="BK113" s="281">
        <f t="shared" si="502"/>
        <v>615</v>
      </c>
      <c r="BL113" s="281">
        <v>4341</v>
      </c>
      <c r="BM113" s="281">
        <v>4946</v>
      </c>
      <c r="BN113" s="281">
        <v>5561</v>
      </c>
      <c r="BO113" s="281">
        <v>6456</v>
      </c>
      <c r="BP113" s="281">
        <f t="shared" si="503"/>
        <v>6830</v>
      </c>
      <c r="BQ113" s="281">
        <f t="shared" si="504"/>
        <v>11423</v>
      </c>
      <c r="BR113" s="281">
        <f t="shared" si="505"/>
        <v>11924</v>
      </c>
      <c r="BS113" s="281">
        <v>13286</v>
      </c>
      <c r="BT113" s="281">
        <v>24709</v>
      </c>
      <c r="BU113" s="281">
        <v>36633</v>
      </c>
      <c r="BV113" s="281">
        <v>15017</v>
      </c>
      <c r="BW113" s="281">
        <f t="shared" ref="BW113:BW114" si="510">BZ113-BV113</f>
        <v>22035</v>
      </c>
      <c r="BX113" s="281">
        <f t="shared" ref="BX113:BX114" si="511">CA113-BZ113</f>
        <v>99090</v>
      </c>
      <c r="BY113" s="281">
        <f t="shared" ref="BY113:BY115" si="512">CB113-CA113</f>
        <v>24231</v>
      </c>
      <c r="BZ113" s="281">
        <v>37052</v>
      </c>
      <c r="CA113" s="281">
        <v>136142</v>
      </c>
      <c r="CB113" s="281">
        <v>160373</v>
      </c>
      <c r="CC113" s="281">
        <v>4700</v>
      </c>
      <c r="CD113" s="281">
        <f t="shared" si="506"/>
        <v>54776</v>
      </c>
      <c r="CE113" s="281">
        <f t="shared" si="507"/>
        <v>20700</v>
      </c>
      <c r="CF113" s="281">
        <f t="shared" si="508"/>
        <v>12424</v>
      </c>
      <c r="CG113" s="281">
        <v>59476</v>
      </c>
      <c r="CH113" s="281">
        <v>80176</v>
      </c>
      <c r="CI113" s="281">
        <v>92600</v>
      </c>
      <c r="CJ113" s="281">
        <v>3977</v>
      </c>
      <c r="CK113" s="281">
        <f t="shared" si="509"/>
        <v>3666</v>
      </c>
      <c r="CL113" s="281"/>
      <c r="CM113" s="281"/>
      <c r="CN113" s="281">
        <v>7643</v>
      </c>
      <c r="CO113" s="281"/>
    </row>
    <row r="114" spans="1:93" s="289" customFormat="1" x14ac:dyDescent="0.25">
      <c r="A114" s="455" t="str">
        <f>Language!C99</f>
        <v>Transbrasiliana</v>
      </c>
      <c r="B114" s="456">
        <v>0</v>
      </c>
      <c r="C114" s="456">
        <v>0</v>
      </c>
      <c r="D114" s="456">
        <v>0</v>
      </c>
      <c r="E114" s="456">
        <v>0</v>
      </c>
      <c r="F114" s="457">
        <v>0</v>
      </c>
      <c r="G114" s="456">
        <v>0</v>
      </c>
      <c r="H114" s="456">
        <v>0</v>
      </c>
      <c r="I114" s="456">
        <v>0</v>
      </c>
      <c r="J114" s="457">
        <v>0</v>
      </c>
      <c r="K114" s="456">
        <v>0</v>
      </c>
      <c r="L114" s="456">
        <v>0</v>
      </c>
      <c r="M114" s="456">
        <v>0</v>
      </c>
      <c r="N114" s="457">
        <v>0</v>
      </c>
      <c r="O114" s="456">
        <v>0</v>
      </c>
      <c r="P114" s="456">
        <v>0</v>
      </c>
      <c r="Q114" s="456">
        <v>0</v>
      </c>
      <c r="R114" s="457">
        <v>14347</v>
      </c>
      <c r="S114" s="456">
        <v>13782</v>
      </c>
      <c r="T114" s="456">
        <f t="shared" si="491"/>
        <v>15325</v>
      </c>
      <c r="U114" s="456">
        <f>X114-W114</f>
        <v>50179</v>
      </c>
      <c r="V114" s="456">
        <f t="shared" si="492"/>
        <v>28129</v>
      </c>
      <c r="W114" s="458">
        <v>43454</v>
      </c>
      <c r="X114" s="459">
        <v>93633</v>
      </c>
      <c r="Y114" s="460">
        <v>14563</v>
      </c>
      <c r="Z114" s="458">
        <f t="shared" si="493"/>
        <v>12721</v>
      </c>
      <c r="AA114" s="456">
        <f t="shared" si="494"/>
        <v>4656</v>
      </c>
      <c r="AB114" s="456">
        <f>AE114-AD114</f>
        <v>5876</v>
      </c>
      <c r="AC114" s="458">
        <v>27284</v>
      </c>
      <c r="AD114" s="458">
        <v>31940</v>
      </c>
      <c r="AE114" s="459">
        <v>37816</v>
      </c>
      <c r="AF114" s="458">
        <v>2759</v>
      </c>
      <c r="AG114" s="458">
        <f t="shared" si="319"/>
        <v>2776</v>
      </c>
      <c r="AH114" s="458">
        <f t="shared" si="320"/>
        <v>3549</v>
      </c>
      <c r="AI114" s="458">
        <f t="shared" si="321"/>
        <v>7654</v>
      </c>
      <c r="AJ114" s="458">
        <v>5535</v>
      </c>
      <c r="AK114" s="458">
        <v>9084</v>
      </c>
      <c r="AL114" s="459">
        <v>16738</v>
      </c>
      <c r="AM114" s="458">
        <v>6677</v>
      </c>
      <c r="AN114" s="458">
        <f t="shared" si="323"/>
        <v>13922</v>
      </c>
      <c r="AO114" s="458">
        <f t="shared" si="324"/>
        <v>10955</v>
      </c>
      <c r="AP114" s="458">
        <f t="shared" si="324"/>
        <v>13635</v>
      </c>
      <c r="AQ114" s="458">
        <v>20599</v>
      </c>
      <c r="AR114" s="458">
        <v>31554</v>
      </c>
      <c r="AS114" s="459">
        <v>45189</v>
      </c>
      <c r="AT114" s="283">
        <v>5309</v>
      </c>
      <c r="AU114" s="281">
        <f t="shared" si="495"/>
        <v>6099</v>
      </c>
      <c r="AV114" s="281">
        <f t="shared" si="498"/>
        <v>6321</v>
      </c>
      <c r="AW114" s="281">
        <f t="shared" si="419"/>
        <v>6559</v>
      </c>
      <c r="AX114" s="281">
        <v>11408</v>
      </c>
      <c r="AY114" s="281">
        <v>17729</v>
      </c>
      <c r="AZ114" s="281">
        <v>24288</v>
      </c>
      <c r="BA114" s="281">
        <v>5357</v>
      </c>
      <c r="BB114" s="281">
        <f t="shared" si="496"/>
        <v>2579</v>
      </c>
      <c r="BC114" s="281">
        <f t="shared" si="497"/>
        <v>3839</v>
      </c>
      <c r="BD114" s="281">
        <f t="shared" si="499"/>
        <v>5444</v>
      </c>
      <c r="BE114" s="281">
        <v>7936</v>
      </c>
      <c r="BF114" s="281">
        <v>11775</v>
      </c>
      <c r="BG114" s="281">
        <v>17219</v>
      </c>
      <c r="BH114" s="281">
        <v>4639</v>
      </c>
      <c r="BI114" s="281">
        <f t="shared" si="500"/>
        <v>5107</v>
      </c>
      <c r="BJ114" s="281">
        <f t="shared" si="501"/>
        <v>15858</v>
      </c>
      <c r="BK114" s="281">
        <f t="shared" si="502"/>
        <v>18184</v>
      </c>
      <c r="BL114" s="281">
        <v>9746</v>
      </c>
      <c r="BM114" s="281">
        <v>25604</v>
      </c>
      <c r="BN114" s="281">
        <v>43788</v>
      </c>
      <c r="BO114" s="281">
        <v>15755</v>
      </c>
      <c r="BP114" s="281">
        <f t="shared" si="503"/>
        <v>20525</v>
      </c>
      <c r="BQ114" s="281">
        <f t="shared" si="504"/>
        <v>26716</v>
      </c>
      <c r="BR114" s="281">
        <f t="shared" si="505"/>
        <v>16381</v>
      </c>
      <c r="BS114" s="281">
        <v>36280</v>
      </c>
      <c r="BT114" s="281">
        <v>62996</v>
      </c>
      <c r="BU114" s="281">
        <v>79377</v>
      </c>
      <c r="BV114" s="281">
        <v>14970</v>
      </c>
      <c r="BW114" s="281">
        <f t="shared" si="510"/>
        <v>15820</v>
      </c>
      <c r="BX114" s="281">
        <f t="shared" si="511"/>
        <v>19965</v>
      </c>
      <c r="BY114" s="281">
        <f t="shared" si="512"/>
        <v>13716</v>
      </c>
      <c r="BZ114" s="281">
        <v>30790</v>
      </c>
      <c r="CA114" s="281">
        <v>50755</v>
      </c>
      <c r="CB114" s="281">
        <v>64471</v>
      </c>
      <c r="CC114" s="281">
        <v>8209</v>
      </c>
      <c r="CD114" s="281">
        <f t="shared" si="506"/>
        <v>10131</v>
      </c>
      <c r="CE114" s="281">
        <f t="shared" si="507"/>
        <v>15138</v>
      </c>
      <c r="CF114" s="281">
        <f t="shared" si="508"/>
        <v>4926</v>
      </c>
      <c r="CG114" s="281">
        <v>18340</v>
      </c>
      <c r="CH114" s="281">
        <v>33478</v>
      </c>
      <c r="CI114" s="281">
        <v>38404</v>
      </c>
      <c r="CJ114" s="281">
        <v>10236</v>
      </c>
      <c r="CK114" s="281">
        <f t="shared" si="509"/>
        <v>6056</v>
      </c>
      <c r="CL114" s="281"/>
      <c r="CM114" s="281"/>
      <c r="CN114" s="281">
        <v>16292</v>
      </c>
      <c r="CO114" s="281"/>
    </row>
    <row r="115" spans="1:93" s="289" customFormat="1" x14ac:dyDescent="0.25">
      <c r="A115" s="713" t="s">
        <v>670</v>
      </c>
      <c r="B115" s="280"/>
      <c r="C115" s="280"/>
      <c r="D115" s="280"/>
      <c r="E115" s="280"/>
      <c r="F115" s="279"/>
      <c r="G115" s="280"/>
      <c r="H115" s="280"/>
      <c r="I115" s="280"/>
      <c r="J115" s="279"/>
      <c r="K115" s="280"/>
      <c r="L115" s="280"/>
      <c r="M115" s="280"/>
      <c r="N115" s="279"/>
      <c r="O115" s="280"/>
      <c r="P115" s="280"/>
      <c r="Q115" s="280"/>
      <c r="R115" s="279"/>
      <c r="S115" s="280"/>
      <c r="T115" s="280"/>
      <c r="U115" s="280"/>
      <c r="V115" s="280"/>
      <c r="W115" s="281"/>
      <c r="X115" s="282"/>
      <c r="Y115" s="283"/>
      <c r="Z115" s="281"/>
      <c r="AA115" s="280"/>
      <c r="AB115" s="280"/>
      <c r="AC115" s="281"/>
      <c r="AD115" s="281"/>
      <c r="AE115" s="282"/>
      <c r="AF115" s="281"/>
      <c r="AG115" s="281"/>
      <c r="AH115" s="281"/>
      <c r="AI115" s="281"/>
      <c r="AJ115" s="281"/>
      <c r="AK115" s="281"/>
      <c r="AL115" s="282"/>
      <c r="AM115" s="281"/>
      <c r="AN115" s="281"/>
      <c r="AO115" s="281"/>
      <c r="AP115" s="281"/>
      <c r="AQ115" s="281"/>
      <c r="AR115" s="281"/>
      <c r="AS115" s="282"/>
      <c r="AT115" s="500"/>
      <c r="AU115" s="281">
        <f t="shared" si="495"/>
        <v>0</v>
      </c>
      <c r="AV115" s="281">
        <f t="shared" si="498"/>
        <v>0</v>
      </c>
      <c r="AW115" s="498"/>
      <c r="AX115" s="498">
        <v>0</v>
      </c>
      <c r="AY115" s="498"/>
      <c r="AZ115" s="498"/>
      <c r="BA115" s="498"/>
      <c r="BB115" s="498"/>
      <c r="BC115" s="498"/>
      <c r="BD115" s="498"/>
      <c r="BE115" s="498"/>
      <c r="BF115" s="498"/>
      <c r="BG115" s="498"/>
      <c r="BH115" s="498"/>
      <c r="BI115" s="498"/>
      <c r="BJ115" s="498"/>
      <c r="BK115" s="498"/>
      <c r="BL115" s="498"/>
      <c r="BM115" s="498"/>
      <c r="BN115" s="498"/>
      <c r="BO115" s="498"/>
      <c r="BP115" s="498"/>
      <c r="BQ115" s="498"/>
      <c r="BR115" s="498"/>
      <c r="BS115" s="498"/>
      <c r="BT115" s="498"/>
      <c r="BU115" s="498"/>
      <c r="BV115" s="498"/>
      <c r="BW115" s="498"/>
      <c r="BX115" s="498"/>
      <c r="BY115" s="498">
        <f t="shared" si="512"/>
        <v>0</v>
      </c>
      <c r="BZ115" s="498"/>
      <c r="CA115" s="498"/>
      <c r="CB115" s="498"/>
      <c r="CC115" s="498"/>
      <c r="CD115" s="498"/>
      <c r="CE115" s="498"/>
      <c r="CF115" s="498"/>
      <c r="CG115" s="498"/>
      <c r="CH115" s="498"/>
      <c r="CI115" s="498"/>
      <c r="CJ115" s="498"/>
      <c r="CK115" s="498"/>
      <c r="CL115" s="498"/>
      <c r="CM115" s="498"/>
      <c r="CN115" s="498"/>
      <c r="CO115" s="498"/>
    </row>
    <row r="116" spans="1:93" s="423" customFormat="1" ht="13" x14ac:dyDescent="0.3">
      <c r="A116" s="449" t="str">
        <f>Language!C100</f>
        <v>Outras Receitas</v>
      </c>
      <c r="B116" s="461">
        <f>SUM(B117,B118,B119,B120)</f>
        <v>1199</v>
      </c>
      <c r="C116" s="461">
        <f t="shared" ref="C116:M116" si="513">SUM(C117,C118,C119,C120)</f>
        <v>1121</v>
      </c>
      <c r="D116" s="461">
        <f t="shared" si="513"/>
        <v>1186</v>
      </c>
      <c r="E116" s="461">
        <f t="shared" si="513"/>
        <v>1334</v>
      </c>
      <c r="F116" s="462">
        <f t="shared" si="513"/>
        <v>1911</v>
      </c>
      <c r="G116" s="461">
        <f t="shared" si="513"/>
        <v>1374</v>
      </c>
      <c r="H116" s="461">
        <f t="shared" si="513"/>
        <v>962</v>
      </c>
      <c r="I116" s="461">
        <f t="shared" si="513"/>
        <v>6525</v>
      </c>
      <c r="J116" s="462">
        <f t="shared" si="513"/>
        <v>4366</v>
      </c>
      <c r="K116" s="461">
        <f t="shared" si="513"/>
        <v>1384</v>
      </c>
      <c r="L116" s="461">
        <f t="shared" si="513"/>
        <v>1461</v>
      </c>
      <c r="M116" s="461">
        <f t="shared" si="513"/>
        <v>1581</v>
      </c>
      <c r="N116" s="462">
        <f>SUM(N117,N118,N119,N120,N121)</f>
        <v>1499</v>
      </c>
      <c r="O116" s="461">
        <f>SUM(O117,O118,O119,O120,O121)</f>
        <v>1420</v>
      </c>
      <c r="P116" s="461">
        <f t="shared" ref="P116:R116" si="514">SUM(P117,P118,P119,P120,P121)</f>
        <v>1294</v>
      </c>
      <c r="Q116" s="461">
        <f t="shared" si="514"/>
        <v>1930</v>
      </c>
      <c r="R116" s="462">
        <f t="shared" si="514"/>
        <v>7319</v>
      </c>
      <c r="S116" s="461">
        <f t="shared" ref="S116" si="515">SUM(S117,S118,S119,S120,S121)</f>
        <v>1611</v>
      </c>
      <c r="T116" s="461">
        <f t="shared" ref="T116:Y116" si="516">SUM(T117,T118,T119,T120,T121)</f>
        <v>1537</v>
      </c>
      <c r="U116" s="463">
        <f t="shared" si="516"/>
        <v>4065</v>
      </c>
      <c r="V116" s="463">
        <f t="shared" si="516"/>
        <v>8930</v>
      </c>
      <c r="W116" s="464">
        <f t="shared" si="516"/>
        <v>10467</v>
      </c>
      <c r="X116" s="465">
        <f t="shared" si="516"/>
        <v>14532</v>
      </c>
      <c r="Y116" s="466">
        <f t="shared" si="516"/>
        <v>2056</v>
      </c>
      <c r="Z116" s="464">
        <f t="shared" ref="Z116:AB116" si="517">SUM(Z117,Z118,Z119,Z120,Z121)</f>
        <v>2445</v>
      </c>
      <c r="AA116" s="461">
        <f t="shared" si="517"/>
        <v>5640</v>
      </c>
      <c r="AB116" s="463">
        <f t="shared" si="517"/>
        <v>6485</v>
      </c>
      <c r="AC116" s="464">
        <f>SUM(AC117,AC118,AC119,AC120,AC121)</f>
        <v>4501</v>
      </c>
      <c r="AD116" s="464">
        <f>SUM(AD117,AD118,AD119,AD120,AD121)</f>
        <v>10141</v>
      </c>
      <c r="AE116" s="465">
        <f>SUM(AE117,AE118,AE119,AE120,AE121)</f>
        <v>16626</v>
      </c>
      <c r="AF116" s="464">
        <f>SUM(AF117,AF118,AF119,AF120,AF121)</f>
        <v>2328</v>
      </c>
      <c r="AG116" s="464">
        <f t="shared" si="319"/>
        <v>2170</v>
      </c>
      <c r="AH116" s="464">
        <f t="shared" si="320"/>
        <v>11607</v>
      </c>
      <c r="AI116" s="464">
        <f t="shared" si="321"/>
        <v>16537</v>
      </c>
      <c r="AJ116" s="464">
        <f>SUM(AJ117,AJ118,AJ119,AJ120,AJ121)</f>
        <v>4498</v>
      </c>
      <c r="AK116" s="464">
        <f>SUM(AK117,AK118,AK119,AK120,AK121)</f>
        <v>16105</v>
      </c>
      <c r="AL116" s="465">
        <f>SUM(AL117,AL118,AL119,AL120,AL121)</f>
        <v>32642</v>
      </c>
      <c r="AM116" s="464">
        <f>SUM(AM117,AM118,AM119,AM120,AM121)</f>
        <v>1446</v>
      </c>
      <c r="AN116" s="464">
        <f t="shared" si="323"/>
        <v>4030</v>
      </c>
      <c r="AO116" s="464">
        <f t="shared" si="324"/>
        <v>2721</v>
      </c>
      <c r="AP116" s="464">
        <f t="shared" si="324"/>
        <v>2037</v>
      </c>
      <c r="AQ116" s="464">
        <f>SUM(AQ117,AQ118,AQ119,AQ120,AQ121)</f>
        <v>5476</v>
      </c>
      <c r="AR116" s="464">
        <f>SUM(AR117,AR118,AR119,AR120,AR121)</f>
        <v>8197</v>
      </c>
      <c r="AS116" s="465">
        <f>SUM(AS117,AS118,AS119,AS120,AS121)</f>
        <v>10234</v>
      </c>
      <c r="AT116" s="464">
        <f>SUM(AT117,AT118,AT119,AT120,AT121)</f>
        <v>2276.8991999999998</v>
      </c>
      <c r="AU116" s="755">
        <f>SUM(AU117,AU118,AU119,AU120,AU121,AU123,AU122)</f>
        <v>2465.0252</v>
      </c>
      <c r="AV116" s="464">
        <f>SUM(AV117,AV118,AV119,AV120,AV121,AV122,AV123)</f>
        <v>2539.9748</v>
      </c>
      <c r="AW116" s="464">
        <f>SUM(AW117,AW118,AW119,AW120,AW121,AW122,AW123)</f>
        <v>2219.1312000000007</v>
      </c>
      <c r="AX116" s="464">
        <f>SUM(AX117,AX118,AX119,AX120,AX121,AX123,AX122)</f>
        <v>4741.9243999999999</v>
      </c>
      <c r="AY116" s="464">
        <f>SUM(AY117,AY118,AY119,AY120,AY121,AY123,AY122)</f>
        <v>7281.8991999999998</v>
      </c>
      <c r="AZ116" s="464">
        <f>SUM(AZ117,AZ118,AZ119,AZ120,AZ121,AZ123,AZ122)</f>
        <v>9501.0303999999996</v>
      </c>
      <c r="BA116" s="744">
        <f t="shared" ref="BA116:BE116" si="518">SUM(BA117,BA118,BA119,BA120,BA121)</f>
        <v>2274</v>
      </c>
      <c r="BB116" s="464">
        <f t="shared" si="518"/>
        <v>2794</v>
      </c>
      <c r="BC116" s="464">
        <f>SUM(BC117,BC118,BC119,BC120,BC121,BC122,BC123)</f>
        <v>2738</v>
      </c>
      <c r="BD116" s="464">
        <f t="shared" si="518"/>
        <v>2825</v>
      </c>
      <c r="BE116" s="464">
        <f t="shared" si="518"/>
        <v>5068</v>
      </c>
      <c r="BF116" s="464">
        <f>SUM(BF117,BF118,BF119,BF120,BF121,BF123,BF122)</f>
        <v>7806</v>
      </c>
      <c r="BG116" s="464">
        <f>SUM(BG117,BG118,BG119,BG120,BG121,BG123,BG122)</f>
        <v>10430</v>
      </c>
      <c r="BH116" s="464">
        <f>SUM(BH117,BH118,BH119,BH120,BH121,BH123,BH122)</f>
        <v>1934</v>
      </c>
      <c r="BI116" s="464">
        <f t="shared" ref="BI116:BL116" si="519">SUM(BI117,BI118,BI119,BI120,BI121,BI123,BI122)</f>
        <v>2210</v>
      </c>
      <c r="BJ116" s="464">
        <f t="shared" si="519"/>
        <v>1812</v>
      </c>
      <c r="BK116" s="464">
        <f t="shared" si="519"/>
        <v>1412</v>
      </c>
      <c r="BL116" s="464">
        <f t="shared" si="519"/>
        <v>4144</v>
      </c>
      <c r="BM116" s="464">
        <f t="shared" ref="BM116:BN116" si="520">SUM(BM117,BM118,BM119,BM120,BM121,BM123,BM122)</f>
        <v>5956</v>
      </c>
      <c r="BN116" s="464">
        <f t="shared" si="520"/>
        <v>7368</v>
      </c>
      <c r="BO116" s="464">
        <f t="shared" ref="BO116:BS116" si="521">SUM(BO117,BO118,BO119,BO120,BO121,BO123,BO122)</f>
        <v>1205</v>
      </c>
      <c r="BP116" s="464">
        <f t="shared" si="521"/>
        <v>1333</v>
      </c>
      <c r="BQ116" s="464">
        <f t="shared" si="521"/>
        <v>4710</v>
      </c>
      <c r="BR116" s="464">
        <f t="shared" si="521"/>
        <v>1983</v>
      </c>
      <c r="BS116" s="464">
        <f t="shared" si="521"/>
        <v>2538</v>
      </c>
      <c r="BT116" s="464">
        <f t="shared" ref="BT116:BU116" si="522">SUM(BT117,BT118,BT119,BT120,BT121,BT123,BT122)</f>
        <v>7248</v>
      </c>
      <c r="BU116" s="464">
        <f t="shared" si="522"/>
        <v>9226</v>
      </c>
      <c r="BV116" s="464">
        <f t="shared" ref="BV116:BY116" si="523">SUM(BV117,BV118,BV119,BV120,BV121,BV123,BV122)</f>
        <v>2253</v>
      </c>
      <c r="BW116" s="464">
        <f t="shared" si="523"/>
        <v>2519</v>
      </c>
      <c r="BX116" s="464">
        <f t="shared" si="523"/>
        <v>2108</v>
      </c>
      <c r="BY116" s="464">
        <f t="shared" si="523"/>
        <v>2470</v>
      </c>
      <c r="BZ116" s="464">
        <f t="shared" ref="BZ116:CA116" si="524">SUM(BZ117,BZ118,BZ119,BZ120,BZ121,BZ123,BZ122)</f>
        <v>4772</v>
      </c>
      <c r="CA116" s="464">
        <f t="shared" si="524"/>
        <v>6880</v>
      </c>
      <c r="CB116" s="464">
        <f t="shared" ref="CB116:CC116" si="525">SUM(CB117,CB118,CB119,CB120,CB121,CB123,CB122)</f>
        <v>9350</v>
      </c>
      <c r="CC116" s="464">
        <f t="shared" si="525"/>
        <v>2344</v>
      </c>
      <c r="CD116" s="464">
        <f t="shared" ref="CD116" si="526">SUM(CD117,CD118,CD119,CD120,CD121,CD123,CD122)</f>
        <v>2113</v>
      </c>
      <c r="CE116" s="464">
        <f t="shared" ref="CE116:CG116" si="527">SUM(CE117,CE118,CE119,CE120,CE121,CE123,CE122)</f>
        <v>2430</v>
      </c>
      <c r="CF116" s="464">
        <f t="shared" si="527"/>
        <v>3366</v>
      </c>
      <c r="CG116" s="464">
        <f t="shared" si="527"/>
        <v>4457</v>
      </c>
      <c r="CH116" s="464">
        <f t="shared" ref="CH116:CI116" si="528">SUM(CH117,CH118,CH119,CH120,CH121,CH123,CH122)</f>
        <v>6887</v>
      </c>
      <c r="CI116" s="464">
        <f t="shared" si="528"/>
        <v>10253</v>
      </c>
      <c r="CJ116" s="464">
        <v>2457</v>
      </c>
      <c r="CK116" s="464">
        <f t="shared" ref="CK116" si="529">SUM(CK117,CK118,CK119,CK120,CK121,CK123,CK122)</f>
        <v>2674</v>
      </c>
      <c r="CL116" s="464">
        <f t="shared" ref="CL116:CO116" si="530">SUM(CL117,CL118,CL119,CL120,CL121,CL123,CL122)</f>
        <v>0</v>
      </c>
      <c r="CM116" s="464">
        <f t="shared" si="530"/>
        <v>0</v>
      </c>
      <c r="CN116" s="464">
        <f t="shared" si="530"/>
        <v>5131</v>
      </c>
      <c r="CO116" s="464">
        <f t="shared" si="530"/>
        <v>0</v>
      </c>
    </row>
    <row r="117" spans="1:93" s="289" customFormat="1" x14ac:dyDescent="0.25">
      <c r="A117" s="455" t="str">
        <f>Language!C101</f>
        <v>Concepa</v>
      </c>
      <c r="B117" s="280">
        <v>372</v>
      </c>
      <c r="C117" s="280">
        <v>316</v>
      </c>
      <c r="D117" s="280">
        <v>315</v>
      </c>
      <c r="E117" s="280">
        <v>338</v>
      </c>
      <c r="F117" s="279">
        <v>426</v>
      </c>
      <c r="G117" s="280">
        <v>363</v>
      </c>
      <c r="H117" s="280">
        <v>66</v>
      </c>
      <c r="I117" s="280">
        <v>267</v>
      </c>
      <c r="J117" s="279">
        <v>303</v>
      </c>
      <c r="K117" s="280">
        <v>250</v>
      </c>
      <c r="L117" s="280">
        <v>225</v>
      </c>
      <c r="M117" s="280">
        <v>385</v>
      </c>
      <c r="N117" s="279">
        <v>288</v>
      </c>
      <c r="O117" s="280">
        <v>257</v>
      </c>
      <c r="P117" s="280">
        <v>222</v>
      </c>
      <c r="Q117" s="280">
        <v>539</v>
      </c>
      <c r="R117" s="279">
        <v>4765</v>
      </c>
      <c r="S117" s="280">
        <v>275</v>
      </c>
      <c r="T117" s="280">
        <f t="shared" ref="T117:T121" si="531">W117-S117-R117</f>
        <v>170</v>
      </c>
      <c r="U117" s="280">
        <f>X117-W117</f>
        <v>535</v>
      </c>
      <c r="V117" s="280">
        <f t="shared" ref="V117:V121" si="532">R117+S117</f>
        <v>5040</v>
      </c>
      <c r="W117" s="281">
        <v>5210</v>
      </c>
      <c r="X117" s="282">
        <v>5745</v>
      </c>
      <c r="Y117" s="283">
        <v>239</v>
      </c>
      <c r="Z117" s="281">
        <f t="shared" ref="Z117:Z121" si="533">AC117-Y117</f>
        <v>645</v>
      </c>
      <c r="AA117" s="280">
        <f t="shared" ref="AA117:AA121" si="534">AD117-Z117-Y117</f>
        <v>3774</v>
      </c>
      <c r="AB117" s="280">
        <f>AE117-AD117</f>
        <v>4512</v>
      </c>
      <c r="AC117" s="281">
        <v>884</v>
      </c>
      <c r="AD117" s="281">
        <v>4658</v>
      </c>
      <c r="AE117" s="282">
        <v>9170</v>
      </c>
      <c r="AF117" s="281">
        <v>294</v>
      </c>
      <c r="AG117" s="281">
        <f t="shared" si="319"/>
        <v>241.76177777777775</v>
      </c>
      <c r="AH117" s="281">
        <f t="shared" si="320"/>
        <v>8705.2382222222222</v>
      </c>
      <c r="AI117" s="281">
        <f t="shared" si="321"/>
        <v>3065</v>
      </c>
      <c r="AJ117" s="281">
        <v>535.76177777777775</v>
      </c>
      <c r="AK117" s="281">
        <v>9241</v>
      </c>
      <c r="AL117" s="282">
        <v>12306</v>
      </c>
      <c r="AM117" s="281">
        <v>104</v>
      </c>
      <c r="AN117" s="281">
        <f t="shared" si="323"/>
        <v>505</v>
      </c>
      <c r="AO117" s="281">
        <f t="shared" si="324"/>
        <v>29</v>
      </c>
      <c r="AP117" s="281">
        <f t="shared" si="324"/>
        <v>35.261703444009072</v>
      </c>
      <c r="AQ117" s="281">
        <v>609</v>
      </c>
      <c r="AR117" s="281">
        <v>638</v>
      </c>
      <c r="AS117" s="282">
        <v>673.26170344400907</v>
      </c>
      <c r="AT117" s="281"/>
      <c r="AU117" s="281">
        <f t="shared" si="495"/>
        <v>648</v>
      </c>
      <c r="AV117" s="281">
        <f>AY117-AX117</f>
        <v>65</v>
      </c>
      <c r="AW117" s="281">
        <f t="shared" si="419"/>
        <v>-713</v>
      </c>
      <c r="AX117" s="281">
        <v>648</v>
      </c>
      <c r="AY117" s="281">
        <v>713</v>
      </c>
      <c r="AZ117" s="281">
        <v>0</v>
      </c>
      <c r="BA117" s="281">
        <v>0</v>
      </c>
      <c r="BB117" s="281">
        <f t="shared" si="496"/>
        <v>0</v>
      </c>
      <c r="BC117" s="281">
        <f>BF117-BE117</f>
        <v>0</v>
      </c>
      <c r="BD117" s="281">
        <f>BG117-BF117</f>
        <v>0</v>
      </c>
      <c r="BE117" s="281">
        <v>0</v>
      </c>
      <c r="BF117" s="281">
        <v>0</v>
      </c>
      <c r="BG117" s="281">
        <v>0</v>
      </c>
      <c r="BH117" s="281">
        <v>0</v>
      </c>
      <c r="BI117" s="281">
        <f>BL117-BH117</f>
        <v>0</v>
      </c>
      <c r="BJ117" s="281">
        <f>BM117-BL117</f>
        <v>0</v>
      </c>
      <c r="BK117" s="281">
        <f>BN117-BM117</f>
        <v>0</v>
      </c>
      <c r="BL117" s="281">
        <v>0</v>
      </c>
      <c r="BM117" s="281">
        <v>0</v>
      </c>
      <c r="BN117" s="281">
        <v>0</v>
      </c>
      <c r="BO117" s="281">
        <v>0</v>
      </c>
      <c r="BP117" s="281">
        <f>BS117-BO117</f>
        <v>0</v>
      </c>
      <c r="BQ117" s="281">
        <f>BT117-BS117</f>
        <v>0</v>
      </c>
      <c r="BR117" s="281">
        <f>BU117-BT117</f>
        <v>0</v>
      </c>
      <c r="BS117" s="281">
        <v>0</v>
      </c>
      <c r="BT117" s="281">
        <v>0</v>
      </c>
      <c r="BU117" s="281">
        <v>0</v>
      </c>
      <c r="BV117" s="281">
        <v>0</v>
      </c>
      <c r="BW117" s="281">
        <f>BZ117-BV117</f>
        <v>0</v>
      </c>
      <c r="BX117" s="281">
        <f>CA117-BZ117</f>
        <v>0</v>
      </c>
      <c r="BY117" s="281"/>
      <c r="BZ117" s="281">
        <v>0</v>
      </c>
      <c r="CA117" s="281">
        <v>0</v>
      </c>
      <c r="CB117" s="281">
        <v>0</v>
      </c>
      <c r="CC117" s="281">
        <v>0</v>
      </c>
      <c r="CD117" s="281">
        <f>CG117-CC117</f>
        <v>0</v>
      </c>
      <c r="CE117" s="281">
        <f>CH117-CG117</f>
        <v>0</v>
      </c>
      <c r="CF117" s="281">
        <f>CI117-CH117</f>
        <v>0</v>
      </c>
      <c r="CG117" s="281">
        <v>0</v>
      </c>
      <c r="CH117" s="281">
        <v>0</v>
      </c>
      <c r="CI117" s="281">
        <v>0</v>
      </c>
      <c r="CJ117" s="281">
        <v>0</v>
      </c>
      <c r="CK117" s="281">
        <f>CN117-CJ117</f>
        <v>0</v>
      </c>
      <c r="CL117" s="281"/>
      <c r="CM117" s="281"/>
      <c r="CN117" s="281">
        <v>0</v>
      </c>
      <c r="CO117" s="281"/>
    </row>
    <row r="118" spans="1:93" s="289" customFormat="1" x14ac:dyDescent="0.25">
      <c r="A118" s="455" t="str">
        <f>Language!C102</f>
        <v>Concer</v>
      </c>
      <c r="B118" s="280">
        <v>472</v>
      </c>
      <c r="C118" s="280">
        <v>460</v>
      </c>
      <c r="D118" s="280">
        <v>509</v>
      </c>
      <c r="E118" s="280">
        <v>604</v>
      </c>
      <c r="F118" s="279">
        <v>664</v>
      </c>
      <c r="G118" s="280">
        <v>719</v>
      </c>
      <c r="H118" s="280">
        <v>710</v>
      </c>
      <c r="I118" s="280">
        <v>5949</v>
      </c>
      <c r="J118" s="279">
        <v>741</v>
      </c>
      <c r="K118" s="280">
        <v>715</v>
      </c>
      <c r="L118" s="280">
        <v>786</v>
      </c>
      <c r="M118" s="280">
        <v>749</v>
      </c>
      <c r="N118" s="279">
        <v>760</v>
      </c>
      <c r="O118" s="280">
        <v>709</v>
      </c>
      <c r="P118" s="280">
        <v>725</v>
      </c>
      <c r="Q118" s="280">
        <v>966</v>
      </c>
      <c r="R118" s="279">
        <v>716</v>
      </c>
      <c r="S118" s="280">
        <v>727</v>
      </c>
      <c r="T118" s="280">
        <f t="shared" si="531"/>
        <v>700</v>
      </c>
      <c r="U118" s="280">
        <f>X118-W118</f>
        <v>748</v>
      </c>
      <c r="V118" s="280">
        <f t="shared" si="532"/>
        <v>1443</v>
      </c>
      <c r="W118" s="281">
        <v>2143</v>
      </c>
      <c r="X118" s="282">
        <v>2891</v>
      </c>
      <c r="Y118" s="283">
        <v>759</v>
      </c>
      <c r="Z118" s="281">
        <f t="shared" si="533"/>
        <v>748</v>
      </c>
      <c r="AA118" s="280">
        <f t="shared" si="534"/>
        <v>739</v>
      </c>
      <c r="AB118" s="280">
        <f>AE118-AD118</f>
        <v>877</v>
      </c>
      <c r="AC118" s="281">
        <v>1507</v>
      </c>
      <c r="AD118" s="281">
        <v>2246</v>
      </c>
      <c r="AE118" s="282">
        <v>3123</v>
      </c>
      <c r="AF118" s="281">
        <v>910</v>
      </c>
      <c r="AG118" s="281">
        <f t="shared" si="319"/>
        <v>801.23911111111101</v>
      </c>
      <c r="AH118" s="281">
        <f t="shared" si="320"/>
        <v>741.76088888888899</v>
      </c>
      <c r="AI118" s="281">
        <f t="shared" si="321"/>
        <v>823</v>
      </c>
      <c r="AJ118" s="281">
        <v>1711.239111111111</v>
      </c>
      <c r="AK118" s="281">
        <v>2453</v>
      </c>
      <c r="AL118" s="282">
        <v>3276</v>
      </c>
      <c r="AM118" s="281">
        <v>781</v>
      </c>
      <c r="AN118" s="281">
        <f t="shared" si="323"/>
        <v>940</v>
      </c>
      <c r="AO118" s="281">
        <f t="shared" si="324"/>
        <v>973</v>
      </c>
      <c r="AP118" s="281">
        <f t="shared" si="324"/>
        <v>1397.2784079191588</v>
      </c>
      <c r="AQ118" s="281">
        <v>1721</v>
      </c>
      <c r="AR118" s="281">
        <v>2694</v>
      </c>
      <c r="AS118" s="282">
        <v>4091.2784079191588</v>
      </c>
      <c r="AT118" s="281">
        <v>866.89920000000006</v>
      </c>
      <c r="AU118" s="281">
        <f t="shared" si="495"/>
        <v>1035.0251999999998</v>
      </c>
      <c r="AV118" s="281">
        <f t="shared" ref="AV118:AV123" si="535">AY118-AX118</f>
        <v>1010.9748</v>
      </c>
      <c r="AW118" s="281">
        <f t="shared" si="419"/>
        <v>833.13120000000072</v>
      </c>
      <c r="AX118" s="281">
        <v>1901.9243999999999</v>
      </c>
      <c r="AY118" s="281">
        <v>2912.8991999999998</v>
      </c>
      <c r="AZ118" s="281">
        <v>3746.0304000000006</v>
      </c>
      <c r="BA118" s="281">
        <v>794</v>
      </c>
      <c r="BB118" s="281">
        <f t="shared" si="496"/>
        <v>1298</v>
      </c>
      <c r="BC118" s="281">
        <f t="shared" ref="BC118:BC123" si="536">BF118-BE118</f>
        <v>1272</v>
      </c>
      <c r="BD118" s="281">
        <f t="shared" ref="BD118:BD123" si="537">BG118-BF118</f>
        <v>1079</v>
      </c>
      <c r="BE118" s="281">
        <v>2092</v>
      </c>
      <c r="BF118" s="281">
        <v>3364</v>
      </c>
      <c r="BG118" s="281">
        <v>4443</v>
      </c>
      <c r="BH118" s="281">
        <v>757</v>
      </c>
      <c r="BI118" s="281">
        <f t="shared" ref="BI118:BI123" si="538">BL118-BH118</f>
        <v>215</v>
      </c>
      <c r="BJ118" s="281">
        <f t="shared" ref="BJ118:BJ123" si="539">BM118-BL118</f>
        <v>210</v>
      </c>
      <c r="BK118" s="281">
        <f t="shared" ref="BK118:BK123" si="540">BN118-BM118</f>
        <v>228</v>
      </c>
      <c r="BL118" s="281">
        <v>972</v>
      </c>
      <c r="BM118" s="281">
        <v>1182</v>
      </c>
      <c r="BN118" s="281">
        <v>1410</v>
      </c>
      <c r="BO118" s="281">
        <v>179</v>
      </c>
      <c r="BP118" s="281">
        <f t="shared" ref="BP118:BP123" si="541">BS118-BO118</f>
        <v>238</v>
      </c>
      <c r="BQ118" s="281">
        <f t="shared" ref="BQ118:BQ123" si="542">BT118-BS118</f>
        <v>3534</v>
      </c>
      <c r="BR118" s="281">
        <f t="shared" ref="BR118:BR122" si="543">BU118-BT118</f>
        <v>806</v>
      </c>
      <c r="BS118" s="281">
        <v>417</v>
      </c>
      <c r="BT118" s="281">
        <v>3951</v>
      </c>
      <c r="BU118" s="281">
        <v>4757</v>
      </c>
      <c r="BV118" s="281">
        <v>925</v>
      </c>
      <c r="BW118" s="281">
        <f t="shared" ref="BW118:BW121" si="544">BZ118-BV118</f>
        <v>1281</v>
      </c>
      <c r="BX118" s="281">
        <f t="shared" ref="BX118:BX121" si="545">CA118-BZ118</f>
        <v>840</v>
      </c>
      <c r="BY118" s="281">
        <f>CB118-CA118</f>
        <v>831</v>
      </c>
      <c r="BZ118" s="281">
        <v>2206</v>
      </c>
      <c r="CA118" s="281">
        <v>3046</v>
      </c>
      <c r="CB118" s="281">
        <v>3877</v>
      </c>
      <c r="CC118" s="281">
        <v>848</v>
      </c>
      <c r="CD118" s="281">
        <f t="shared" ref="CD118:CD121" si="546">CG118-CC118</f>
        <v>795</v>
      </c>
      <c r="CE118" s="281">
        <f t="shared" ref="CE118:CE121" si="547">CH118-CG118</f>
        <v>1108</v>
      </c>
      <c r="CF118" s="281">
        <f t="shared" ref="CF118:CF121" si="548">CI118-CH118</f>
        <v>2045</v>
      </c>
      <c r="CG118" s="281">
        <v>1643</v>
      </c>
      <c r="CH118" s="281">
        <v>2751</v>
      </c>
      <c r="CI118" s="281">
        <v>4796</v>
      </c>
      <c r="CJ118" s="281">
        <v>1277</v>
      </c>
      <c r="CK118" s="281">
        <f t="shared" ref="CK118:CK121" si="549">CN118-CJ118</f>
        <v>1408</v>
      </c>
      <c r="CL118" s="281"/>
      <c r="CM118" s="281"/>
      <c r="CN118" s="281">
        <v>2685</v>
      </c>
      <c r="CO118" s="281"/>
    </row>
    <row r="119" spans="1:93" s="289" customFormat="1" x14ac:dyDescent="0.25">
      <c r="A119" s="455" t="str">
        <f>Language!C103</f>
        <v>Econorte</v>
      </c>
      <c r="B119" s="280">
        <v>355</v>
      </c>
      <c r="C119" s="280">
        <v>345</v>
      </c>
      <c r="D119" s="280">
        <v>362</v>
      </c>
      <c r="E119" s="280">
        <v>392</v>
      </c>
      <c r="F119" s="279">
        <v>821</v>
      </c>
      <c r="G119" s="280">
        <v>292</v>
      </c>
      <c r="H119" s="280">
        <v>186</v>
      </c>
      <c r="I119" s="280">
        <v>309</v>
      </c>
      <c r="J119" s="279">
        <v>3322</v>
      </c>
      <c r="K119" s="280">
        <v>419</v>
      </c>
      <c r="L119" s="280">
        <v>450</v>
      </c>
      <c r="M119" s="280">
        <v>447</v>
      </c>
      <c r="N119" s="279">
        <v>451</v>
      </c>
      <c r="O119" s="280">
        <v>454</v>
      </c>
      <c r="P119" s="280">
        <v>347</v>
      </c>
      <c r="Q119" s="280">
        <v>425</v>
      </c>
      <c r="R119" s="279">
        <v>1301</v>
      </c>
      <c r="S119" s="280">
        <v>68</v>
      </c>
      <c r="T119" s="280">
        <f t="shared" si="531"/>
        <v>87</v>
      </c>
      <c r="U119" s="280">
        <f>X119-W119</f>
        <v>348</v>
      </c>
      <c r="V119" s="280">
        <f t="shared" si="532"/>
        <v>1369</v>
      </c>
      <c r="W119" s="281">
        <v>1456</v>
      </c>
      <c r="X119" s="282">
        <v>1804</v>
      </c>
      <c r="Y119" s="283">
        <v>475</v>
      </c>
      <c r="Z119" s="281">
        <f t="shared" si="533"/>
        <v>473</v>
      </c>
      <c r="AA119" s="280">
        <f t="shared" si="534"/>
        <v>472</v>
      </c>
      <c r="AB119" s="280">
        <f>AE119-AD119</f>
        <v>426</v>
      </c>
      <c r="AC119" s="281">
        <v>948</v>
      </c>
      <c r="AD119" s="281">
        <v>1420</v>
      </c>
      <c r="AE119" s="282">
        <v>1846</v>
      </c>
      <c r="AF119" s="281">
        <v>476</v>
      </c>
      <c r="AG119" s="281">
        <f t="shared" si="319"/>
        <v>476.57644444444441</v>
      </c>
      <c r="AH119" s="281">
        <f t="shared" si="320"/>
        <v>512.42355555555559</v>
      </c>
      <c r="AI119" s="281">
        <f t="shared" si="321"/>
        <v>610</v>
      </c>
      <c r="AJ119" s="281">
        <v>952.57644444444441</v>
      </c>
      <c r="AK119" s="281">
        <v>1465</v>
      </c>
      <c r="AL119" s="282">
        <v>2075</v>
      </c>
      <c r="AM119" s="281">
        <v>561</v>
      </c>
      <c r="AN119" s="281">
        <f t="shared" si="323"/>
        <v>390</v>
      </c>
      <c r="AO119" s="281">
        <f t="shared" si="324"/>
        <v>620</v>
      </c>
      <c r="AP119" s="281">
        <f t="shared" si="324"/>
        <v>279.94204990719732</v>
      </c>
      <c r="AQ119" s="281">
        <v>951</v>
      </c>
      <c r="AR119" s="281">
        <v>1571</v>
      </c>
      <c r="AS119" s="282">
        <v>1850.9420499071973</v>
      </c>
      <c r="AT119" s="281">
        <v>734</v>
      </c>
      <c r="AU119" s="281">
        <f t="shared" si="495"/>
        <v>746</v>
      </c>
      <c r="AV119" s="281">
        <f t="shared" si="535"/>
        <v>771</v>
      </c>
      <c r="AW119" s="281">
        <f t="shared" si="419"/>
        <v>771</v>
      </c>
      <c r="AX119" s="281">
        <v>1480</v>
      </c>
      <c r="AY119" s="281">
        <v>2251</v>
      </c>
      <c r="AZ119" s="281">
        <v>3022</v>
      </c>
      <c r="BA119" s="281">
        <v>557</v>
      </c>
      <c r="BB119" s="281">
        <f t="shared" si="496"/>
        <v>568</v>
      </c>
      <c r="BC119" s="281">
        <f t="shared" si="536"/>
        <v>1147</v>
      </c>
      <c r="BD119" s="281">
        <f t="shared" si="537"/>
        <v>825</v>
      </c>
      <c r="BE119" s="281">
        <v>1125</v>
      </c>
      <c r="BF119" s="281">
        <v>2272</v>
      </c>
      <c r="BG119" s="281">
        <v>3097</v>
      </c>
      <c r="BH119" s="281">
        <v>434</v>
      </c>
      <c r="BI119" s="281">
        <f t="shared" si="538"/>
        <v>1241</v>
      </c>
      <c r="BJ119" s="281">
        <f t="shared" si="539"/>
        <v>835</v>
      </c>
      <c r="BK119" s="281">
        <f t="shared" si="540"/>
        <v>423</v>
      </c>
      <c r="BL119" s="281">
        <v>1675</v>
      </c>
      <c r="BM119" s="281">
        <v>2510</v>
      </c>
      <c r="BN119" s="281">
        <v>2933</v>
      </c>
      <c r="BO119" s="281">
        <v>0</v>
      </c>
      <c r="BP119" s="281">
        <f t="shared" si="541"/>
        <v>99</v>
      </c>
      <c r="BQ119" s="281">
        <f t="shared" si="542"/>
        <v>-99</v>
      </c>
      <c r="BR119" s="281">
        <f t="shared" si="543"/>
        <v>0</v>
      </c>
      <c r="BS119" s="281">
        <v>99</v>
      </c>
      <c r="BT119" s="281">
        <v>0</v>
      </c>
      <c r="BU119" s="281">
        <v>0</v>
      </c>
      <c r="BV119" s="281">
        <v>0</v>
      </c>
      <c r="BW119" s="281">
        <f t="shared" si="544"/>
        <v>0</v>
      </c>
      <c r="BX119" s="281">
        <f t="shared" si="545"/>
        <v>0</v>
      </c>
      <c r="BY119" s="281">
        <f>CB119-CA119</f>
        <v>0</v>
      </c>
      <c r="BZ119" s="281">
        <v>0</v>
      </c>
      <c r="CA119" s="281">
        <v>0</v>
      </c>
      <c r="CB119" s="281">
        <v>0</v>
      </c>
      <c r="CC119" s="281">
        <v>0</v>
      </c>
      <c r="CD119" s="281">
        <f t="shared" si="546"/>
        <v>0</v>
      </c>
      <c r="CE119" s="281">
        <f t="shared" si="547"/>
        <v>0</v>
      </c>
      <c r="CF119" s="281">
        <f t="shared" si="548"/>
        <v>0</v>
      </c>
      <c r="CG119" s="281">
        <v>0</v>
      </c>
      <c r="CH119" s="281">
        <v>0</v>
      </c>
      <c r="CI119" s="281">
        <v>0</v>
      </c>
      <c r="CJ119" s="281">
        <v>0</v>
      </c>
      <c r="CK119" s="281">
        <f t="shared" si="549"/>
        <v>0</v>
      </c>
      <c r="CL119" s="281"/>
      <c r="CM119" s="281"/>
      <c r="CN119" s="281">
        <v>0</v>
      </c>
      <c r="CO119" s="281"/>
    </row>
    <row r="120" spans="1:93" s="289" customFormat="1" x14ac:dyDescent="0.25">
      <c r="A120" s="455" t="str">
        <f>Language!C104</f>
        <v>Concebra</v>
      </c>
      <c r="B120" s="280">
        <v>0</v>
      </c>
      <c r="C120" s="280">
        <v>0</v>
      </c>
      <c r="D120" s="280">
        <v>0</v>
      </c>
      <c r="E120" s="280">
        <v>0</v>
      </c>
      <c r="F120" s="279">
        <v>0</v>
      </c>
      <c r="G120" s="280">
        <v>0</v>
      </c>
      <c r="H120" s="280">
        <v>0</v>
      </c>
      <c r="I120" s="280">
        <v>0</v>
      </c>
      <c r="J120" s="279">
        <v>0</v>
      </c>
      <c r="K120" s="280">
        <v>0</v>
      </c>
      <c r="L120" s="280">
        <v>0</v>
      </c>
      <c r="M120" s="280">
        <v>0</v>
      </c>
      <c r="N120" s="279">
        <v>0</v>
      </c>
      <c r="O120" s="280">
        <v>0</v>
      </c>
      <c r="P120" s="280">
        <v>0</v>
      </c>
      <c r="Q120" s="280">
        <v>0</v>
      </c>
      <c r="R120" s="279">
        <v>0</v>
      </c>
      <c r="S120" s="280">
        <v>0</v>
      </c>
      <c r="T120" s="280">
        <f t="shared" si="531"/>
        <v>30</v>
      </c>
      <c r="U120" s="280">
        <f>X120-W120</f>
        <v>-21</v>
      </c>
      <c r="V120" s="280">
        <f t="shared" si="532"/>
        <v>0</v>
      </c>
      <c r="W120" s="281">
        <v>30</v>
      </c>
      <c r="X120" s="282">
        <v>9</v>
      </c>
      <c r="Y120" s="283">
        <v>0</v>
      </c>
      <c r="Z120" s="281">
        <f t="shared" si="533"/>
        <v>0</v>
      </c>
      <c r="AA120" s="280">
        <f t="shared" si="534"/>
        <v>0</v>
      </c>
      <c r="AB120" s="280">
        <f>AE120-AD120</f>
        <v>0</v>
      </c>
      <c r="AC120" s="281">
        <v>0</v>
      </c>
      <c r="AD120" s="281">
        <v>0</v>
      </c>
      <c r="AE120" s="282">
        <v>0</v>
      </c>
      <c r="AF120" s="281">
        <v>0</v>
      </c>
      <c r="AG120" s="281">
        <f t="shared" si="319"/>
        <v>0</v>
      </c>
      <c r="AH120" s="281">
        <f t="shared" si="320"/>
        <v>995</v>
      </c>
      <c r="AI120" s="281">
        <f t="shared" si="321"/>
        <v>0</v>
      </c>
      <c r="AJ120" s="281">
        <v>0</v>
      </c>
      <c r="AK120" s="281">
        <v>995</v>
      </c>
      <c r="AL120" s="282">
        <v>995</v>
      </c>
      <c r="AM120" s="281">
        <v>0</v>
      </c>
      <c r="AN120" s="281">
        <f t="shared" si="323"/>
        <v>0</v>
      </c>
      <c r="AO120" s="281">
        <f t="shared" si="324"/>
        <v>0</v>
      </c>
      <c r="AP120" s="281">
        <f t="shared" si="324"/>
        <v>0</v>
      </c>
      <c r="AQ120" s="281">
        <v>0</v>
      </c>
      <c r="AR120" s="281"/>
      <c r="AS120" s="282"/>
      <c r="AT120" s="281"/>
      <c r="AU120" s="281">
        <f t="shared" si="495"/>
        <v>0</v>
      </c>
      <c r="AV120" s="281">
        <f t="shared" si="535"/>
        <v>0</v>
      </c>
      <c r="AW120" s="281">
        <f t="shared" si="419"/>
        <v>0</v>
      </c>
      <c r="AX120" s="281">
        <v>0</v>
      </c>
      <c r="AY120" s="281">
        <v>0</v>
      </c>
      <c r="AZ120" s="733">
        <v>0</v>
      </c>
      <c r="BA120" s="733">
        <v>0</v>
      </c>
      <c r="BB120" s="281">
        <f t="shared" si="496"/>
        <v>0</v>
      </c>
      <c r="BC120" s="281">
        <f t="shared" si="536"/>
        <v>0</v>
      </c>
      <c r="BD120" s="281">
        <f t="shared" si="537"/>
        <v>0</v>
      </c>
      <c r="BE120" s="733">
        <v>0</v>
      </c>
      <c r="BF120" s="733">
        <v>0</v>
      </c>
      <c r="BG120" s="733">
        <v>0</v>
      </c>
      <c r="BH120" s="733">
        <v>0</v>
      </c>
      <c r="BI120" s="281">
        <f t="shared" si="538"/>
        <v>0</v>
      </c>
      <c r="BJ120" s="281">
        <f t="shared" si="539"/>
        <v>0</v>
      </c>
      <c r="BK120" s="281">
        <f t="shared" si="540"/>
        <v>0</v>
      </c>
      <c r="BL120" s="733">
        <v>0</v>
      </c>
      <c r="BM120" s="733">
        <v>0</v>
      </c>
      <c r="BN120" s="733">
        <v>0</v>
      </c>
      <c r="BO120" s="733">
        <v>0</v>
      </c>
      <c r="BP120" s="281">
        <f t="shared" si="541"/>
        <v>0</v>
      </c>
      <c r="BQ120" s="281">
        <v>0</v>
      </c>
      <c r="BR120" s="281">
        <f t="shared" si="543"/>
        <v>0</v>
      </c>
      <c r="BS120" s="281">
        <v>0</v>
      </c>
      <c r="BT120" s="281">
        <v>0</v>
      </c>
      <c r="BU120" s="281">
        <v>0</v>
      </c>
      <c r="BV120" s="281">
        <v>0</v>
      </c>
      <c r="BW120" s="281">
        <f t="shared" si="544"/>
        <v>0</v>
      </c>
      <c r="BX120" s="281">
        <f t="shared" si="545"/>
        <v>0</v>
      </c>
      <c r="BY120" s="281">
        <f>CB120-CA120</f>
        <v>0</v>
      </c>
      <c r="BZ120" s="281">
        <v>0</v>
      </c>
      <c r="CA120" s="281">
        <v>0</v>
      </c>
      <c r="CB120" s="281">
        <v>0</v>
      </c>
      <c r="CC120" s="281">
        <v>0</v>
      </c>
      <c r="CD120" s="281">
        <f t="shared" si="546"/>
        <v>0</v>
      </c>
      <c r="CE120" s="281">
        <f t="shared" si="547"/>
        <v>0</v>
      </c>
      <c r="CF120" s="281">
        <f t="shared" si="548"/>
        <v>0</v>
      </c>
      <c r="CG120" s="281">
        <v>0</v>
      </c>
      <c r="CH120" s="281">
        <v>0</v>
      </c>
      <c r="CI120" s="281">
        <v>0</v>
      </c>
      <c r="CJ120" s="281">
        <v>0</v>
      </c>
      <c r="CK120" s="281">
        <f t="shared" si="549"/>
        <v>0</v>
      </c>
      <c r="CL120" s="281"/>
      <c r="CM120" s="281"/>
      <c r="CN120" s="281">
        <v>0</v>
      </c>
      <c r="CO120" s="281"/>
    </row>
    <row r="121" spans="1:93" s="289" customFormat="1" x14ac:dyDescent="0.25">
      <c r="A121" s="455" t="str">
        <f>Language!C105</f>
        <v>Transbrasiliana</v>
      </c>
      <c r="B121" s="280">
        <v>0</v>
      </c>
      <c r="C121" s="280">
        <v>0</v>
      </c>
      <c r="D121" s="280">
        <v>0</v>
      </c>
      <c r="E121" s="280">
        <v>0</v>
      </c>
      <c r="F121" s="279">
        <v>0</v>
      </c>
      <c r="G121" s="280">
        <v>0</v>
      </c>
      <c r="H121" s="280">
        <v>0</v>
      </c>
      <c r="I121" s="280">
        <v>0</v>
      </c>
      <c r="J121" s="279">
        <v>0</v>
      </c>
      <c r="K121" s="280">
        <v>0</v>
      </c>
      <c r="L121" s="280">
        <v>0</v>
      </c>
      <c r="M121" s="280">
        <v>0</v>
      </c>
      <c r="N121" s="279">
        <v>0</v>
      </c>
      <c r="O121" s="280">
        <v>0</v>
      </c>
      <c r="P121" s="280">
        <v>0</v>
      </c>
      <c r="Q121" s="280">
        <v>0</v>
      </c>
      <c r="R121" s="279">
        <v>537</v>
      </c>
      <c r="S121" s="280">
        <v>541</v>
      </c>
      <c r="T121" s="280">
        <f t="shared" si="531"/>
        <v>550</v>
      </c>
      <c r="U121" s="280">
        <f>X121-W121</f>
        <v>2455</v>
      </c>
      <c r="V121" s="280">
        <f t="shared" si="532"/>
        <v>1078</v>
      </c>
      <c r="W121" s="281">
        <v>1628</v>
      </c>
      <c r="X121" s="282">
        <v>4083</v>
      </c>
      <c r="Y121" s="283">
        <v>583</v>
      </c>
      <c r="Z121" s="281">
        <f t="shared" si="533"/>
        <v>579</v>
      </c>
      <c r="AA121" s="280">
        <f t="shared" si="534"/>
        <v>655</v>
      </c>
      <c r="AB121" s="280">
        <f>AE121-AD121</f>
        <v>670</v>
      </c>
      <c r="AC121" s="281">
        <v>1162</v>
      </c>
      <c r="AD121" s="281">
        <v>1817</v>
      </c>
      <c r="AE121" s="282">
        <v>2487</v>
      </c>
      <c r="AF121" s="281">
        <v>648</v>
      </c>
      <c r="AG121" s="281">
        <f t="shared" si="319"/>
        <v>650.4226666666666</v>
      </c>
      <c r="AH121" s="281">
        <f t="shared" si="320"/>
        <v>652.5773333333334</v>
      </c>
      <c r="AI121" s="281">
        <f t="shared" si="321"/>
        <v>12039</v>
      </c>
      <c r="AJ121" s="281">
        <v>1298.4226666666666</v>
      </c>
      <c r="AK121" s="281">
        <v>1951</v>
      </c>
      <c r="AL121" s="282">
        <v>13990</v>
      </c>
      <c r="AM121" s="281">
        <v>0</v>
      </c>
      <c r="AN121" s="281">
        <f t="shared" si="323"/>
        <v>2195</v>
      </c>
      <c r="AO121" s="281">
        <f t="shared" si="324"/>
        <v>1099</v>
      </c>
      <c r="AP121" s="281">
        <f t="shared" si="324"/>
        <v>324.51783872963506</v>
      </c>
      <c r="AQ121" s="281">
        <v>2195</v>
      </c>
      <c r="AR121" s="281">
        <v>3294</v>
      </c>
      <c r="AS121" s="282">
        <v>3618.5178387296351</v>
      </c>
      <c r="AT121" s="281">
        <v>676</v>
      </c>
      <c r="AU121" s="281">
        <f t="shared" si="495"/>
        <v>1099</v>
      </c>
      <c r="AV121" s="281">
        <f t="shared" si="535"/>
        <v>892</v>
      </c>
      <c r="AW121" s="281">
        <f t="shared" si="419"/>
        <v>892</v>
      </c>
      <c r="AX121" s="281">
        <v>1775</v>
      </c>
      <c r="AY121" s="281">
        <v>2667</v>
      </c>
      <c r="AZ121" s="281">
        <v>3559</v>
      </c>
      <c r="BA121" s="281">
        <v>923</v>
      </c>
      <c r="BB121" s="281">
        <f t="shared" si="496"/>
        <v>928</v>
      </c>
      <c r="BC121" s="281">
        <f t="shared" si="536"/>
        <v>928</v>
      </c>
      <c r="BD121" s="281">
        <f t="shared" si="537"/>
        <v>921</v>
      </c>
      <c r="BE121" s="281">
        <v>1851</v>
      </c>
      <c r="BF121" s="281">
        <v>2779</v>
      </c>
      <c r="BG121" s="281">
        <v>3700</v>
      </c>
      <c r="BH121" s="281">
        <v>945</v>
      </c>
      <c r="BI121" s="281">
        <f t="shared" si="538"/>
        <v>955</v>
      </c>
      <c r="BJ121" s="281">
        <f t="shared" si="539"/>
        <v>968</v>
      </c>
      <c r="BK121" s="281">
        <f t="shared" si="540"/>
        <v>962</v>
      </c>
      <c r="BL121" s="281">
        <v>1900</v>
      </c>
      <c r="BM121" s="281">
        <v>2868</v>
      </c>
      <c r="BN121" s="281">
        <v>3830</v>
      </c>
      <c r="BO121" s="281">
        <v>1026</v>
      </c>
      <c r="BP121" s="281">
        <f t="shared" si="541"/>
        <v>1095</v>
      </c>
      <c r="BQ121" s="281">
        <f t="shared" si="542"/>
        <v>1171</v>
      </c>
      <c r="BR121" s="281">
        <f t="shared" si="543"/>
        <v>1177</v>
      </c>
      <c r="BS121" s="281">
        <v>2121</v>
      </c>
      <c r="BT121" s="281">
        <v>3292</v>
      </c>
      <c r="BU121" s="281">
        <v>4469</v>
      </c>
      <c r="BV121" s="281">
        <v>1328</v>
      </c>
      <c r="BW121" s="281">
        <f t="shared" si="544"/>
        <v>1238</v>
      </c>
      <c r="BX121" s="281">
        <f t="shared" si="545"/>
        <v>1268</v>
      </c>
      <c r="BY121" s="281">
        <f>CB121-CA121</f>
        <v>1639</v>
      </c>
      <c r="BZ121" s="281">
        <v>2566</v>
      </c>
      <c r="CA121" s="281">
        <v>3834</v>
      </c>
      <c r="CB121" s="281">
        <v>5473</v>
      </c>
      <c r="CC121" s="281">
        <v>1496</v>
      </c>
      <c r="CD121" s="281">
        <f t="shared" si="546"/>
        <v>1318</v>
      </c>
      <c r="CE121" s="281">
        <f t="shared" si="547"/>
        <v>1322</v>
      </c>
      <c r="CF121" s="281">
        <f t="shared" si="548"/>
        <v>1321</v>
      </c>
      <c r="CG121" s="281">
        <v>2814</v>
      </c>
      <c r="CH121" s="281">
        <v>4136</v>
      </c>
      <c r="CI121" s="281">
        <v>5457</v>
      </c>
      <c r="CJ121" s="281">
        <v>1180</v>
      </c>
      <c r="CK121" s="281">
        <f t="shared" si="549"/>
        <v>1266</v>
      </c>
      <c r="CL121" s="281"/>
      <c r="CM121" s="281"/>
      <c r="CN121" s="281">
        <v>2446</v>
      </c>
      <c r="CO121" s="281"/>
    </row>
    <row r="122" spans="1:93" s="289" customFormat="1" x14ac:dyDescent="0.25">
      <c r="A122" s="713" t="s">
        <v>670</v>
      </c>
      <c r="B122" s="280"/>
      <c r="C122" s="280"/>
      <c r="D122" s="280"/>
      <c r="E122" s="280"/>
      <c r="F122" s="279"/>
      <c r="G122" s="280"/>
      <c r="H122" s="280"/>
      <c r="I122" s="280"/>
      <c r="J122" s="279"/>
      <c r="K122" s="280"/>
      <c r="L122" s="280"/>
      <c r="M122" s="280"/>
      <c r="N122" s="279"/>
      <c r="O122" s="280"/>
      <c r="P122" s="280"/>
      <c r="Q122" s="280"/>
      <c r="R122" s="279"/>
      <c r="S122" s="280"/>
      <c r="T122" s="280"/>
      <c r="U122" s="280"/>
      <c r="V122" s="280"/>
      <c r="W122" s="281"/>
      <c r="X122" s="282"/>
      <c r="Y122" s="283"/>
      <c r="Z122" s="281"/>
      <c r="AA122" s="280"/>
      <c r="AB122" s="280"/>
      <c r="AC122" s="281"/>
      <c r="AD122" s="281"/>
      <c r="AE122" s="282"/>
      <c r="AF122" s="281"/>
      <c r="AG122" s="281"/>
      <c r="AH122" s="281"/>
      <c r="AI122" s="281"/>
      <c r="AJ122" s="281"/>
      <c r="AK122" s="281"/>
      <c r="AL122" s="282"/>
      <c r="AM122" s="281"/>
      <c r="AN122" s="281"/>
      <c r="AO122" s="281"/>
      <c r="AP122" s="281"/>
      <c r="AQ122" s="281"/>
      <c r="AR122" s="281"/>
      <c r="AS122" s="282"/>
      <c r="AT122" s="281"/>
      <c r="AU122" s="281">
        <f t="shared" si="495"/>
        <v>0</v>
      </c>
      <c r="AV122" s="281">
        <f t="shared" si="535"/>
        <v>0</v>
      </c>
      <c r="AW122" s="281">
        <f t="shared" si="419"/>
        <v>0</v>
      </c>
      <c r="AX122" s="281">
        <v>0</v>
      </c>
      <c r="AY122" s="281">
        <v>0</v>
      </c>
      <c r="AZ122" s="281">
        <v>0</v>
      </c>
      <c r="BA122" s="281"/>
      <c r="BB122" s="281"/>
      <c r="BC122" s="281">
        <f>BF122-BE122</f>
        <v>0</v>
      </c>
      <c r="BD122" s="281">
        <f t="shared" si="537"/>
        <v>0</v>
      </c>
      <c r="BE122" s="281"/>
      <c r="BF122" s="281"/>
      <c r="BG122" s="281"/>
      <c r="BH122" s="281"/>
      <c r="BI122" s="281">
        <f t="shared" si="538"/>
        <v>0</v>
      </c>
      <c r="BJ122" s="281">
        <f t="shared" si="539"/>
        <v>0</v>
      </c>
      <c r="BK122" s="281">
        <f t="shared" si="540"/>
        <v>0</v>
      </c>
      <c r="BL122" s="281"/>
      <c r="BM122" s="281"/>
      <c r="BN122" s="281"/>
      <c r="BO122" s="281"/>
      <c r="BP122" s="281">
        <f t="shared" si="541"/>
        <v>0</v>
      </c>
      <c r="BQ122" s="281">
        <f t="shared" si="542"/>
        <v>0</v>
      </c>
      <c r="BR122" s="281">
        <f t="shared" si="543"/>
        <v>0</v>
      </c>
      <c r="BS122" s="281"/>
      <c r="BT122" s="281"/>
      <c r="BU122" s="281"/>
      <c r="BV122" s="281"/>
      <c r="BW122" s="281"/>
      <c r="BX122" s="281"/>
      <c r="BY122" s="281"/>
      <c r="BZ122" s="281"/>
      <c r="CA122" s="281"/>
      <c r="CB122" s="281"/>
      <c r="CC122" s="281"/>
      <c r="CD122" s="281"/>
      <c r="CE122" s="281"/>
      <c r="CF122" s="281"/>
      <c r="CG122" s="281"/>
      <c r="CH122" s="281"/>
      <c r="CI122" s="281"/>
      <c r="CJ122" s="281"/>
      <c r="CK122" s="281"/>
      <c r="CL122" s="281"/>
      <c r="CM122" s="281"/>
      <c r="CN122" s="281"/>
      <c r="CO122" s="281"/>
    </row>
    <row r="123" spans="1:93" s="289" customFormat="1" x14ac:dyDescent="0.25">
      <c r="A123" s="713" t="s">
        <v>695</v>
      </c>
      <c r="B123" s="280"/>
      <c r="C123" s="280"/>
      <c r="D123" s="280"/>
      <c r="E123" s="280"/>
      <c r="F123" s="279"/>
      <c r="G123" s="280"/>
      <c r="H123" s="280"/>
      <c r="I123" s="280"/>
      <c r="J123" s="279"/>
      <c r="K123" s="280"/>
      <c r="L123" s="280"/>
      <c r="M123" s="280"/>
      <c r="N123" s="279"/>
      <c r="O123" s="280"/>
      <c r="P123" s="280"/>
      <c r="Q123" s="280"/>
      <c r="R123" s="279"/>
      <c r="S123" s="280"/>
      <c r="T123" s="280"/>
      <c r="U123" s="280"/>
      <c r="V123" s="280"/>
      <c r="W123" s="281"/>
      <c r="X123" s="282"/>
      <c r="Y123" s="283"/>
      <c r="Z123" s="281"/>
      <c r="AA123" s="280"/>
      <c r="AB123" s="280"/>
      <c r="AC123" s="281"/>
      <c r="AD123" s="281"/>
      <c r="AE123" s="282"/>
      <c r="AF123" s="281"/>
      <c r="AG123" s="281"/>
      <c r="AH123" s="281"/>
      <c r="AI123" s="281"/>
      <c r="AJ123" s="281"/>
      <c r="AK123" s="281"/>
      <c r="AL123" s="282"/>
      <c r="AM123" s="281"/>
      <c r="AN123" s="281"/>
      <c r="AO123" s="281"/>
      <c r="AP123" s="281"/>
      <c r="AQ123" s="281"/>
      <c r="AR123" s="281"/>
      <c r="AS123" s="282"/>
      <c r="AT123" s="500"/>
      <c r="AU123" s="498">
        <f t="shared" si="495"/>
        <v>-1063</v>
      </c>
      <c r="AV123" s="498">
        <f t="shared" si="535"/>
        <v>-199</v>
      </c>
      <c r="AW123" s="498">
        <f t="shared" si="419"/>
        <v>436</v>
      </c>
      <c r="AX123" s="498">
        <v>-1063</v>
      </c>
      <c r="AY123" s="498">
        <v>-1262</v>
      </c>
      <c r="AZ123" s="498">
        <v>-826</v>
      </c>
      <c r="BA123" s="498"/>
      <c r="BB123" s="498"/>
      <c r="BC123" s="498">
        <f t="shared" si="536"/>
        <v>-609</v>
      </c>
      <c r="BD123" s="498">
        <f t="shared" si="537"/>
        <v>-201</v>
      </c>
      <c r="BE123" s="498"/>
      <c r="BF123" s="498">
        <v>-609</v>
      </c>
      <c r="BG123" s="498">
        <v>-810</v>
      </c>
      <c r="BH123" s="498">
        <v>-202</v>
      </c>
      <c r="BI123" s="498">
        <f t="shared" si="538"/>
        <v>-201</v>
      </c>
      <c r="BJ123" s="498">
        <f t="shared" si="539"/>
        <v>-201</v>
      </c>
      <c r="BK123" s="498">
        <f t="shared" si="540"/>
        <v>-201</v>
      </c>
      <c r="BL123" s="498">
        <v>-403</v>
      </c>
      <c r="BM123" s="498">
        <v>-604</v>
      </c>
      <c r="BN123" s="498">
        <v>-805</v>
      </c>
      <c r="BO123" s="498">
        <v>0</v>
      </c>
      <c r="BP123" s="498">
        <f t="shared" si="541"/>
        <v>-99</v>
      </c>
      <c r="BQ123" s="281">
        <f t="shared" si="542"/>
        <v>104</v>
      </c>
      <c r="BR123" s="281">
        <v>0</v>
      </c>
      <c r="BS123" s="498">
        <v>-99</v>
      </c>
      <c r="BT123" s="498">
        <v>5</v>
      </c>
      <c r="BU123" s="498"/>
      <c r="BV123" s="498"/>
      <c r="BW123" s="498"/>
      <c r="BX123" s="498"/>
      <c r="BY123" s="498"/>
      <c r="BZ123" s="498"/>
      <c r="CA123" s="498"/>
      <c r="CB123" s="498"/>
      <c r="CC123" s="498"/>
      <c r="CD123" s="498"/>
      <c r="CE123" s="498"/>
      <c r="CF123" s="498"/>
      <c r="CG123" s="498"/>
      <c r="CH123" s="498"/>
      <c r="CI123" s="498"/>
      <c r="CJ123" s="498"/>
      <c r="CK123" s="498"/>
      <c r="CL123" s="498"/>
      <c r="CM123" s="498"/>
      <c r="CN123" s="498"/>
      <c r="CO123" s="498"/>
    </row>
    <row r="124" spans="1:93" s="289" customFormat="1" ht="13" x14ac:dyDescent="0.3">
      <c r="A124" s="449" t="s">
        <v>738</v>
      </c>
      <c r="B124" s="461"/>
      <c r="C124" s="461"/>
      <c r="D124" s="461"/>
      <c r="E124" s="461"/>
      <c r="F124" s="462"/>
      <c r="G124" s="461"/>
      <c r="H124" s="461"/>
      <c r="I124" s="461"/>
      <c r="J124" s="462"/>
      <c r="K124" s="461"/>
      <c r="L124" s="461"/>
      <c r="M124" s="461"/>
      <c r="N124" s="462"/>
      <c r="O124" s="461"/>
      <c r="P124" s="461"/>
      <c r="Q124" s="461"/>
      <c r="R124" s="462"/>
      <c r="S124" s="461"/>
      <c r="T124" s="461"/>
      <c r="U124" s="463"/>
      <c r="V124" s="463"/>
      <c r="W124" s="464"/>
      <c r="X124" s="465"/>
      <c r="Y124" s="466"/>
      <c r="Z124" s="464"/>
      <c r="AA124" s="461"/>
      <c r="AB124" s="463"/>
      <c r="AC124" s="464"/>
      <c r="AD124" s="464"/>
      <c r="AE124" s="465"/>
      <c r="AF124" s="464"/>
      <c r="AG124" s="464"/>
      <c r="AH124" s="464"/>
      <c r="AI124" s="464"/>
      <c r="AJ124" s="464"/>
      <c r="AK124" s="464"/>
      <c r="AL124" s="465"/>
      <c r="AM124" s="464"/>
      <c r="AN124" s="464"/>
      <c r="AO124" s="464"/>
      <c r="AP124" s="464"/>
      <c r="AQ124" s="464"/>
      <c r="AR124" s="464"/>
      <c r="AS124" s="465"/>
      <c r="AT124" s="452">
        <f t="shared" ref="AT124:BT124" si="550">SUM(AT125,AT126,AT127,AT128,AT129)</f>
        <v>0</v>
      </c>
      <c r="AU124" s="452">
        <f t="shared" si="550"/>
        <v>0</v>
      </c>
      <c r="AV124" s="452">
        <f t="shared" si="550"/>
        <v>0</v>
      </c>
      <c r="AW124" s="452">
        <f t="shared" si="550"/>
        <v>0</v>
      </c>
      <c r="AX124" s="452">
        <f t="shared" si="550"/>
        <v>0</v>
      </c>
      <c r="AY124" s="452">
        <f t="shared" si="550"/>
        <v>0</v>
      </c>
      <c r="AZ124" s="452">
        <f t="shared" si="550"/>
        <v>0</v>
      </c>
      <c r="BA124" s="452">
        <f t="shared" si="550"/>
        <v>0</v>
      </c>
      <c r="BB124" s="452">
        <f t="shared" si="550"/>
        <v>0</v>
      </c>
      <c r="BC124" s="452">
        <f t="shared" si="550"/>
        <v>0</v>
      </c>
      <c r="BD124" s="452">
        <f t="shared" si="550"/>
        <v>0</v>
      </c>
      <c r="BE124" s="452">
        <f t="shared" si="550"/>
        <v>0</v>
      </c>
      <c r="BF124" s="452">
        <f t="shared" si="550"/>
        <v>0</v>
      </c>
      <c r="BG124" s="452">
        <f t="shared" si="550"/>
        <v>0</v>
      </c>
      <c r="BH124" s="452">
        <f t="shared" si="550"/>
        <v>0</v>
      </c>
      <c r="BI124" s="452">
        <f t="shared" si="550"/>
        <v>0</v>
      </c>
      <c r="BJ124" s="452">
        <f t="shared" si="550"/>
        <v>0</v>
      </c>
      <c r="BK124" s="452">
        <f t="shared" si="550"/>
        <v>0</v>
      </c>
      <c r="BL124" s="452">
        <f t="shared" si="550"/>
        <v>0</v>
      </c>
      <c r="BM124" s="452">
        <f t="shared" si="550"/>
        <v>0</v>
      </c>
      <c r="BN124" s="452">
        <f t="shared" si="550"/>
        <v>0</v>
      </c>
      <c r="BO124" s="452">
        <f t="shared" si="550"/>
        <v>0</v>
      </c>
      <c r="BP124" s="452">
        <f t="shared" si="550"/>
        <v>0</v>
      </c>
      <c r="BQ124" s="452">
        <f t="shared" si="550"/>
        <v>-28801</v>
      </c>
      <c r="BR124" s="452">
        <f t="shared" si="550"/>
        <v>29648</v>
      </c>
      <c r="BS124" s="452">
        <f t="shared" si="550"/>
        <v>303967</v>
      </c>
      <c r="BT124" s="452">
        <f t="shared" si="550"/>
        <v>275166</v>
      </c>
      <c r="BU124" s="452">
        <f t="shared" ref="BU124:BV124" si="551">SUM(BU125,BU126,BU127,BU128,BU129)</f>
        <v>304814</v>
      </c>
      <c r="BV124" s="452">
        <f t="shared" si="551"/>
        <v>8625</v>
      </c>
      <c r="BW124" s="452">
        <f t="shared" ref="BW124:BZ124" si="552">SUM(BW125,BW126,BW127,BW128,BW129)</f>
        <v>-8521</v>
      </c>
      <c r="BX124" s="452">
        <f t="shared" si="552"/>
        <v>-5819</v>
      </c>
      <c r="BY124" s="452">
        <f t="shared" si="552"/>
        <v>-12023</v>
      </c>
      <c r="BZ124" s="452">
        <f t="shared" si="552"/>
        <v>104</v>
      </c>
      <c r="CA124" s="452">
        <f t="shared" ref="CA124:CB124" si="553">SUM(CA125,CA126,CA127,CA128,CA129)</f>
        <v>-5715</v>
      </c>
      <c r="CB124" s="452">
        <f t="shared" si="553"/>
        <v>-17738</v>
      </c>
      <c r="CC124" s="452">
        <f t="shared" ref="CC124:CD124" si="554">SUM(CC125,CC126,CC127,CC128,CC129)</f>
        <v>716</v>
      </c>
      <c r="CD124" s="452">
        <f t="shared" si="554"/>
        <v>-7868</v>
      </c>
      <c r="CE124" s="452">
        <f t="shared" ref="CE124:CG124" si="555">SUM(CE125,CE126,CE127,CE128,CE129)</f>
        <v>-22271</v>
      </c>
      <c r="CF124" s="452">
        <f t="shared" si="555"/>
        <v>-4103</v>
      </c>
      <c r="CG124" s="452">
        <f t="shared" si="555"/>
        <v>-7152</v>
      </c>
      <c r="CH124" s="452">
        <f t="shared" ref="CH124:CI124" si="556">SUM(CH125,CH126,CH127,CH128,CH129)</f>
        <v>-29423</v>
      </c>
      <c r="CI124" s="452">
        <f t="shared" si="556"/>
        <v>-33526</v>
      </c>
      <c r="CJ124" s="452">
        <v>5960</v>
      </c>
      <c r="CK124" s="452">
        <f t="shared" ref="CK124" si="557">SUM(CK125,CK126,CK127,CK128,CK129)</f>
        <v>-13681</v>
      </c>
      <c r="CL124" s="452">
        <f t="shared" ref="CL124:CO124" si="558">SUM(CL125,CL126,CL127,CL128,CL129)</f>
        <v>0</v>
      </c>
      <c r="CM124" s="452">
        <f t="shared" si="558"/>
        <v>0</v>
      </c>
      <c r="CN124" s="452">
        <f t="shared" si="558"/>
        <v>-7721</v>
      </c>
      <c r="CO124" s="452">
        <f t="shared" si="558"/>
        <v>0</v>
      </c>
    </row>
    <row r="125" spans="1:93" s="289" customFormat="1" x14ac:dyDescent="0.25">
      <c r="A125" s="455" t="str">
        <f>Language!C119</f>
        <v>Concepa</v>
      </c>
      <c r="B125" s="280"/>
      <c r="C125" s="280"/>
      <c r="D125" s="280"/>
      <c r="E125" s="280"/>
      <c r="F125" s="279"/>
      <c r="G125" s="280"/>
      <c r="H125" s="280"/>
      <c r="I125" s="280"/>
      <c r="J125" s="279"/>
      <c r="K125" s="280"/>
      <c r="L125" s="280"/>
      <c r="M125" s="280"/>
      <c r="N125" s="279"/>
      <c r="O125" s="280"/>
      <c r="P125" s="280"/>
      <c r="Q125" s="280"/>
      <c r="R125" s="279"/>
      <c r="S125" s="280"/>
      <c r="T125" s="280"/>
      <c r="U125" s="280"/>
      <c r="V125" s="280"/>
      <c r="W125" s="281"/>
      <c r="X125" s="282"/>
      <c r="Y125" s="283"/>
      <c r="Z125" s="281"/>
      <c r="AA125" s="280"/>
      <c r="AB125" s="280"/>
      <c r="AC125" s="281"/>
      <c r="AD125" s="281"/>
      <c r="AE125" s="282"/>
      <c r="AF125" s="281"/>
      <c r="AG125" s="281"/>
      <c r="AH125" s="281"/>
      <c r="AI125" s="281"/>
      <c r="AJ125" s="281"/>
      <c r="AK125" s="281"/>
      <c r="AL125" s="282"/>
      <c r="AM125" s="281"/>
      <c r="AN125" s="281"/>
      <c r="AO125" s="281"/>
      <c r="AP125" s="281"/>
      <c r="AQ125" s="281"/>
      <c r="AR125" s="281"/>
      <c r="AS125" s="282"/>
      <c r="AT125" s="281"/>
      <c r="AU125" s="281"/>
      <c r="AV125" s="281"/>
      <c r="AW125" s="281"/>
      <c r="AX125" s="281"/>
      <c r="AY125" s="281"/>
      <c r="AZ125" s="281"/>
      <c r="BA125" s="281"/>
      <c r="BB125" s="281"/>
      <c r="BC125" s="281"/>
      <c r="BD125" s="281"/>
      <c r="BE125" s="281"/>
      <c r="BF125" s="281"/>
      <c r="BG125" s="281"/>
      <c r="BH125" s="281"/>
      <c r="BI125" s="281"/>
      <c r="BJ125" s="281"/>
      <c r="BK125" s="281"/>
      <c r="BL125" s="281"/>
      <c r="BM125" s="281"/>
      <c r="BN125" s="281"/>
      <c r="BO125" s="281"/>
      <c r="BP125" s="281"/>
      <c r="BQ125" s="281">
        <f>BT125-BS125</f>
        <v>0</v>
      </c>
      <c r="BR125" s="281">
        <f>BU125-BT125</f>
        <v>0</v>
      </c>
      <c r="BS125" s="281"/>
      <c r="BT125" s="281">
        <v>0</v>
      </c>
      <c r="BU125" s="281">
        <v>0</v>
      </c>
      <c r="BV125" s="281">
        <v>0</v>
      </c>
      <c r="BW125" s="281">
        <v>0</v>
      </c>
      <c r="BX125" s="281">
        <v>0</v>
      </c>
      <c r="BY125" s="281">
        <v>0</v>
      </c>
      <c r="BZ125" s="281">
        <v>0</v>
      </c>
      <c r="CA125" s="281">
        <v>0</v>
      </c>
      <c r="CB125" s="281">
        <v>0</v>
      </c>
      <c r="CC125" s="281">
        <v>0</v>
      </c>
      <c r="CD125" s="281">
        <f>CG125-CC125</f>
        <v>0</v>
      </c>
      <c r="CE125" s="281">
        <f>CH125-CG125</f>
        <v>0</v>
      </c>
      <c r="CF125" s="281">
        <f>CI125-CH125</f>
        <v>0</v>
      </c>
      <c r="CG125" s="281">
        <v>0</v>
      </c>
      <c r="CH125" s="281">
        <v>0</v>
      </c>
      <c r="CI125" s="281">
        <v>0</v>
      </c>
      <c r="CJ125" s="281">
        <v>0</v>
      </c>
      <c r="CK125" s="281">
        <f>CN125-CJ125</f>
        <v>0</v>
      </c>
      <c r="CL125" s="281"/>
      <c r="CM125" s="281"/>
      <c r="CN125" s="281">
        <v>0</v>
      </c>
      <c r="CO125" s="281"/>
    </row>
    <row r="126" spans="1:93" s="289" customFormat="1" x14ac:dyDescent="0.25">
      <c r="A126" s="455" t="str">
        <f>Language!C120</f>
        <v>Concer</v>
      </c>
      <c r="B126" s="280"/>
      <c r="C126" s="280"/>
      <c r="D126" s="280"/>
      <c r="E126" s="280"/>
      <c r="F126" s="279"/>
      <c r="G126" s="280"/>
      <c r="H126" s="280"/>
      <c r="I126" s="280"/>
      <c r="J126" s="279"/>
      <c r="K126" s="280"/>
      <c r="L126" s="280"/>
      <c r="M126" s="280"/>
      <c r="N126" s="279"/>
      <c r="O126" s="280"/>
      <c r="P126" s="280"/>
      <c r="Q126" s="280"/>
      <c r="R126" s="279"/>
      <c r="S126" s="280"/>
      <c r="T126" s="280"/>
      <c r="U126" s="280"/>
      <c r="V126" s="280"/>
      <c r="W126" s="281"/>
      <c r="X126" s="282"/>
      <c r="Y126" s="283"/>
      <c r="Z126" s="281"/>
      <c r="AA126" s="280"/>
      <c r="AB126" s="280"/>
      <c r="AC126" s="281"/>
      <c r="AD126" s="281"/>
      <c r="AE126" s="282"/>
      <c r="AF126" s="281"/>
      <c r="AG126" s="281"/>
      <c r="AH126" s="281"/>
      <c r="AI126" s="281"/>
      <c r="AJ126" s="281"/>
      <c r="AK126" s="281"/>
      <c r="AL126" s="282"/>
      <c r="AM126" s="281"/>
      <c r="AN126" s="281"/>
      <c r="AO126" s="281"/>
      <c r="AP126" s="281"/>
      <c r="AQ126" s="281"/>
      <c r="AR126" s="281"/>
      <c r="AS126" s="282"/>
      <c r="AT126" s="281"/>
      <c r="AU126" s="281"/>
      <c r="AV126" s="281"/>
      <c r="AW126" s="281"/>
      <c r="AX126" s="281"/>
      <c r="AY126" s="281"/>
      <c r="AZ126" s="281"/>
      <c r="BA126" s="281"/>
      <c r="BB126" s="281"/>
      <c r="BC126" s="281"/>
      <c r="BD126" s="281"/>
      <c r="BE126" s="281"/>
      <c r="BF126" s="281"/>
      <c r="BG126" s="281"/>
      <c r="BH126" s="281"/>
      <c r="BI126" s="281"/>
      <c r="BJ126" s="281"/>
      <c r="BK126" s="281"/>
      <c r="BL126" s="281"/>
      <c r="BM126" s="281"/>
      <c r="BN126" s="281"/>
      <c r="BO126" s="281"/>
      <c r="BP126" s="281"/>
      <c r="BQ126" s="281">
        <f t="shared" ref="BQ126:BQ130" si="559">BT126-BS126</f>
        <v>0</v>
      </c>
      <c r="BR126" s="281">
        <f t="shared" ref="BR126:BR130" si="560">BU126-BT126</f>
        <v>0</v>
      </c>
      <c r="BS126" s="281"/>
      <c r="BT126" s="281">
        <v>0</v>
      </c>
      <c r="BU126" s="281">
        <v>0</v>
      </c>
      <c r="BV126" s="281">
        <v>0</v>
      </c>
      <c r="BW126" s="281">
        <v>0</v>
      </c>
      <c r="BX126" s="281">
        <v>0</v>
      </c>
      <c r="BY126" s="281">
        <v>0</v>
      </c>
      <c r="BZ126" s="281">
        <v>0</v>
      </c>
      <c r="CA126" s="281">
        <v>0</v>
      </c>
      <c r="CB126" s="281">
        <v>0</v>
      </c>
      <c r="CC126" s="281">
        <v>0</v>
      </c>
      <c r="CD126" s="281">
        <f t="shared" ref="CD126:CD128" si="561">CG126-CC126</f>
        <v>0</v>
      </c>
      <c r="CE126" s="281">
        <f t="shared" ref="CE126:CE128" si="562">CH126-CG126</f>
        <v>0</v>
      </c>
      <c r="CF126" s="281">
        <f t="shared" ref="CF126:CF129" si="563">CI126-CH126</f>
        <v>0</v>
      </c>
      <c r="CG126" s="281">
        <v>0</v>
      </c>
      <c r="CH126" s="281">
        <v>0</v>
      </c>
      <c r="CI126" s="281">
        <v>0</v>
      </c>
      <c r="CJ126" s="281">
        <v>0</v>
      </c>
      <c r="CK126" s="281">
        <f t="shared" ref="CK126:CK130" si="564">CN126-CJ126</f>
        <v>0</v>
      </c>
      <c r="CL126" s="281"/>
      <c r="CM126" s="281"/>
      <c r="CN126" s="281">
        <v>0</v>
      </c>
      <c r="CO126" s="281"/>
    </row>
    <row r="127" spans="1:93" s="289" customFormat="1" x14ac:dyDescent="0.25">
      <c r="A127" s="455" t="str">
        <f>Language!C121</f>
        <v>Econorte</v>
      </c>
      <c r="B127" s="280"/>
      <c r="C127" s="280"/>
      <c r="D127" s="280"/>
      <c r="E127" s="280"/>
      <c r="F127" s="279"/>
      <c r="G127" s="280"/>
      <c r="H127" s="280"/>
      <c r="I127" s="280"/>
      <c r="J127" s="279"/>
      <c r="K127" s="280"/>
      <c r="L127" s="280"/>
      <c r="M127" s="280"/>
      <c r="N127" s="279"/>
      <c r="O127" s="280"/>
      <c r="P127" s="280"/>
      <c r="Q127" s="280"/>
      <c r="R127" s="279"/>
      <c r="S127" s="280"/>
      <c r="T127" s="280"/>
      <c r="U127" s="280"/>
      <c r="V127" s="280"/>
      <c r="W127" s="281"/>
      <c r="X127" s="282"/>
      <c r="Y127" s="283"/>
      <c r="Z127" s="281"/>
      <c r="AA127" s="280"/>
      <c r="AB127" s="280"/>
      <c r="AC127" s="281"/>
      <c r="AD127" s="281"/>
      <c r="AE127" s="282"/>
      <c r="AF127" s="281"/>
      <c r="AG127" s="281"/>
      <c r="AH127" s="281"/>
      <c r="AI127" s="281"/>
      <c r="AJ127" s="281"/>
      <c r="AK127" s="281"/>
      <c r="AL127" s="282"/>
      <c r="AM127" s="281"/>
      <c r="AN127" s="281"/>
      <c r="AO127" s="281"/>
      <c r="AP127" s="281"/>
      <c r="AQ127" s="281"/>
      <c r="AR127" s="281"/>
      <c r="AS127" s="282"/>
      <c r="AT127" s="281"/>
      <c r="AU127" s="281"/>
      <c r="AV127" s="281"/>
      <c r="AW127" s="281"/>
      <c r="AX127" s="281"/>
      <c r="AY127" s="281"/>
      <c r="AZ127" s="281"/>
      <c r="BA127" s="281"/>
      <c r="BB127" s="281"/>
      <c r="BC127" s="281"/>
      <c r="BD127" s="281"/>
      <c r="BE127" s="281"/>
      <c r="BF127" s="281"/>
      <c r="BG127" s="281"/>
      <c r="BH127" s="281"/>
      <c r="BI127" s="281"/>
      <c r="BJ127" s="281"/>
      <c r="BK127" s="281"/>
      <c r="BL127" s="281"/>
      <c r="BM127" s="281"/>
      <c r="BN127" s="281"/>
      <c r="BO127" s="281"/>
      <c r="BP127" s="281"/>
      <c r="BQ127" s="281">
        <f t="shared" si="559"/>
        <v>0</v>
      </c>
      <c r="BR127" s="281">
        <f t="shared" si="560"/>
        <v>0</v>
      </c>
      <c r="BS127" s="281"/>
      <c r="BT127" s="281">
        <v>0</v>
      </c>
      <c r="BU127" s="281">
        <v>0</v>
      </c>
      <c r="BV127" s="281">
        <v>0</v>
      </c>
      <c r="BW127" s="281">
        <v>0</v>
      </c>
      <c r="BX127" s="281">
        <v>0</v>
      </c>
      <c r="BY127" s="281">
        <v>0</v>
      </c>
      <c r="BZ127" s="281">
        <v>0</v>
      </c>
      <c r="CA127" s="281">
        <v>0</v>
      </c>
      <c r="CB127" s="281">
        <v>0</v>
      </c>
      <c r="CC127" s="281">
        <v>0</v>
      </c>
      <c r="CD127" s="281">
        <f t="shared" si="561"/>
        <v>0</v>
      </c>
      <c r="CE127" s="281">
        <f t="shared" si="562"/>
        <v>0</v>
      </c>
      <c r="CF127" s="281">
        <f t="shared" si="563"/>
        <v>0</v>
      </c>
      <c r="CG127" s="281">
        <v>0</v>
      </c>
      <c r="CH127" s="281">
        <v>0</v>
      </c>
      <c r="CI127" s="281">
        <v>0</v>
      </c>
      <c r="CJ127" s="281">
        <v>0</v>
      </c>
      <c r="CK127" s="281">
        <f t="shared" si="564"/>
        <v>0</v>
      </c>
      <c r="CL127" s="281"/>
      <c r="CM127" s="281"/>
      <c r="CN127" s="281">
        <v>0</v>
      </c>
      <c r="CO127" s="281"/>
    </row>
    <row r="128" spans="1:93" s="289" customFormat="1" x14ac:dyDescent="0.25">
      <c r="A128" s="455" t="str">
        <f>Language!C122</f>
        <v>Concebra</v>
      </c>
      <c r="B128" s="280"/>
      <c r="C128" s="280"/>
      <c r="D128" s="280"/>
      <c r="E128" s="280"/>
      <c r="F128" s="279"/>
      <c r="G128" s="280"/>
      <c r="H128" s="280"/>
      <c r="I128" s="280"/>
      <c r="J128" s="279"/>
      <c r="K128" s="280"/>
      <c r="L128" s="280"/>
      <c r="M128" s="280"/>
      <c r="N128" s="279"/>
      <c r="O128" s="280"/>
      <c r="P128" s="280"/>
      <c r="Q128" s="280"/>
      <c r="R128" s="279"/>
      <c r="S128" s="280"/>
      <c r="T128" s="280"/>
      <c r="U128" s="280"/>
      <c r="V128" s="280"/>
      <c r="W128" s="281"/>
      <c r="X128" s="282"/>
      <c r="Y128" s="283"/>
      <c r="Z128" s="281"/>
      <c r="AA128" s="280"/>
      <c r="AB128" s="280"/>
      <c r="AC128" s="281"/>
      <c r="AD128" s="281"/>
      <c r="AE128" s="282"/>
      <c r="AF128" s="281"/>
      <c r="AG128" s="281"/>
      <c r="AH128" s="281"/>
      <c r="AI128" s="281"/>
      <c r="AJ128" s="281"/>
      <c r="AK128" s="281"/>
      <c r="AL128" s="282"/>
      <c r="AM128" s="281"/>
      <c r="AN128" s="281"/>
      <c r="AO128" s="281"/>
      <c r="AP128" s="281"/>
      <c r="AQ128" s="281"/>
      <c r="AR128" s="281"/>
      <c r="AS128" s="282"/>
      <c r="AT128" s="281"/>
      <c r="AU128" s="281"/>
      <c r="AV128" s="281"/>
      <c r="AW128" s="281"/>
      <c r="AX128" s="281"/>
      <c r="AY128" s="281"/>
      <c r="AZ128" s="281"/>
      <c r="BA128" s="281"/>
      <c r="BB128" s="281"/>
      <c r="BC128" s="281"/>
      <c r="BD128" s="281"/>
      <c r="BE128" s="281"/>
      <c r="BF128" s="281"/>
      <c r="BG128" s="281"/>
      <c r="BH128" s="281"/>
      <c r="BI128" s="281"/>
      <c r="BJ128" s="281"/>
      <c r="BK128" s="281"/>
      <c r="BL128" s="281"/>
      <c r="BM128" s="281"/>
      <c r="BN128" s="281"/>
      <c r="BO128" s="281"/>
      <c r="BP128" s="281"/>
      <c r="BQ128" s="281">
        <f t="shared" si="559"/>
        <v>-28801</v>
      </c>
      <c r="BR128" s="281">
        <f t="shared" si="560"/>
        <v>29648</v>
      </c>
      <c r="BS128" s="281">
        <v>303967</v>
      </c>
      <c r="BT128" s="281">
        <v>275166</v>
      </c>
      <c r="BU128" s="281">
        <v>304814</v>
      </c>
      <c r="BV128" s="281">
        <v>8625</v>
      </c>
      <c r="BW128" s="281">
        <f>BZ128-BV128</f>
        <v>-8521</v>
      </c>
      <c r="BX128" s="281">
        <f>CA128-BZ128</f>
        <v>-5819</v>
      </c>
      <c r="BY128" s="281">
        <f>CB128-CA128</f>
        <v>-12023</v>
      </c>
      <c r="BZ128" s="281">
        <v>104</v>
      </c>
      <c r="CA128" s="281">
        <v>-5715</v>
      </c>
      <c r="CB128" s="281">
        <v>-17738</v>
      </c>
      <c r="CC128" s="281">
        <v>716</v>
      </c>
      <c r="CD128" s="281">
        <f t="shared" si="561"/>
        <v>-7868</v>
      </c>
      <c r="CE128" s="281">
        <f t="shared" si="562"/>
        <v>-22271</v>
      </c>
      <c r="CF128" s="281">
        <f t="shared" si="563"/>
        <v>-4103</v>
      </c>
      <c r="CG128" s="281">
        <v>-7152</v>
      </c>
      <c r="CH128" s="281">
        <v>-29423</v>
      </c>
      <c r="CI128" s="281">
        <v>-33526</v>
      </c>
      <c r="CJ128" s="281">
        <v>5960</v>
      </c>
      <c r="CK128" s="281">
        <f t="shared" si="564"/>
        <v>-13681</v>
      </c>
      <c r="CL128" s="281"/>
      <c r="CM128" s="281"/>
      <c r="CN128" s="281">
        <v>-7721</v>
      </c>
      <c r="CO128" s="281"/>
    </row>
    <row r="129" spans="1:93" s="289" customFormat="1" x14ac:dyDescent="0.25">
      <c r="A129" s="455" t="str">
        <f>Language!C123</f>
        <v>Transbrasiliana</v>
      </c>
      <c r="B129" s="280"/>
      <c r="C129" s="280"/>
      <c r="D129" s="280"/>
      <c r="E129" s="280"/>
      <c r="F129" s="279"/>
      <c r="G129" s="280"/>
      <c r="H129" s="280"/>
      <c r="I129" s="280"/>
      <c r="J129" s="279"/>
      <c r="K129" s="280"/>
      <c r="L129" s="280"/>
      <c r="M129" s="280"/>
      <c r="N129" s="279"/>
      <c r="O129" s="280"/>
      <c r="P129" s="280"/>
      <c r="Q129" s="280"/>
      <c r="R129" s="279"/>
      <c r="S129" s="280"/>
      <c r="T129" s="280"/>
      <c r="U129" s="280"/>
      <c r="V129" s="280"/>
      <c r="W129" s="281"/>
      <c r="X129" s="282"/>
      <c r="Y129" s="283"/>
      <c r="Z129" s="281"/>
      <c r="AA129" s="280"/>
      <c r="AB129" s="280"/>
      <c r="AC129" s="281"/>
      <c r="AD129" s="281"/>
      <c r="AE129" s="282"/>
      <c r="AF129" s="281"/>
      <c r="AG129" s="281"/>
      <c r="AH129" s="281"/>
      <c r="AI129" s="281"/>
      <c r="AJ129" s="281"/>
      <c r="AK129" s="281"/>
      <c r="AL129" s="282"/>
      <c r="AM129" s="281"/>
      <c r="AN129" s="281"/>
      <c r="AO129" s="281"/>
      <c r="AP129" s="281"/>
      <c r="AQ129" s="281"/>
      <c r="AR129" s="281"/>
      <c r="AS129" s="282"/>
      <c r="AT129" s="281"/>
      <c r="AU129" s="281"/>
      <c r="AV129" s="281"/>
      <c r="AW129" s="281"/>
      <c r="AX129" s="281"/>
      <c r="AY129" s="281"/>
      <c r="AZ129" s="281"/>
      <c r="BA129" s="281"/>
      <c r="BB129" s="281"/>
      <c r="BC129" s="281"/>
      <c r="BD129" s="281"/>
      <c r="BE129" s="281"/>
      <c r="BF129" s="281"/>
      <c r="BG129" s="281"/>
      <c r="BH129" s="281"/>
      <c r="BI129" s="281"/>
      <c r="BJ129" s="281"/>
      <c r="BK129" s="281"/>
      <c r="BL129" s="281"/>
      <c r="BM129" s="281"/>
      <c r="BN129" s="281"/>
      <c r="BO129" s="281"/>
      <c r="BP129" s="281"/>
      <c r="BQ129" s="281">
        <f t="shared" si="559"/>
        <v>0</v>
      </c>
      <c r="BR129" s="281">
        <f t="shared" si="560"/>
        <v>0</v>
      </c>
      <c r="BS129" s="281"/>
      <c r="BT129" s="281">
        <v>0</v>
      </c>
      <c r="BU129" s="281">
        <v>0</v>
      </c>
      <c r="BV129" s="281">
        <v>0</v>
      </c>
      <c r="BW129" s="281">
        <v>0</v>
      </c>
      <c r="BX129" s="281">
        <v>0</v>
      </c>
      <c r="BY129" s="281">
        <f t="shared" ref="BY129:BY130" si="565">CB129-CA129</f>
        <v>0</v>
      </c>
      <c r="BZ129" s="281">
        <v>0</v>
      </c>
      <c r="CA129" s="281">
        <v>0</v>
      </c>
      <c r="CB129" s="281">
        <v>0</v>
      </c>
      <c r="CC129" s="281">
        <v>0</v>
      </c>
      <c r="CD129" s="281">
        <v>0</v>
      </c>
      <c r="CE129" s="281">
        <v>0</v>
      </c>
      <c r="CF129" s="281">
        <f t="shared" si="563"/>
        <v>0</v>
      </c>
      <c r="CG129" s="281">
        <v>0</v>
      </c>
      <c r="CH129" s="281">
        <v>0</v>
      </c>
      <c r="CI129" s="281">
        <v>0</v>
      </c>
      <c r="CJ129" s="281">
        <v>0</v>
      </c>
      <c r="CK129" s="281">
        <f t="shared" si="564"/>
        <v>0</v>
      </c>
      <c r="CL129" s="281"/>
      <c r="CM129" s="281"/>
      <c r="CN129" s="281">
        <v>0</v>
      </c>
      <c r="CO129" s="281"/>
    </row>
    <row r="130" spans="1:93" s="289" customFormat="1" x14ac:dyDescent="0.25">
      <c r="A130" s="713" t="s">
        <v>670</v>
      </c>
      <c r="B130" s="280"/>
      <c r="C130" s="280"/>
      <c r="D130" s="280"/>
      <c r="E130" s="280"/>
      <c r="F130" s="279"/>
      <c r="G130" s="280"/>
      <c r="H130" s="280"/>
      <c r="I130" s="280"/>
      <c r="J130" s="279"/>
      <c r="K130" s="280"/>
      <c r="L130" s="280"/>
      <c r="M130" s="280"/>
      <c r="N130" s="279"/>
      <c r="O130" s="280"/>
      <c r="P130" s="280"/>
      <c r="Q130" s="280"/>
      <c r="R130" s="279"/>
      <c r="S130" s="280"/>
      <c r="T130" s="280"/>
      <c r="U130" s="280"/>
      <c r="V130" s="280"/>
      <c r="W130" s="281"/>
      <c r="X130" s="282"/>
      <c r="Y130" s="283"/>
      <c r="Z130" s="281"/>
      <c r="AA130" s="280"/>
      <c r="AB130" s="280"/>
      <c r="AC130" s="281"/>
      <c r="AD130" s="281"/>
      <c r="AE130" s="282"/>
      <c r="AF130" s="281"/>
      <c r="AG130" s="281"/>
      <c r="AH130" s="281"/>
      <c r="AI130" s="281"/>
      <c r="AJ130" s="281"/>
      <c r="AK130" s="281"/>
      <c r="AL130" s="282"/>
      <c r="AM130" s="281"/>
      <c r="AN130" s="281"/>
      <c r="AO130" s="281"/>
      <c r="AP130" s="281"/>
      <c r="AQ130" s="281"/>
      <c r="AR130" s="281"/>
      <c r="AS130" s="282"/>
      <c r="AT130" s="281"/>
      <c r="AU130" s="281"/>
      <c r="AV130" s="281"/>
      <c r="AW130" s="281"/>
      <c r="AX130" s="281"/>
      <c r="AY130" s="281"/>
      <c r="AZ130" s="281"/>
      <c r="BA130" s="281"/>
      <c r="BB130" s="281"/>
      <c r="BC130" s="281"/>
      <c r="BD130" s="281"/>
      <c r="BE130" s="281"/>
      <c r="BF130" s="281"/>
      <c r="BG130" s="281"/>
      <c r="BH130" s="281"/>
      <c r="BI130" s="281"/>
      <c r="BJ130" s="281"/>
      <c r="BK130" s="281"/>
      <c r="BL130" s="281"/>
      <c r="BM130" s="281"/>
      <c r="BN130" s="281"/>
      <c r="BO130" s="281"/>
      <c r="BP130" s="281"/>
      <c r="BQ130" s="281">
        <f t="shared" si="559"/>
        <v>0</v>
      </c>
      <c r="BR130" s="281">
        <f t="shared" si="560"/>
        <v>0</v>
      </c>
      <c r="BS130" s="281"/>
      <c r="BT130" s="281">
        <v>0</v>
      </c>
      <c r="BU130" s="281">
        <v>0</v>
      </c>
      <c r="BV130" s="281">
        <v>0</v>
      </c>
      <c r="BW130" s="281">
        <v>0</v>
      </c>
      <c r="BX130" s="281">
        <v>0</v>
      </c>
      <c r="BY130" s="281">
        <f t="shared" si="565"/>
        <v>0</v>
      </c>
      <c r="BZ130" s="281">
        <v>0</v>
      </c>
      <c r="CA130" s="281">
        <v>0</v>
      </c>
      <c r="CB130" s="281">
        <v>0</v>
      </c>
      <c r="CC130" s="281">
        <v>0</v>
      </c>
      <c r="CD130" s="281">
        <v>0</v>
      </c>
      <c r="CE130" s="281">
        <v>0</v>
      </c>
      <c r="CF130" s="281">
        <v>0</v>
      </c>
      <c r="CG130" s="281">
        <v>0</v>
      </c>
      <c r="CH130" s="281">
        <v>0</v>
      </c>
      <c r="CI130" s="281">
        <v>0</v>
      </c>
      <c r="CJ130" s="281">
        <v>0</v>
      </c>
      <c r="CK130" s="281">
        <f t="shared" si="564"/>
        <v>0</v>
      </c>
      <c r="CL130" s="281"/>
      <c r="CM130" s="281"/>
      <c r="CN130" s="281">
        <v>0</v>
      </c>
      <c r="CO130" s="281"/>
    </row>
    <row r="131" spans="1:93" s="423" customFormat="1" ht="13" x14ac:dyDescent="0.3">
      <c r="A131" s="467" t="str">
        <f>Language!C106</f>
        <v>Deduções da Receita Bruta</v>
      </c>
      <c r="B131" s="450">
        <f t="shared" ref="B131:AK131" si="566">SUM(B132,B133,B134,B135,B136)</f>
        <v>-11780</v>
      </c>
      <c r="C131" s="450">
        <f t="shared" si="566"/>
        <v>-10655</v>
      </c>
      <c r="D131" s="450">
        <f t="shared" si="566"/>
        <v>-11014</v>
      </c>
      <c r="E131" s="450">
        <f t="shared" si="566"/>
        <v>-12453</v>
      </c>
      <c r="F131" s="451">
        <f t="shared" si="566"/>
        <v>-13213</v>
      </c>
      <c r="G131" s="450">
        <f t="shared" si="566"/>
        <v>-11676</v>
      </c>
      <c r="H131" s="450">
        <f t="shared" si="566"/>
        <v>-12345</v>
      </c>
      <c r="I131" s="450">
        <f t="shared" si="566"/>
        <v>-14529</v>
      </c>
      <c r="J131" s="451">
        <f t="shared" si="566"/>
        <v>-14249</v>
      </c>
      <c r="K131" s="450">
        <f t="shared" si="566"/>
        <v>-15409</v>
      </c>
      <c r="L131" s="450">
        <f t="shared" si="566"/>
        <v>-13661</v>
      </c>
      <c r="M131" s="450">
        <f t="shared" si="566"/>
        <v>-15377</v>
      </c>
      <c r="N131" s="451">
        <f t="shared" si="566"/>
        <v>-15786</v>
      </c>
      <c r="O131" s="450">
        <f t="shared" si="566"/>
        <v>-14170</v>
      </c>
      <c r="P131" s="450">
        <f t="shared" si="566"/>
        <v>-14616</v>
      </c>
      <c r="Q131" s="450">
        <f t="shared" si="566"/>
        <v>-16524</v>
      </c>
      <c r="R131" s="451">
        <f t="shared" si="566"/>
        <v>-23715</v>
      </c>
      <c r="S131" s="450">
        <f t="shared" si="566"/>
        <v>-16370</v>
      </c>
      <c r="T131" s="450">
        <f t="shared" si="566"/>
        <v>-27050</v>
      </c>
      <c r="U131" s="450">
        <f t="shared" si="566"/>
        <v>-14208</v>
      </c>
      <c r="V131" s="450">
        <f t="shared" si="566"/>
        <v>-40085</v>
      </c>
      <c r="W131" s="468">
        <f t="shared" si="566"/>
        <v>-67135</v>
      </c>
      <c r="X131" s="453">
        <f t="shared" si="566"/>
        <v>-81343</v>
      </c>
      <c r="Y131" s="454">
        <f t="shared" si="566"/>
        <v>-25866</v>
      </c>
      <c r="Z131" s="452">
        <f t="shared" si="566"/>
        <v>-26175</v>
      </c>
      <c r="AA131" s="450">
        <f t="shared" si="566"/>
        <v>-25135</v>
      </c>
      <c r="AB131" s="450">
        <f t="shared" si="566"/>
        <v>-26150</v>
      </c>
      <c r="AC131" s="452">
        <f t="shared" si="566"/>
        <v>-52041</v>
      </c>
      <c r="AD131" s="452">
        <f t="shared" si="566"/>
        <v>-77176</v>
      </c>
      <c r="AE131" s="453">
        <f t="shared" si="566"/>
        <v>-103326</v>
      </c>
      <c r="AF131" s="452">
        <f t="shared" si="566"/>
        <v>-27098</v>
      </c>
      <c r="AG131" s="452">
        <f>AJ131-AF131</f>
        <v>-25099</v>
      </c>
      <c r="AH131" s="452">
        <f t="shared" si="320"/>
        <v>-25843</v>
      </c>
      <c r="AI131" s="452">
        <f t="shared" si="321"/>
        <v>-26756</v>
      </c>
      <c r="AJ131" s="452">
        <f t="shared" si="566"/>
        <v>-52197</v>
      </c>
      <c r="AK131" s="452">
        <f t="shared" si="566"/>
        <v>-78040</v>
      </c>
      <c r="AL131" s="453">
        <f>SUM(AL132,AL133,AL134,AL135,AL136)</f>
        <v>-104796</v>
      </c>
      <c r="AM131" s="452">
        <f>SUM(AM132:AM136)</f>
        <v>-24670</v>
      </c>
      <c r="AN131" s="452">
        <f t="shared" si="323"/>
        <v>-22461</v>
      </c>
      <c r="AO131" s="452">
        <f t="shared" si="324"/>
        <v>-21456</v>
      </c>
      <c r="AP131" s="452">
        <f t="shared" si="324"/>
        <v>-19738</v>
      </c>
      <c r="AQ131" s="452">
        <f>SUM(AQ132:AQ136)</f>
        <v>-47131</v>
      </c>
      <c r="AR131" s="452">
        <f>SUM(AR132:AR136)</f>
        <v>-68587</v>
      </c>
      <c r="AS131" s="453">
        <f>SUM(AS132:AS136)</f>
        <v>-88325</v>
      </c>
      <c r="AT131" s="452">
        <f>SUM(AT132:AT136)</f>
        <v>-17449.187099999999</v>
      </c>
      <c r="AU131" s="452">
        <f>SUM(AU132:AU138)+1</f>
        <v>-18531.620800000001</v>
      </c>
      <c r="AV131" s="452">
        <f>SUM(AV132:AV138)</f>
        <v>-21155.004800000002</v>
      </c>
      <c r="AW131" s="452">
        <f t="shared" si="419"/>
        <v>-22456.946399999993</v>
      </c>
      <c r="AX131" s="452">
        <f>SUM(AX132:AX138)+1</f>
        <v>-35980.8079</v>
      </c>
      <c r="AY131" s="452">
        <f>SUM(AY132:AY138)</f>
        <v>-57136.812700000002</v>
      </c>
      <c r="AZ131" s="452">
        <f>SUM(AZ132:AZ138)</f>
        <v>-79593.759099999996</v>
      </c>
      <c r="BA131" s="452">
        <f t="shared" ref="BA131:BE131" si="567">SUM(BA132:BA136)</f>
        <v>-20546</v>
      </c>
      <c r="BB131" s="452">
        <f t="shared" si="567"/>
        <v>-17313</v>
      </c>
      <c r="BC131" s="452">
        <f>SUM(BC132:BC138)</f>
        <v>-18851</v>
      </c>
      <c r="BD131" s="452">
        <f t="shared" si="567"/>
        <v>-20236</v>
      </c>
      <c r="BE131" s="452">
        <f t="shared" si="567"/>
        <v>-37859</v>
      </c>
      <c r="BF131" s="452">
        <f>SUM(BF132:BF138)</f>
        <v>-56710</v>
      </c>
      <c r="BG131" s="452">
        <f>SUM(BG132:BG138)</f>
        <v>-76939</v>
      </c>
      <c r="BH131" s="452">
        <f>SUM(BH132:BH138)</f>
        <v>-18868</v>
      </c>
      <c r="BI131" s="452">
        <f t="shared" ref="BI131:BL131" si="568">SUM(BI132:BI138)</f>
        <v>-19819</v>
      </c>
      <c r="BJ131" s="452">
        <f t="shared" si="568"/>
        <v>-21513</v>
      </c>
      <c r="BK131" s="452">
        <f t="shared" si="568"/>
        <v>-19065</v>
      </c>
      <c r="BL131" s="452">
        <f t="shared" si="568"/>
        <v>-38687</v>
      </c>
      <c r="BM131" s="452">
        <f t="shared" ref="BM131:BN131" si="569">SUM(BM132:BM138)</f>
        <v>-60200</v>
      </c>
      <c r="BN131" s="452">
        <f t="shared" si="569"/>
        <v>-79265</v>
      </c>
      <c r="BO131" s="452">
        <f t="shared" ref="BO131:BS131" si="570">SUM(BO132:BO138)</f>
        <v>-14369</v>
      </c>
      <c r="BP131" s="452">
        <f t="shared" si="570"/>
        <v>-14890</v>
      </c>
      <c r="BQ131" s="452">
        <f t="shared" si="570"/>
        <v>-16642</v>
      </c>
      <c r="BR131" s="452">
        <f t="shared" si="570"/>
        <v>-16088</v>
      </c>
      <c r="BS131" s="452">
        <f t="shared" si="570"/>
        <v>-29259</v>
      </c>
      <c r="BT131" s="452">
        <f t="shared" ref="BT131:BU131" si="571">SUM(BT132:BT138)</f>
        <v>-45901</v>
      </c>
      <c r="BU131" s="452">
        <f t="shared" si="571"/>
        <v>-61989</v>
      </c>
      <c r="BV131" s="452">
        <f t="shared" ref="BV131:BY131" si="572">SUM(BV132:BV138)</f>
        <v>-15713</v>
      </c>
      <c r="BW131" s="452">
        <f t="shared" si="572"/>
        <v>-15770</v>
      </c>
      <c r="BX131" s="452">
        <f t="shared" si="572"/>
        <v>-18150</v>
      </c>
      <c r="BY131" s="452">
        <f t="shared" si="572"/>
        <v>-20876</v>
      </c>
      <c r="BZ131" s="452">
        <f t="shared" ref="BZ131:CA131" si="573">SUM(BZ132:BZ138)</f>
        <v>-31483</v>
      </c>
      <c r="CA131" s="452">
        <f t="shared" si="573"/>
        <v>-49633</v>
      </c>
      <c r="CB131" s="452">
        <f t="shared" ref="CB131:CC131" si="574">SUM(CB132:CB138)</f>
        <v>-70509</v>
      </c>
      <c r="CC131" s="452">
        <f t="shared" si="574"/>
        <v>-20981</v>
      </c>
      <c r="CD131" s="452">
        <f t="shared" ref="CD131" si="575">SUM(CD132:CD138)</f>
        <v>-22155</v>
      </c>
      <c r="CE131" s="452">
        <f t="shared" ref="CE131:CG131" si="576">SUM(CE132:CE138)</f>
        <v>-35786</v>
      </c>
      <c r="CF131" s="452">
        <f t="shared" si="576"/>
        <v>-27094</v>
      </c>
      <c r="CG131" s="452">
        <f t="shared" si="576"/>
        <v>-43136</v>
      </c>
      <c r="CH131" s="452">
        <f t="shared" ref="CH131:CI131" si="577">SUM(CH132:CH138)</f>
        <v>-78922</v>
      </c>
      <c r="CI131" s="452">
        <f t="shared" si="577"/>
        <v>-106016</v>
      </c>
      <c r="CJ131" s="452">
        <v>-22185</v>
      </c>
      <c r="CK131" s="452">
        <f t="shared" ref="CK131" si="578">SUM(CK132:CK138)</f>
        <v>-22783</v>
      </c>
      <c r="CL131" s="452">
        <f t="shared" ref="CL131:CO131" si="579">SUM(CL132:CL138)</f>
        <v>0</v>
      </c>
      <c r="CM131" s="452">
        <f t="shared" si="579"/>
        <v>0</v>
      </c>
      <c r="CN131" s="452">
        <f t="shared" si="579"/>
        <v>-44968</v>
      </c>
      <c r="CO131" s="452">
        <f t="shared" si="579"/>
        <v>0</v>
      </c>
    </row>
    <row r="132" spans="1:93" s="289" customFormat="1" x14ac:dyDescent="0.25">
      <c r="A132" s="455" t="str">
        <f>Language!C107</f>
        <v>Concepa</v>
      </c>
      <c r="B132" s="280">
        <v>-5066</v>
      </c>
      <c r="C132" s="280">
        <v>-3844</v>
      </c>
      <c r="D132" s="280">
        <v>-3838</v>
      </c>
      <c r="E132" s="280">
        <v>-4987</v>
      </c>
      <c r="F132" s="279">
        <v>-5744</v>
      </c>
      <c r="G132" s="280">
        <v>-4295</v>
      </c>
      <c r="H132" s="280">
        <v>-4453</v>
      </c>
      <c r="I132" s="280">
        <v>-5642</v>
      </c>
      <c r="J132" s="279">
        <v>-6099</v>
      </c>
      <c r="K132" s="280">
        <v>-4848</v>
      </c>
      <c r="L132" s="280">
        <v>-5111</v>
      </c>
      <c r="M132" s="280">
        <v>-6457</v>
      </c>
      <c r="N132" s="279">
        <v>-7210</v>
      </c>
      <c r="O132" s="280">
        <v>-5531</v>
      </c>
      <c r="P132" s="280">
        <v>-5857</v>
      </c>
      <c r="Q132" s="280">
        <v>-7342</v>
      </c>
      <c r="R132" s="279">
        <v>-8930</v>
      </c>
      <c r="S132" s="280">
        <v>-6883</v>
      </c>
      <c r="T132" s="280">
        <f t="shared" ref="T132:T136" si="580">W132-S132-R132</f>
        <v>-7721</v>
      </c>
      <c r="U132" s="280">
        <f>X132-W132</f>
        <v>-672</v>
      </c>
      <c r="V132" s="280">
        <f t="shared" ref="V132:V136" si="581">R132+S132</f>
        <v>-15813</v>
      </c>
      <c r="W132" s="281">
        <v>-23534</v>
      </c>
      <c r="X132" s="282">
        <v>-24206</v>
      </c>
      <c r="Y132" s="283">
        <v>-8055</v>
      </c>
      <c r="Z132" s="281">
        <f t="shared" ref="Z132:Z136" si="582">AC132-Y132</f>
        <v>-8300</v>
      </c>
      <c r="AA132" s="280">
        <f t="shared" ref="AA132:AA136" si="583">AD132-Z132-Y132</f>
        <v>-6623</v>
      </c>
      <c r="AB132" s="280">
        <f>AE132-AD132</f>
        <v>-7496</v>
      </c>
      <c r="AC132" s="281">
        <v>-16355</v>
      </c>
      <c r="AD132" s="281">
        <v>-22978</v>
      </c>
      <c r="AE132" s="282">
        <v>-30474</v>
      </c>
      <c r="AF132" s="281">
        <v>-8754</v>
      </c>
      <c r="AG132" s="281">
        <f t="shared" ref="AG132:AG206" si="584">AJ132-AF132</f>
        <v>-6620</v>
      </c>
      <c r="AH132" s="281">
        <f t="shared" si="320"/>
        <v>-4511</v>
      </c>
      <c r="AI132" s="281">
        <f t="shared" si="321"/>
        <v>-4387</v>
      </c>
      <c r="AJ132" s="281">
        <v>-15374</v>
      </c>
      <c r="AK132" s="281">
        <v>-19885</v>
      </c>
      <c r="AL132" s="282">
        <v>-24272</v>
      </c>
      <c r="AM132" s="281">
        <v>-4951</v>
      </c>
      <c r="AN132" s="281">
        <f t="shared" si="323"/>
        <v>-3683</v>
      </c>
      <c r="AO132" s="281">
        <f t="shared" si="324"/>
        <v>-3350.5922835426318</v>
      </c>
      <c r="AP132" s="281">
        <f t="shared" si="324"/>
        <v>-146.40713200383288</v>
      </c>
      <c r="AQ132" s="281">
        <v>-8634</v>
      </c>
      <c r="AR132" s="281">
        <v>-11984.592283542632</v>
      </c>
      <c r="AS132" s="282">
        <v>-12130.999415546465</v>
      </c>
      <c r="AT132" s="281">
        <v>0</v>
      </c>
      <c r="AU132" s="281">
        <f>AY132-AT132</f>
        <v>-75</v>
      </c>
      <c r="AV132" s="281">
        <f>AY132-AX132</f>
        <v>0</v>
      </c>
      <c r="AW132" s="281">
        <f t="shared" si="419"/>
        <v>75</v>
      </c>
      <c r="AX132" s="281">
        <v>-75</v>
      </c>
      <c r="AY132" s="281">
        <v>-75</v>
      </c>
      <c r="AZ132" s="733">
        <v>0</v>
      </c>
      <c r="BA132" s="733">
        <v>0</v>
      </c>
      <c r="BB132" s="281">
        <f t="shared" si="496"/>
        <v>0</v>
      </c>
      <c r="BC132" s="733">
        <f>BF132-BE132</f>
        <v>0</v>
      </c>
      <c r="BD132" s="733"/>
      <c r="BE132" s="733">
        <v>0</v>
      </c>
      <c r="BF132" s="733">
        <v>0</v>
      </c>
      <c r="BG132" s="733">
        <v>0</v>
      </c>
      <c r="BH132" s="733">
        <v>0</v>
      </c>
      <c r="BI132" s="733">
        <v>0</v>
      </c>
      <c r="BJ132" s="733">
        <v>0</v>
      </c>
      <c r="BK132" s="733">
        <v>0</v>
      </c>
      <c r="BL132" s="733">
        <v>0</v>
      </c>
      <c r="BM132" s="733">
        <v>0</v>
      </c>
      <c r="BN132" s="733">
        <v>0</v>
      </c>
      <c r="BO132" s="733">
        <v>0</v>
      </c>
      <c r="BP132" s="733">
        <f>BS132-BO132</f>
        <v>0</v>
      </c>
      <c r="BQ132" s="733">
        <v>0</v>
      </c>
      <c r="BR132" s="733">
        <v>0</v>
      </c>
      <c r="BS132" s="733">
        <v>0</v>
      </c>
      <c r="BT132" s="733"/>
      <c r="BU132" s="733"/>
      <c r="BV132" s="733"/>
      <c r="BW132" s="733"/>
      <c r="BX132" s="733"/>
      <c r="BY132" s="733"/>
      <c r="BZ132" s="733"/>
      <c r="CA132" s="733"/>
      <c r="CB132" s="733"/>
      <c r="CC132" s="733"/>
      <c r="CD132" s="733"/>
      <c r="CE132" s="733"/>
      <c r="CF132" s="733"/>
      <c r="CG132" s="733"/>
      <c r="CH132" s="733"/>
      <c r="CI132" s="733"/>
      <c r="CJ132" s="733"/>
      <c r="CK132" s="733"/>
      <c r="CL132" s="733"/>
      <c r="CM132" s="733"/>
      <c r="CN132" s="733"/>
      <c r="CO132" s="733"/>
    </row>
    <row r="133" spans="1:93" s="289" customFormat="1" x14ac:dyDescent="0.25">
      <c r="A133" s="455" t="str">
        <f>Language!C108</f>
        <v>Concer</v>
      </c>
      <c r="B133" s="280">
        <v>-3189</v>
      </c>
      <c r="C133" s="280">
        <v>-3249</v>
      </c>
      <c r="D133" s="280">
        <v>-3497</v>
      </c>
      <c r="E133" s="280">
        <v>-3619</v>
      </c>
      <c r="F133" s="279">
        <v>-3623</v>
      </c>
      <c r="G133" s="280">
        <v>-3580</v>
      </c>
      <c r="H133" s="280">
        <v>-3761</v>
      </c>
      <c r="I133" s="280">
        <v>-4532</v>
      </c>
      <c r="J133" s="279">
        <v>-3661</v>
      </c>
      <c r="K133" s="280">
        <v>-3686</v>
      </c>
      <c r="L133" s="280">
        <v>-3958</v>
      </c>
      <c r="M133" s="280">
        <v>-3908</v>
      </c>
      <c r="N133" s="279">
        <v>-3857</v>
      </c>
      <c r="O133" s="280">
        <v>-3919</v>
      </c>
      <c r="P133" s="280">
        <v>-3890</v>
      </c>
      <c r="Q133" s="280">
        <v>-4123</v>
      </c>
      <c r="R133" s="279">
        <v>-7494</v>
      </c>
      <c r="S133" s="280">
        <v>-2170</v>
      </c>
      <c r="T133" s="280">
        <f t="shared" si="580"/>
        <v>-4137</v>
      </c>
      <c r="U133" s="280">
        <f>X133-W133</f>
        <v>-2650</v>
      </c>
      <c r="V133" s="280">
        <f t="shared" si="581"/>
        <v>-9664</v>
      </c>
      <c r="W133" s="281">
        <v>-13801</v>
      </c>
      <c r="X133" s="282">
        <v>-16451</v>
      </c>
      <c r="Y133" s="283">
        <v>-3860</v>
      </c>
      <c r="Z133" s="281">
        <f t="shared" si="582"/>
        <v>-3782</v>
      </c>
      <c r="AA133" s="280">
        <f t="shared" si="583"/>
        <v>-3954</v>
      </c>
      <c r="AB133" s="280">
        <f>AE133-AD133</f>
        <v>-4158</v>
      </c>
      <c r="AC133" s="281">
        <v>-7642</v>
      </c>
      <c r="AD133" s="281">
        <v>-11596</v>
      </c>
      <c r="AE133" s="282">
        <v>-15754</v>
      </c>
      <c r="AF133" s="281">
        <v>-4143</v>
      </c>
      <c r="AG133" s="281">
        <f t="shared" si="584"/>
        <v>-3979</v>
      </c>
      <c r="AH133" s="281">
        <f t="shared" si="320"/>
        <v>-4269</v>
      </c>
      <c r="AI133" s="281">
        <f t="shared" si="321"/>
        <v>-4296</v>
      </c>
      <c r="AJ133" s="281">
        <v>-8122</v>
      </c>
      <c r="AK133" s="281">
        <v>-12391</v>
      </c>
      <c r="AL133" s="282">
        <v>-16687</v>
      </c>
      <c r="AM133" s="281">
        <v>-4009</v>
      </c>
      <c r="AN133" s="281">
        <f t="shared" si="323"/>
        <v>-3795</v>
      </c>
      <c r="AO133" s="281">
        <f t="shared" si="324"/>
        <v>-4022.8754268561352</v>
      </c>
      <c r="AP133" s="281">
        <f t="shared" si="324"/>
        <v>-4609.7206291648181</v>
      </c>
      <c r="AQ133" s="281">
        <v>-7804</v>
      </c>
      <c r="AR133" s="281">
        <v>-11826.875426856135</v>
      </c>
      <c r="AS133" s="282">
        <v>-16436.596056020953</v>
      </c>
      <c r="AT133" s="281">
        <v>-4686.1871000000001</v>
      </c>
      <c r="AU133" s="281">
        <f t="shared" ref="AU133:AU138" si="585">AX133-AT133</f>
        <v>-4935.6207999999997</v>
      </c>
      <c r="AV133" s="281">
        <f>AY133-AX133</f>
        <v>-4913.0048000000006</v>
      </c>
      <c r="AW133" s="281">
        <f t="shared" si="419"/>
        <v>-5254.9463999999989</v>
      </c>
      <c r="AX133" s="281">
        <v>-9621.8078999999998</v>
      </c>
      <c r="AY133" s="281">
        <v>-14534.8127</v>
      </c>
      <c r="AZ133" s="281">
        <v>-19789.759099999999</v>
      </c>
      <c r="BA133" s="281">
        <v>-4668</v>
      </c>
      <c r="BB133" s="281">
        <f t="shared" si="496"/>
        <v>-3296</v>
      </c>
      <c r="BC133" s="281">
        <f t="shared" ref="BC133:BC136" si="586">BF133-BE133</f>
        <v>-4646</v>
      </c>
      <c r="BD133" s="281">
        <f>BG133-BF133</f>
        <v>-5192</v>
      </c>
      <c r="BE133" s="281">
        <v>-7964</v>
      </c>
      <c r="BF133" s="281">
        <v>-12610</v>
      </c>
      <c r="BG133" s="281">
        <v>-17802</v>
      </c>
      <c r="BH133" s="281">
        <v>-4640</v>
      </c>
      <c r="BI133" s="281">
        <f>BL133-BH133</f>
        <v>-4642</v>
      </c>
      <c r="BJ133" s="281">
        <f>BM133-BL133</f>
        <v>-4963</v>
      </c>
      <c r="BK133" s="281">
        <f>BN133-BM133</f>
        <v>-5003</v>
      </c>
      <c r="BL133" s="281">
        <v>-9282</v>
      </c>
      <c r="BM133" s="281">
        <v>-14245</v>
      </c>
      <c r="BN133" s="281">
        <v>-19248</v>
      </c>
      <c r="BO133" s="281">
        <v>-4734</v>
      </c>
      <c r="BP133" s="733">
        <f t="shared" ref="BP133:BP138" si="587">BS133-BO133</f>
        <v>-4975</v>
      </c>
      <c r="BQ133" s="281">
        <f>BT133-BS133</f>
        <v>-5722</v>
      </c>
      <c r="BR133" s="281">
        <f>BU133-BT133</f>
        <v>-5541</v>
      </c>
      <c r="BS133" s="281">
        <v>-9709</v>
      </c>
      <c r="BT133" s="281">
        <v>-15431</v>
      </c>
      <c r="BU133" s="281">
        <v>-20972</v>
      </c>
      <c r="BV133" s="281">
        <v>-5518</v>
      </c>
      <c r="BW133" s="281">
        <f>BZ133-BV133</f>
        <v>-5544</v>
      </c>
      <c r="BX133" s="281">
        <f>CA133-BZ133</f>
        <v>-5763</v>
      </c>
      <c r="BY133" s="281">
        <f>CB133-CA133</f>
        <v>-5966</v>
      </c>
      <c r="BZ133" s="281">
        <v>-11062</v>
      </c>
      <c r="CA133" s="281">
        <v>-16825</v>
      </c>
      <c r="CB133" s="281">
        <v>-22791</v>
      </c>
      <c r="CC133" s="281">
        <v>-6468</v>
      </c>
      <c r="CD133" s="281">
        <f>CG133-CC133</f>
        <v>-6566</v>
      </c>
      <c r="CE133" s="281">
        <f>CH133-CG133</f>
        <v>-6930</v>
      </c>
      <c r="CF133" s="281">
        <f>CI133-CH133</f>
        <v>-7072</v>
      </c>
      <c r="CG133" s="281">
        <v>-13034</v>
      </c>
      <c r="CH133" s="281">
        <v>-19964</v>
      </c>
      <c r="CI133" s="281">
        <v>-27036</v>
      </c>
      <c r="CJ133" s="281">
        <v>-6670</v>
      </c>
      <c r="CK133" s="281">
        <f>CN133-CJ133</f>
        <v>-6695</v>
      </c>
      <c r="CL133" s="281"/>
      <c r="CM133" s="281"/>
      <c r="CN133" s="281">
        <v>-13365</v>
      </c>
      <c r="CO133" s="281"/>
    </row>
    <row r="134" spans="1:93" s="289" customFormat="1" x14ac:dyDescent="0.25">
      <c r="A134" s="455" t="str">
        <f>Language!C109</f>
        <v>Econorte</v>
      </c>
      <c r="B134" s="280">
        <v>-3525</v>
      </c>
      <c r="C134" s="280">
        <v>-3562</v>
      </c>
      <c r="D134" s="280">
        <v>-3679</v>
      </c>
      <c r="E134" s="280">
        <v>-3847</v>
      </c>
      <c r="F134" s="279">
        <v>-3846</v>
      </c>
      <c r="G134" s="280">
        <v>-3801</v>
      </c>
      <c r="H134" s="280">
        <v>-4131</v>
      </c>
      <c r="I134" s="280">
        <v>-4355</v>
      </c>
      <c r="J134" s="279">
        <v>-4489</v>
      </c>
      <c r="K134" s="280">
        <v>-6875</v>
      </c>
      <c r="L134" s="280">
        <v>-4592</v>
      </c>
      <c r="M134" s="280">
        <v>-5012</v>
      </c>
      <c r="N134" s="279">
        <v>-4719</v>
      </c>
      <c r="O134" s="280">
        <v>-4720</v>
      </c>
      <c r="P134" s="280">
        <v>-4869</v>
      </c>
      <c r="Q134" s="280">
        <v>-5059</v>
      </c>
      <c r="R134" s="279">
        <v>-5269</v>
      </c>
      <c r="S134" s="280">
        <v>-5009</v>
      </c>
      <c r="T134" s="280">
        <f t="shared" si="580"/>
        <v>-5230</v>
      </c>
      <c r="U134" s="280">
        <f>X134-W134</f>
        <v>-908</v>
      </c>
      <c r="V134" s="280">
        <f t="shared" si="581"/>
        <v>-10278</v>
      </c>
      <c r="W134" s="281">
        <v>-15508</v>
      </c>
      <c r="X134" s="282">
        <v>-16416</v>
      </c>
      <c r="Y134" s="283">
        <v>-4452</v>
      </c>
      <c r="Z134" s="281">
        <f t="shared" si="582"/>
        <v>-4319</v>
      </c>
      <c r="AA134" s="280">
        <f t="shared" si="583"/>
        <v>-4412</v>
      </c>
      <c r="AB134" s="280">
        <f>AE134-AD134</f>
        <v>-4565</v>
      </c>
      <c r="AC134" s="281">
        <v>-8771</v>
      </c>
      <c r="AD134" s="281">
        <v>-13183</v>
      </c>
      <c r="AE134" s="282">
        <v>-17748</v>
      </c>
      <c r="AF134" s="281">
        <v>-4578</v>
      </c>
      <c r="AG134" s="281">
        <f t="shared" si="584"/>
        <v>-4550</v>
      </c>
      <c r="AH134" s="281">
        <f t="shared" si="320"/>
        <v>-4913</v>
      </c>
      <c r="AI134" s="281">
        <f t="shared" si="321"/>
        <v>-4934</v>
      </c>
      <c r="AJ134" s="281">
        <v>-9128</v>
      </c>
      <c r="AK134" s="281">
        <v>-14041</v>
      </c>
      <c r="AL134" s="282">
        <v>-18975</v>
      </c>
      <c r="AM134" s="281">
        <v>-4754</v>
      </c>
      <c r="AN134" s="281">
        <f t="shared" si="323"/>
        <v>-4403</v>
      </c>
      <c r="AO134" s="281">
        <f t="shared" si="324"/>
        <v>-4167.7133592200935</v>
      </c>
      <c r="AP134" s="281">
        <f t="shared" si="324"/>
        <v>-3902.4529502805217</v>
      </c>
      <c r="AQ134" s="281">
        <v>-9157</v>
      </c>
      <c r="AR134" s="281">
        <v>-13324.713359220093</v>
      </c>
      <c r="AS134" s="282">
        <v>-17227.166309500615</v>
      </c>
      <c r="AT134" s="281">
        <v>-2356</v>
      </c>
      <c r="AU134" s="281">
        <f t="shared" si="585"/>
        <v>-3045</v>
      </c>
      <c r="AV134" s="281">
        <f t="shared" ref="AV134:AV138" si="588">AY134-AX134</f>
        <v>-4604</v>
      </c>
      <c r="AW134" s="281">
        <f t="shared" si="419"/>
        <v>-5933</v>
      </c>
      <c r="AX134" s="281">
        <v>-5401</v>
      </c>
      <c r="AY134" s="281">
        <v>-10005</v>
      </c>
      <c r="AZ134" s="281">
        <v>-15938</v>
      </c>
      <c r="BA134" s="281">
        <v>-5332</v>
      </c>
      <c r="BB134" s="281">
        <f t="shared" si="496"/>
        <v>-4545</v>
      </c>
      <c r="BC134" s="281">
        <f t="shared" si="586"/>
        <v>-5710</v>
      </c>
      <c r="BD134" s="281">
        <f t="shared" ref="BD134:BD138" si="589">BG134-BF134</f>
        <v>-6288</v>
      </c>
      <c r="BE134" s="281">
        <v>-9877</v>
      </c>
      <c r="BF134" s="281">
        <v>-15587</v>
      </c>
      <c r="BG134" s="281">
        <v>-21875</v>
      </c>
      <c r="BH134" s="281">
        <v>-5831</v>
      </c>
      <c r="BI134" s="281">
        <f t="shared" ref="BI134:BI138" si="590">BL134-BH134</f>
        <v>-5885</v>
      </c>
      <c r="BJ134" s="281">
        <f t="shared" ref="BJ134:BJ138" si="591">BM134-BL134</f>
        <v>-6372</v>
      </c>
      <c r="BK134" s="281">
        <f t="shared" ref="BK134:BK138" si="592">BN134-BM134</f>
        <v>-4104</v>
      </c>
      <c r="BL134" s="281">
        <v>-11716</v>
      </c>
      <c r="BM134" s="281">
        <v>-18088</v>
      </c>
      <c r="BN134" s="281">
        <v>-22192</v>
      </c>
      <c r="BO134" s="281">
        <v>0</v>
      </c>
      <c r="BP134" s="733">
        <f t="shared" si="587"/>
        <v>-4</v>
      </c>
      <c r="BQ134" s="281">
        <f t="shared" ref="BQ134:BQ138" si="593">BT134-BS134</f>
        <v>4</v>
      </c>
      <c r="BR134" s="281">
        <f t="shared" ref="BR134:BR138" si="594">BU134-BT134</f>
        <v>0</v>
      </c>
      <c r="BS134" s="281">
        <v>-4</v>
      </c>
      <c r="BT134" s="281">
        <v>0</v>
      </c>
      <c r="BU134" s="281">
        <v>0</v>
      </c>
      <c r="BV134" s="281">
        <v>0</v>
      </c>
      <c r="BW134" s="281">
        <f t="shared" ref="BW134:BW138" si="595">BZ134-BV134</f>
        <v>0</v>
      </c>
      <c r="BX134" s="281">
        <f t="shared" ref="BX134:BX138" si="596">CA134-BZ134</f>
        <v>0</v>
      </c>
      <c r="BY134" s="281">
        <f t="shared" ref="BY134:BY138" si="597">CB134-CA134</f>
        <v>0</v>
      </c>
      <c r="BZ134" s="281">
        <v>0</v>
      </c>
      <c r="CA134" s="281">
        <v>0</v>
      </c>
      <c r="CB134" s="281">
        <v>0</v>
      </c>
      <c r="CC134" s="281">
        <v>0</v>
      </c>
      <c r="CD134" s="281">
        <f t="shared" ref="CD134:CD136" si="598">CG134-CC134</f>
        <v>0</v>
      </c>
      <c r="CE134" s="281">
        <f t="shared" ref="CE134:CE136" si="599">CH134-CG134</f>
        <v>0</v>
      </c>
      <c r="CF134" s="281">
        <f t="shared" ref="CF134:CF138" si="600">CI134-CH134</f>
        <v>0</v>
      </c>
      <c r="CG134" s="281">
        <v>0</v>
      </c>
      <c r="CH134" s="281">
        <v>0</v>
      </c>
      <c r="CI134" s="281">
        <v>0</v>
      </c>
      <c r="CJ134" s="281">
        <v>0</v>
      </c>
      <c r="CK134" s="281">
        <f t="shared" ref="CK134:CK138" si="601">CN134-CJ134</f>
        <v>0</v>
      </c>
      <c r="CL134" s="281"/>
      <c r="CM134" s="281"/>
      <c r="CN134" s="281">
        <v>0</v>
      </c>
      <c r="CO134" s="281"/>
    </row>
    <row r="135" spans="1:93" s="289" customFormat="1" x14ac:dyDescent="0.25">
      <c r="A135" s="455" t="str">
        <f>Language!C110</f>
        <v>Concebra</v>
      </c>
      <c r="B135" s="280">
        <v>0</v>
      </c>
      <c r="C135" s="280">
        <v>0</v>
      </c>
      <c r="D135" s="280">
        <v>0</v>
      </c>
      <c r="E135" s="280">
        <v>0</v>
      </c>
      <c r="F135" s="279">
        <v>0</v>
      </c>
      <c r="G135" s="280">
        <v>0</v>
      </c>
      <c r="H135" s="280">
        <v>0</v>
      </c>
      <c r="I135" s="280">
        <v>0</v>
      </c>
      <c r="J135" s="279">
        <v>0</v>
      </c>
      <c r="K135" s="280">
        <v>0</v>
      </c>
      <c r="L135" s="280">
        <v>0</v>
      </c>
      <c r="M135" s="280">
        <v>0</v>
      </c>
      <c r="N135" s="279">
        <v>0</v>
      </c>
      <c r="O135" s="280">
        <v>0</v>
      </c>
      <c r="P135" s="280">
        <v>0</v>
      </c>
      <c r="Q135" s="280">
        <v>0</v>
      </c>
      <c r="R135" s="279">
        <v>0</v>
      </c>
      <c r="S135" s="280">
        <v>-320</v>
      </c>
      <c r="T135" s="280">
        <f t="shared" si="580"/>
        <v>-7956</v>
      </c>
      <c r="U135" s="280">
        <f>X135-W135</f>
        <v>-7725</v>
      </c>
      <c r="V135" s="280">
        <f t="shared" si="581"/>
        <v>-320</v>
      </c>
      <c r="W135" s="281">
        <v>-8276</v>
      </c>
      <c r="X135" s="282">
        <v>-16001</v>
      </c>
      <c r="Y135" s="283">
        <v>-7313</v>
      </c>
      <c r="Z135" s="281">
        <f t="shared" si="582"/>
        <v>-7485</v>
      </c>
      <c r="AA135" s="280">
        <f t="shared" si="583"/>
        <v>-7863</v>
      </c>
      <c r="AB135" s="280">
        <f>AE135-AD135</f>
        <v>-7674</v>
      </c>
      <c r="AC135" s="281">
        <v>-14798</v>
      </c>
      <c r="AD135" s="281">
        <v>-22661</v>
      </c>
      <c r="AE135" s="282">
        <v>-30335</v>
      </c>
      <c r="AF135" s="281">
        <v>-7215</v>
      </c>
      <c r="AG135" s="281">
        <f t="shared" si="584"/>
        <v>-7566</v>
      </c>
      <c r="AH135" s="281">
        <f t="shared" si="320"/>
        <v>-9600</v>
      </c>
      <c r="AI135" s="281">
        <f t="shared" si="321"/>
        <v>-8963</v>
      </c>
      <c r="AJ135" s="281">
        <v>-14781</v>
      </c>
      <c r="AK135" s="281">
        <v>-24381</v>
      </c>
      <c r="AL135" s="282">
        <v>-33344</v>
      </c>
      <c r="AM135" s="281">
        <v>-8250</v>
      </c>
      <c r="AN135" s="281">
        <f t="shared" si="323"/>
        <v>-8065</v>
      </c>
      <c r="AO135" s="281">
        <f t="shared" si="324"/>
        <v>-7545.5771508041398</v>
      </c>
      <c r="AP135" s="281">
        <f t="shared" si="324"/>
        <v>-8119.8021595406899</v>
      </c>
      <c r="AQ135" s="281">
        <v>-16315</v>
      </c>
      <c r="AR135" s="281">
        <v>-23860.57715080414</v>
      </c>
      <c r="AS135" s="282">
        <v>-31980.37931034483</v>
      </c>
      <c r="AT135" s="281">
        <v>-7735</v>
      </c>
      <c r="AU135" s="281">
        <f t="shared" si="585"/>
        <v>-8002</v>
      </c>
      <c r="AV135" s="281">
        <f t="shared" si="588"/>
        <v>-8783</v>
      </c>
      <c r="AW135" s="281">
        <f t="shared" si="419"/>
        <v>-8617</v>
      </c>
      <c r="AX135" s="281">
        <v>-15737</v>
      </c>
      <c r="AY135" s="281">
        <v>-24520</v>
      </c>
      <c r="AZ135" s="281">
        <v>-33137</v>
      </c>
      <c r="BA135" s="281">
        <v>-7831</v>
      </c>
      <c r="BB135" s="281">
        <f t="shared" si="496"/>
        <v>-7123</v>
      </c>
      <c r="BC135" s="281">
        <f t="shared" si="586"/>
        <v>-5627</v>
      </c>
      <c r="BD135" s="281">
        <f t="shared" si="589"/>
        <v>-5862</v>
      </c>
      <c r="BE135" s="281">
        <v>-14954</v>
      </c>
      <c r="BF135" s="281">
        <v>-20581</v>
      </c>
      <c r="BG135" s="281">
        <v>-26443</v>
      </c>
      <c r="BH135" s="281">
        <v>-5299</v>
      </c>
      <c r="BI135" s="281">
        <f t="shared" si="590"/>
        <v>-5578</v>
      </c>
      <c r="BJ135" s="281">
        <f t="shared" si="591"/>
        <v>-6014</v>
      </c>
      <c r="BK135" s="281">
        <f t="shared" si="592"/>
        <v>-5788</v>
      </c>
      <c r="BL135" s="281">
        <v>-10877</v>
      </c>
      <c r="BM135" s="281">
        <v>-16891</v>
      </c>
      <c r="BN135" s="281">
        <v>-22679</v>
      </c>
      <c r="BO135" s="281">
        <v>-5437</v>
      </c>
      <c r="BP135" s="733">
        <f t="shared" si="587"/>
        <v>-5791</v>
      </c>
      <c r="BQ135" s="281">
        <f t="shared" si="593"/>
        <v>-6485</v>
      </c>
      <c r="BR135" s="281">
        <f t="shared" si="594"/>
        <v>-6007</v>
      </c>
      <c r="BS135" s="281">
        <v>-11228</v>
      </c>
      <c r="BT135" s="281">
        <v>-17713</v>
      </c>
      <c r="BU135" s="281">
        <v>-23720</v>
      </c>
      <c r="BV135" s="281">
        <v>-5791</v>
      </c>
      <c r="BW135" s="281">
        <f t="shared" si="595"/>
        <v>-6042</v>
      </c>
      <c r="BX135" s="281">
        <f t="shared" si="596"/>
        <v>-7369</v>
      </c>
      <c r="BY135" s="281">
        <f t="shared" si="597"/>
        <v>-9837</v>
      </c>
      <c r="BZ135" s="281">
        <v>-11833</v>
      </c>
      <c r="CA135" s="281">
        <v>-19202</v>
      </c>
      <c r="CB135" s="281">
        <v>-29039</v>
      </c>
      <c r="CC135" s="281">
        <v>-9625</v>
      </c>
      <c r="CD135" s="281">
        <f t="shared" si="598"/>
        <v>-10462</v>
      </c>
      <c r="CE135" s="281">
        <f t="shared" si="599"/>
        <v>-23516</v>
      </c>
      <c r="CF135" s="281">
        <f t="shared" si="600"/>
        <v>-15036</v>
      </c>
      <c r="CG135" s="281">
        <v>-20087</v>
      </c>
      <c r="CH135" s="281">
        <v>-43603</v>
      </c>
      <c r="CI135" s="281">
        <v>-58639</v>
      </c>
      <c r="CJ135" s="281">
        <v>-10423</v>
      </c>
      <c r="CK135" s="281">
        <f t="shared" si="601"/>
        <v>-10892</v>
      </c>
      <c r="CL135" s="281"/>
      <c r="CM135" s="281"/>
      <c r="CN135" s="281">
        <v>-21315</v>
      </c>
      <c r="CO135" s="281"/>
    </row>
    <row r="136" spans="1:93" s="289" customFormat="1" x14ac:dyDescent="0.25">
      <c r="A136" s="455" t="str">
        <f>Language!C111</f>
        <v>Transbrasiliana</v>
      </c>
      <c r="B136" s="280">
        <v>0</v>
      </c>
      <c r="C136" s="280">
        <v>0</v>
      </c>
      <c r="D136" s="280">
        <v>0</v>
      </c>
      <c r="E136" s="280">
        <v>0</v>
      </c>
      <c r="F136" s="279">
        <v>0</v>
      </c>
      <c r="G136" s="280">
        <v>0</v>
      </c>
      <c r="H136" s="280">
        <v>0</v>
      </c>
      <c r="I136" s="280">
        <v>0</v>
      </c>
      <c r="J136" s="279">
        <v>0</v>
      </c>
      <c r="K136" s="280">
        <v>0</v>
      </c>
      <c r="L136" s="280">
        <v>0</v>
      </c>
      <c r="M136" s="280">
        <v>0</v>
      </c>
      <c r="N136" s="279">
        <v>0</v>
      </c>
      <c r="O136" s="280">
        <v>0</v>
      </c>
      <c r="P136" s="280">
        <v>0</v>
      </c>
      <c r="Q136" s="280">
        <v>0</v>
      </c>
      <c r="R136" s="279">
        <v>-2022</v>
      </c>
      <c r="S136" s="280">
        <v>-1988</v>
      </c>
      <c r="T136" s="280">
        <f t="shared" si="580"/>
        <v>-2006</v>
      </c>
      <c r="U136" s="280">
        <f>X136-W136</f>
        <v>-2253</v>
      </c>
      <c r="V136" s="280">
        <f t="shared" si="581"/>
        <v>-4010</v>
      </c>
      <c r="W136" s="281">
        <v>-6016</v>
      </c>
      <c r="X136" s="282">
        <v>-8269</v>
      </c>
      <c r="Y136" s="283">
        <v>-2186</v>
      </c>
      <c r="Z136" s="281">
        <f t="shared" si="582"/>
        <v>-2289</v>
      </c>
      <c r="AA136" s="280">
        <f t="shared" si="583"/>
        <v>-2283</v>
      </c>
      <c r="AB136" s="280">
        <f>AE136-AD136</f>
        <v>-2257</v>
      </c>
      <c r="AC136" s="281">
        <v>-4475</v>
      </c>
      <c r="AD136" s="281">
        <v>-6758</v>
      </c>
      <c r="AE136" s="282">
        <v>-9015</v>
      </c>
      <c r="AF136" s="281">
        <v>-2408</v>
      </c>
      <c r="AG136" s="281">
        <f t="shared" si="584"/>
        <v>-2384</v>
      </c>
      <c r="AH136" s="281">
        <f t="shared" si="320"/>
        <v>-2550</v>
      </c>
      <c r="AI136" s="281">
        <f t="shared" si="321"/>
        <v>-4176</v>
      </c>
      <c r="AJ136" s="281">
        <v>-4792</v>
      </c>
      <c r="AK136" s="281">
        <v>-7342</v>
      </c>
      <c r="AL136" s="282">
        <v>-11518</v>
      </c>
      <c r="AM136" s="281">
        <v>-2706</v>
      </c>
      <c r="AN136" s="281">
        <f t="shared" si="323"/>
        <v>-2515</v>
      </c>
      <c r="AO136" s="281">
        <f t="shared" si="324"/>
        <v>-2369.2417795769989</v>
      </c>
      <c r="AP136" s="281">
        <f t="shared" si="324"/>
        <v>-2959.6171290101383</v>
      </c>
      <c r="AQ136" s="281">
        <v>-5221</v>
      </c>
      <c r="AR136" s="281">
        <v>-7590.2417795769989</v>
      </c>
      <c r="AS136" s="282">
        <v>-10549.858908587137</v>
      </c>
      <c r="AT136" s="281">
        <v>-2672</v>
      </c>
      <c r="AU136" s="281">
        <f t="shared" si="585"/>
        <v>-2565</v>
      </c>
      <c r="AV136" s="281">
        <f t="shared" si="588"/>
        <v>-2862</v>
      </c>
      <c r="AW136" s="281">
        <f t="shared" si="419"/>
        <v>-2660</v>
      </c>
      <c r="AX136" s="281">
        <v>-5237</v>
      </c>
      <c r="AY136" s="281">
        <v>-8099</v>
      </c>
      <c r="AZ136" s="281">
        <v>-10759</v>
      </c>
      <c r="BA136" s="281">
        <v>-2715</v>
      </c>
      <c r="BB136" s="281">
        <f t="shared" si="496"/>
        <v>-2349</v>
      </c>
      <c r="BC136" s="281">
        <f t="shared" si="586"/>
        <v>-2890</v>
      </c>
      <c r="BD136" s="281">
        <f t="shared" si="589"/>
        <v>-2894</v>
      </c>
      <c r="BE136" s="281">
        <v>-5064</v>
      </c>
      <c r="BF136" s="281">
        <v>-7954</v>
      </c>
      <c r="BG136" s="281">
        <v>-10848</v>
      </c>
      <c r="BH136" s="281">
        <v>-3105</v>
      </c>
      <c r="BI136" s="281">
        <f t="shared" si="590"/>
        <v>-3722</v>
      </c>
      <c r="BJ136" s="281">
        <f t="shared" si="591"/>
        <v>-4171</v>
      </c>
      <c r="BK136" s="281">
        <f t="shared" si="592"/>
        <v>-4177</v>
      </c>
      <c r="BL136" s="281">
        <v>-6827</v>
      </c>
      <c r="BM136" s="281">
        <v>-10998</v>
      </c>
      <c r="BN136" s="281">
        <v>-15175</v>
      </c>
      <c r="BO136" s="281">
        <v>-4198</v>
      </c>
      <c r="BP136" s="733">
        <f t="shared" si="587"/>
        <v>-4124</v>
      </c>
      <c r="BQ136" s="281">
        <f t="shared" si="593"/>
        <v>-4435</v>
      </c>
      <c r="BR136" s="281">
        <f t="shared" si="594"/>
        <v>-4540</v>
      </c>
      <c r="BS136" s="281">
        <v>-8322</v>
      </c>
      <c r="BT136" s="281">
        <v>-12757</v>
      </c>
      <c r="BU136" s="281">
        <v>-17297</v>
      </c>
      <c r="BV136" s="281">
        <v>-4404</v>
      </c>
      <c r="BW136" s="281">
        <f t="shared" si="595"/>
        <v>-4184</v>
      </c>
      <c r="BX136" s="281">
        <f t="shared" si="596"/>
        <v>-5018</v>
      </c>
      <c r="BY136" s="281">
        <f t="shared" si="597"/>
        <v>-5073</v>
      </c>
      <c r="BZ136" s="281">
        <v>-8588</v>
      </c>
      <c r="CA136" s="281">
        <v>-13606</v>
      </c>
      <c r="CB136" s="281">
        <v>-18679</v>
      </c>
      <c r="CC136" s="281">
        <v>-4888</v>
      </c>
      <c r="CD136" s="281">
        <f t="shared" si="598"/>
        <v>-5127</v>
      </c>
      <c r="CE136" s="281">
        <f t="shared" si="599"/>
        <v>-5340</v>
      </c>
      <c r="CF136" s="281">
        <f t="shared" si="600"/>
        <v>-4986</v>
      </c>
      <c r="CG136" s="281">
        <v>-10015</v>
      </c>
      <c r="CH136" s="281">
        <v>-15355</v>
      </c>
      <c r="CI136" s="281">
        <v>-20341</v>
      </c>
      <c r="CJ136" s="281">
        <v>-5092</v>
      </c>
      <c r="CK136" s="281">
        <f t="shared" si="601"/>
        <v>-5196</v>
      </c>
      <c r="CL136" s="281"/>
      <c r="CM136" s="281"/>
      <c r="CN136" s="281">
        <v>-10288</v>
      </c>
      <c r="CO136" s="281"/>
    </row>
    <row r="137" spans="1:93" s="289" customFormat="1" x14ac:dyDescent="0.25">
      <c r="A137" s="713" t="s">
        <v>670</v>
      </c>
      <c r="B137" s="280"/>
      <c r="C137" s="280"/>
      <c r="D137" s="280"/>
      <c r="E137" s="280"/>
      <c r="F137" s="279"/>
      <c r="G137" s="280"/>
      <c r="H137" s="280"/>
      <c r="I137" s="280"/>
      <c r="J137" s="279"/>
      <c r="K137" s="280"/>
      <c r="L137" s="280"/>
      <c r="M137" s="280"/>
      <c r="N137" s="279"/>
      <c r="O137" s="280"/>
      <c r="P137" s="280"/>
      <c r="Q137" s="280"/>
      <c r="R137" s="279"/>
      <c r="S137" s="280"/>
      <c r="T137" s="280"/>
      <c r="U137" s="280"/>
      <c r="V137" s="280"/>
      <c r="W137" s="281"/>
      <c r="X137" s="282"/>
      <c r="Y137" s="283"/>
      <c r="Z137" s="281"/>
      <c r="AA137" s="280"/>
      <c r="AB137" s="280"/>
      <c r="AC137" s="281"/>
      <c r="AD137" s="281"/>
      <c r="AE137" s="282"/>
      <c r="AF137" s="281"/>
      <c r="AG137" s="281"/>
      <c r="AH137" s="281"/>
      <c r="AI137" s="281"/>
      <c r="AJ137" s="281"/>
      <c r="AK137" s="281"/>
      <c r="AL137" s="282"/>
      <c r="AM137" s="281"/>
      <c r="AN137" s="281"/>
      <c r="AO137" s="281"/>
      <c r="AP137" s="281"/>
      <c r="AQ137" s="281"/>
      <c r="AR137" s="281"/>
      <c r="AS137" s="282"/>
      <c r="AT137" s="281"/>
      <c r="AU137" s="281">
        <f t="shared" si="585"/>
        <v>-95</v>
      </c>
      <c r="AV137" s="281">
        <f t="shared" si="588"/>
        <v>0</v>
      </c>
      <c r="AW137" s="281">
        <f t="shared" si="419"/>
        <v>95</v>
      </c>
      <c r="AX137" s="281">
        <v>-95</v>
      </c>
      <c r="AY137" s="281">
        <v>-95</v>
      </c>
      <c r="AZ137" s="281">
        <v>0</v>
      </c>
      <c r="BA137" s="281"/>
      <c r="BB137" s="281"/>
      <c r="BC137" s="281">
        <v>0</v>
      </c>
      <c r="BD137" s="281">
        <f t="shared" si="589"/>
        <v>0</v>
      </c>
      <c r="BE137" s="281"/>
      <c r="BF137" s="281">
        <v>0</v>
      </c>
      <c r="BG137" s="281">
        <v>0</v>
      </c>
      <c r="BH137" s="281">
        <v>0</v>
      </c>
      <c r="BI137" s="281">
        <f t="shared" si="590"/>
        <v>0</v>
      </c>
      <c r="BJ137" s="281">
        <f t="shared" si="591"/>
        <v>0</v>
      </c>
      <c r="BK137" s="281">
        <f t="shared" si="592"/>
        <v>0</v>
      </c>
      <c r="BL137" s="281">
        <v>0</v>
      </c>
      <c r="BM137" s="281">
        <v>0</v>
      </c>
      <c r="BN137" s="281">
        <v>0</v>
      </c>
      <c r="BO137" s="281">
        <v>0</v>
      </c>
      <c r="BP137" s="733">
        <f t="shared" si="587"/>
        <v>0</v>
      </c>
      <c r="BQ137" s="281">
        <f t="shared" si="593"/>
        <v>0</v>
      </c>
      <c r="BR137" s="281">
        <f t="shared" si="594"/>
        <v>0</v>
      </c>
      <c r="BS137" s="281">
        <v>0</v>
      </c>
      <c r="BT137" s="281">
        <v>0</v>
      </c>
      <c r="BU137" s="281">
        <v>0</v>
      </c>
      <c r="BV137" s="281">
        <v>0</v>
      </c>
      <c r="BW137" s="281">
        <f t="shared" si="595"/>
        <v>0</v>
      </c>
      <c r="BX137" s="281">
        <f t="shared" si="596"/>
        <v>0</v>
      </c>
      <c r="BY137" s="281">
        <f t="shared" si="597"/>
        <v>0</v>
      </c>
      <c r="BZ137" s="281">
        <v>0</v>
      </c>
      <c r="CA137" s="281">
        <v>0</v>
      </c>
      <c r="CB137" s="281">
        <v>0</v>
      </c>
      <c r="CC137" s="281">
        <v>0</v>
      </c>
      <c r="CD137" s="281">
        <v>0</v>
      </c>
      <c r="CE137" s="281">
        <v>0</v>
      </c>
      <c r="CF137" s="281">
        <f t="shared" si="600"/>
        <v>0</v>
      </c>
      <c r="CG137" s="281">
        <v>0</v>
      </c>
      <c r="CH137" s="281">
        <v>0</v>
      </c>
      <c r="CI137" s="281">
        <v>0</v>
      </c>
      <c r="CJ137" s="281">
        <v>0</v>
      </c>
      <c r="CK137" s="281">
        <f t="shared" si="601"/>
        <v>0</v>
      </c>
      <c r="CL137" s="281"/>
      <c r="CM137" s="281"/>
      <c r="CN137" s="281">
        <v>0</v>
      </c>
      <c r="CO137" s="281"/>
    </row>
    <row r="138" spans="1:93" s="289" customFormat="1" x14ac:dyDescent="0.25">
      <c r="A138" s="713" t="s">
        <v>695</v>
      </c>
      <c r="B138" s="280"/>
      <c r="C138" s="280"/>
      <c r="D138" s="280"/>
      <c r="E138" s="280"/>
      <c r="F138" s="279"/>
      <c r="G138" s="280"/>
      <c r="H138" s="280"/>
      <c r="I138" s="280"/>
      <c r="J138" s="279"/>
      <c r="K138" s="280"/>
      <c r="L138" s="280"/>
      <c r="M138" s="280"/>
      <c r="N138" s="279"/>
      <c r="O138" s="280"/>
      <c r="P138" s="280"/>
      <c r="Q138" s="280"/>
      <c r="R138" s="279"/>
      <c r="S138" s="280"/>
      <c r="T138" s="280"/>
      <c r="U138" s="280"/>
      <c r="V138" s="280"/>
      <c r="W138" s="281"/>
      <c r="X138" s="282"/>
      <c r="Y138" s="283"/>
      <c r="Z138" s="281"/>
      <c r="AA138" s="280"/>
      <c r="AB138" s="280"/>
      <c r="AC138" s="281"/>
      <c r="AD138" s="281"/>
      <c r="AE138" s="282"/>
      <c r="AF138" s="281"/>
      <c r="AG138" s="281"/>
      <c r="AH138" s="281"/>
      <c r="AI138" s="281"/>
      <c r="AJ138" s="281"/>
      <c r="AK138" s="281"/>
      <c r="AL138" s="282"/>
      <c r="AM138" s="281"/>
      <c r="AN138" s="281"/>
      <c r="AO138" s="281"/>
      <c r="AP138" s="281"/>
      <c r="AQ138" s="281"/>
      <c r="AR138" s="281"/>
      <c r="AS138" s="282"/>
      <c r="AT138" s="281"/>
      <c r="AU138" s="281">
        <f t="shared" si="585"/>
        <v>185</v>
      </c>
      <c r="AV138" s="281">
        <f t="shared" si="588"/>
        <v>7</v>
      </c>
      <c r="AW138" s="281">
        <f t="shared" si="419"/>
        <v>-162</v>
      </c>
      <c r="AX138" s="281">
        <v>185</v>
      </c>
      <c r="AY138" s="281">
        <v>192</v>
      </c>
      <c r="AZ138" s="281">
        <v>30</v>
      </c>
      <c r="BA138" s="281"/>
      <c r="BB138" s="281"/>
      <c r="BC138" s="281">
        <f>BF138-BE138</f>
        <v>22</v>
      </c>
      <c r="BD138" s="281">
        <f t="shared" si="589"/>
        <v>7</v>
      </c>
      <c r="BE138" s="281"/>
      <c r="BF138" s="281">
        <v>22</v>
      </c>
      <c r="BG138" s="281">
        <v>29</v>
      </c>
      <c r="BH138" s="281">
        <v>7</v>
      </c>
      <c r="BI138" s="281">
        <f t="shared" si="590"/>
        <v>8</v>
      </c>
      <c r="BJ138" s="281">
        <f t="shared" si="591"/>
        <v>7</v>
      </c>
      <c r="BK138" s="281">
        <f t="shared" si="592"/>
        <v>7</v>
      </c>
      <c r="BL138" s="281">
        <v>15</v>
      </c>
      <c r="BM138" s="281">
        <v>22</v>
      </c>
      <c r="BN138" s="281">
        <v>29</v>
      </c>
      <c r="BO138" s="281">
        <v>0</v>
      </c>
      <c r="BP138" s="733">
        <f t="shared" si="587"/>
        <v>4</v>
      </c>
      <c r="BQ138" s="281">
        <f t="shared" si="593"/>
        <v>-4</v>
      </c>
      <c r="BR138" s="281">
        <f t="shared" si="594"/>
        <v>0</v>
      </c>
      <c r="BS138" s="281">
        <v>4</v>
      </c>
      <c r="BT138" s="281">
        <v>0</v>
      </c>
      <c r="BU138" s="281">
        <v>0</v>
      </c>
      <c r="BV138" s="281">
        <v>0</v>
      </c>
      <c r="BW138" s="281">
        <f t="shared" si="595"/>
        <v>0</v>
      </c>
      <c r="BX138" s="281">
        <f t="shared" si="596"/>
        <v>0</v>
      </c>
      <c r="BY138" s="281">
        <f t="shared" si="597"/>
        <v>0</v>
      </c>
      <c r="BZ138" s="281">
        <v>0</v>
      </c>
      <c r="CA138" s="281">
        <v>0</v>
      </c>
      <c r="CB138" s="281">
        <v>0</v>
      </c>
      <c r="CC138" s="281">
        <v>0</v>
      </c>
      <c r="CD138" s="281">
        <v>0</v>
      </c>
      <c r="CE138" s="281">
        <v>0</v>
      </c>
      <c r="CF138" s="281">
        <f t="shared" si="600"/>
        <v>0</v>
      </c>
      <c r="CG138" s="281">
        <v>0</v>
      </c>
      <c r="CH138" s="281">
        <v>0</v>
      </c>
      <c r="CI138" s="281">
        <v>0</v>
      </c>
      <c r="CJ138" s="281">
        <v>0</v>
      </c>
      <c r="CK138" s="281">
        <f t="shared" si="601"/>
        <v>0</v>
      </c>
      <c r="CL138" s="281"/>
      <c r="CM138" s="281"/>
      <c r="CN138" s="281">
        <v>0</v>
      </c>
      <c r="CO138" s="281"/>
    </row>
    <row r="139" spans="1:93" s="476" customFormat="1" ht="13" x14ac:dyDescent="0.3">
      <c r="A139" s="469" t="str">
        <f>Language!C112</f>
        <v>Receita Operacional Líquida</v>
      </c>
      <c r="B139" s="470">
        <f t="shared" ref="B139:AJ139" si="602">SUM(B140,B141,B142,B143,B144)</f>
        <v>132220</v>
      </c>
      <c r="C139" s="470">
        <f t="shared" si="602"/>
        <v>100496</v>
      </c>
      <c r="D139" s="470">
        <f t="shared" si="602"/>
        <v>123737</v>
      </c>
      <c r="E139" s="470">
        <f t="shared" si="602"/>
        <v>148336</v>
      </c>
      <c r="F139" s="471">
        <f t="shared" si="602"/>
        <v>146244</v>
      </c>
      <c r="G139" s="470">
        <f t="shared" si="602"/>
        <v>138973</v>
      </c>
      <c r="H139" s="470">
        <f t="shared" si="602"/>
        <v>144473</v>
      </c>
      <c r="I139" s="470">
        <f t="shared" si="602"/>
        <v>180493</v>
      </c>
      <c r="J139" s="471">
        <f t="shared" si="602"/>
        <v>162398</v>
      </c>
      <c r="K139" s="470">
        <f t="shared" si="602"/>
        <v>145965</v>
      </c>
      <c r="L139" s="470">
        <f t="shared" si="602"/>
        <v>156098</v>
      </c>
      <c r="M139" s="470">
        <f t="shared" si="602"/>
        <v>206555</v>
      </c>
      <c r="N139" s="471">
        <f t="shared" si="602"/>
        <v>203754</v>
      </c>
      <c r="O139" s="470">
        <f t="shared" si="602"/>
        <v>340207</v>
      </c>
      <c r="P139" s="470">
        <f t="shared" si="602"/>
        <v>409619</v>
      </c>
      <c r="Q139" s="470">
        <f t="shared" si="602"/>
        <v>508999</v>
      </c>
      <c r="R139" s="471">
        <f t="shared" si="602"/>
        <v>628176</v>
      </c>
      <c r="S139" s="470">
        <f t="shared" si="602"/>
        <v>525862</v>
      </c>
      <c r="T139" s="470">
        <f t="shared" si="602"/>
        <v>510882</v>
      </c>
      <c r="U139" s="472">
        <f t="shared" si="602"/>
        <v>485567</v>
      </c>
      <c r="V139" s="472">
        <f t="shared" si="602"/>
        <v>1154038</v>
      </c>
      <c r="W139" s="473">
        <f t="shared" si="602"/>
        <v>1664920</v>
      </c>
      <c r="X139" s="474">
        <f t="shared" si="602"/>
        <v>2150487</v>
      </c>
      <c r="Y139" s="475">
        <f t="shared" si="602"/>
        <v>376967</v>
      </c>
      <c r="Z139" s="473">
        <f t="shared" si="602"/>
        <v>344802</v>
      </c>
      <c r="AA139" s="470">
        <f t="shared" si="602"/>
        <v>318066</v>
      </c>
      <c r="AB139" s="472">
        <f t="shared" si="602"/>
        <v>378988</v>
      </c>
      <c r="AC139" s="473">
        <f t="shared" si="602"/>
        <v>721769</v>
      </c>
      <c r="AD139" s="473">
        <f t="shared" si="602"/>
        <v>1039835</v>
      </c>
      <c r="AE139" s="474">
        <f t="shared" si="602"/>
        <v>1418823</v>
      </c>
      <c r="AF139" s="473">
        <f t="shared" si="602"/>
        <v>326882</v>
      </c>
      <c r="AG139" s="473">
        <f t="shared" si="584"/>
        <v>357149</v>
      </c>
      <c r="AH139" s="473">
        <f t="shared" si="320"/>
        <v>348793</v>
      </c>
      <c r="AI139" s="473">
        <f t="shared" si="321"/>
        <v>336689</v>
      </c>
      <c r="AJ139" s="473">
        <f t="shared" si="602"/>
        <v>684031</v>
      </c>
      <c r="AK139" s="473">
        <f>SUM(AK140,AK141,AK142,AK143,AK144)</f>
        <v>1032824</v>
      </c>
      <c r="AL139" s="474">
        <f>SUM(AL140,AL141,AL142,AL143,AL144)</f>
        <v>1369513</v>
      </c>
      <c r="AM139" s="473">
        <f t="shared" ref="AM139:AM144" si="603">SUM(AM86,AM131)</f>
        <v>295433</v>
      </c>
      <c r="AN139" s="473">
        <f t="shared" si="323"/>
        <v>281484</v>
      </c>
      <c r="AO139" s="473">
        <f t="shared" si="324"/>
        <v>278609</v>
      </c>
      <c r="AP139" s="473">
        <f t="shared" si="324"/>
        <v>258039</v>
      </c>
      <c r="AQ139" s="473">
        <f t="shared" ref="AQ139:AV144" si="604">SUM(AQ86,AQ131)</f>
        <v>576917</v>
      </c>
      <c r="AR139" s="473">
        <f t="shared" si="604"/>
        <v>855526</v>
      </c>
      <c r="AS139" s="474">
        <f t="shared" si="604"/>
        <v>1113565</v>
      </c>
      <c r="AT139" s="473">
        <f t="shared" si="604"/>
        <v>205713.7114</v>
      </c>
      <c r="AU139" s="473">
        <f t="shared" si="604"/>
        <v>210951.29259999999</v>
      </c>
      <c r="AV139" s="473">
        <f t="shared" si="604"/>
        <v>252465.10019999999</v>
      </c>
      <c r="AW139" s="473">
        <f t="shared" si="419"/>
        <v>270613.05519999994</v>
      </c>
      <c r="AX139" s="473">
        <f t="shared" ref="AX139:BT139" si="605">SUM(AX86,AX131)</f>
        <v>416665.00399999996</v>
      </c>
      <c r="AY139" s="473">
        <f t="shared" si="605"/>
        <v>669129.10420000006</v>
      </c>
      <c r="AZ139" s="473">
        <f t="shared" si="605"/>
        <v>939742.1594</v>
      </c>
      <c r="BA139" s="473">
        <f t="shared" si="605"/>
        <v>242710</v>
      </c>
      <c r="BB139" s="473">
        <f t="shared" si="605"/>
        <v>207740</v>
      </c>
      <c r="BC139" s="473">
        <f t="shared" si="605"/>
        <v>227606</v>
      </c>
      <c r="BD139" s="473">
        <f t="shared" si="605"/>
        <v>249157</v>
      </c>
      <c r="BE139" s="473">
        <f t="shared" si="605"/>
        <v>450450</v>
      </c>
      <c r="BF139" s="473">
        <f t="shared" si="605"/>
        <v>678056</v>
      </c>
      <c r="BG139" s="473">
        <f t="shared" si="605"/>
        <v>927220</v>
      </c>
      <c r="BH139" s="473">
        <f t="shared" si="605"/>
        <v>232837</v>
      </c>
      <c r="BI139" s="473">
        <f t="shared" si="605"/>
        <v>247543</v>
      </c>
      <c r="BJ139" s="473">
        <f t="shared" si="605"/>
        <v>276259</v>
      </c>
      <c r="BK139" s="473">
        <f t="shared" si="605"/>
        <v>246217</v>
      </c>
      <c r="BL139" s="473">
        <f t="shared" si="605"/>
        <v>480380</v>
      </c>
      <c r="BM139" s="473">
        <f t="shared" si="605"/>
        <v>756639</v>
      </c>
      <c r="BN139" s="473">
        <f t="shared" si="605"/>
        <v>1002856</v>
      </c>
      <c r="BO139" s="473">
        <f t="shared" si="605"/>
        <v>172554</v>
      </c>
      <c r="BP139" s="473">
        <f t="shared" si="605"/>
        <v>185064</v>
      </c>
      <c r="BQ139" s="473">
        <f t="shared" si="605"/>
        <v>185224</v>
      </c>
      <c r="BR139" s="473">
        <f t="shared" si="605"/>
        <v>225957</v>
      </c>
      <c r="BS139" s="473">
        <f t="shared" si="605"/>
        <v>661585</v>
      </c>
      <c r="BT139" s="473">
        <f t="shared" si="605"/>
        <v>846809</v>
      </c>
      <c r="BU139" s="473">
        <f t="shared" ref="BU139:BV139" si="606">SUM(BU86,BU131)</f>
        <v>1072766</v>
      </c>
      <c r="BV139" s="473">
        <f t="shared" si="606"/>
        <v>208301</v>
      </c>
      <c r="BW139" s="473">
        <f t="shared" ref="BW139:BZ139" si="607">SUM(BW86,BW131)</f>
        <v>201839</v>
      </c>
      <c r="BX139" s="473">
        <f t="shared" si="607"/>
        <v>309511</v>
      </c>
      <c r="BY139" s="473">
        <f t="shared" si="607"/>
        <v>251825</v>
      </c>
      <c r="BZ139" s="473">
        <f t="shared" si="607"/>
        <v>411620</v>
      </c>
      <c r="CA139" s="473">
        <f t="shared" ref="CA139:CB139" si="608">SUM(CA86,CA131)</f>
        <v>721131</v>
      </c>
      <c r="CB139" s="473">
        <f t="shared" si="608"/>
        <v>972956</v>
      </c>
      <c r="CC139" s="473">
        <f t="shared" ref="CC139:CD139" si="609">SUM(CC86,CC131)</f>
        <v>242115</v>
      </c>
      <c r="CD139" s="473">
        <f t="shared" si="609"/>
        <v>302029</v>
      </c>
      <c r="CE139" s="473">
        <f t="shared" ref="CE139:CG139" si="610">SUM(CE86,CE131)</f>
        <v>403178</v>
      </c>
      <c r="CF139" s="473">
        <f t="shared" si="610"/>
        <v>307500</v>
      </c>
      <c r="CG139" s="473">
        <f t="shared" si="610"/>
        <v>544144</v>
      </c>
      <c r="CH139" s="473">
        <f t="shared" ref="CH139:CI139" si="611">SUM(CH86,CH131)</f>
        <v>947322</v>
      </c>
      <c r="CI139" s="473">
        <f t="shared" si="611"/>
        <v>1254822</v>
      </c>
      <c r="CJ139" s="473">
        <v>259500</v>
      </c>
      <c r="CK139" s="473">
        <f t="shared" ref="CK139" si="612">SUM(CK86,CK131)</f>
        <v>239878</v>
      </c>
      <c r="CL139" s="473">
        <f t="shared" ref="CL139:CO139" si="613">SUM(CL86,CL131)</f>
        <v>0</v>
      </c>
      <c r="CM139" s="473">
        <f t="shared" si="613"/>
        <v>0</v>
      </c>
      <c r="CN139" s="473">
        <f t="shared" si="613"/>
        <v>499378</v>
      </c>
      <c r="CO139" s="473">
        <f t="shared" si="613"/>
        <v>0</v>
      </c>
    </row>
    <row r="140" spans="1:93" s="483" customFormat="1" x14ac:dyDescent="0.25">
      <c r="A140" s="477" t="str">
        <f>Language!C113</f>
        <v>Concepa</v>
      </c>
      <c r="B140" s="478">
        <f t="shared" ref="B140:AF140" si="614">SUM(B87,B132)</f>
        <v>65189</v>
      </c>
      <c r="C140" s="478">
        <f t="shared" si="614"/>
        <v>29819</v>
      </c>
      <c r="D140" s="478">
        <f t="shared" si="614"/>
        <v>44996</v>
      </c>
      <c r="E140" s="478">
        <f t="shared" si="614"/>
        <v>60580</v>
      </c>
      <c r="F140" s="479">
        <f t="shared" si="614"/>
        <v>66306</v>
      </c>
      <c r="G140" s="478">
        <f t="shared" si="614"/>
        <v>54495</v>
      </c>
      <c r="H140" s="478">
        <f t="shared" si="614"/>
        <v>54445</v>
      </c>
      <c r="I140" s="478">
        <f t="shared" si="614"/>
        <v>68778</v>
      </c>
      <c r="J140" s="479">
        <f t="shared" si="614"/>
        <v>67206</v>
      </c>
      <c r="K140" s="478">
        <f t="shared" si="614"/>
        <v>55276</v>
      </c>
      <c r="L140" s="478">
        <f t="shared" si="614"/>
        <v>51405</v>
      </c>
      <c r="M140" s="478">
        <f t="shared" si="614"/>
        <v>71520</v>
      </c>
      <c r="N140" s="479">
        <f t="shared" si="614"/>
        <v>77443</v>
      </c>
      <c r="O140" s="478">
        <f t="shared" si="614"/>
        <v>68082</v>
      </c>
      <c r="P140" s="478">
        <f t="shared" si="614"/>
        <v>98049</v>
      </c>
      <c r="Q140" s="478">
        <f t="shared" si="614"/>
        <v>141684</v>
      </c>
      <c r="R140" s="479">
        <f t="shared" si="614"/>
        <v>139003</v>
      </c>
      <c r="S140" s="478">
        <f t="shared" si="614"/>
        <v>123657</v>
      </c>
      <c r="T140" s="478">
        <f t="shared" si="614"/>
        <v>118824</v>
      </c>
      <c r="U140" s="478">
        <f t="shared" si="614"/>
        <v>66713</v>
      </c>
      <c r="V140" s="478">
        <f t="shared" si="614"/>
        <v>262660</v>
      </c>
      <c r="W140" s="480">
        <f t="shared" si="614"/>
        <v>381484</v>
      </c>
      <c r="X140" s="481">
        <f t="shared" si="614"/>
        <v>448197</v>
      </c>
      <c r="Y140" s="482">
        <f t="shared" si="614"/>
        <v>94006</v>
      </c>
      <c r="Z140" s="480">
        <f t="shared" si="614"/>
        <v>71471</v>
      </c>
      <c r="AA140" s="478">
        <f t="shared" si="614"/>
        <v>70344</v>
      </c>
      <c r="AB140" s="478">
        <f t="shared" si="614"/>
        <v>86558</v>
      </c>
      <c r="AC140" s="480">
        <f t="shared" si="614"/>
        <v>165477</v>
      </c>
      <c r="AD140" s="480">
        <f t="shared" si="614"/>
        <v>235821</v>
      </c>
      <c r="AE140" s="481">
        <f t="shared" si="614"/>
        <v>322379</v>
      </c>
      <c r="AF140" s="480">
        <f t="shared" si="614"/>
        <v>107909</v>
      </c>
      <c r="AG140" s="480">
        <f t="shared" si="584"/>
        <v>98202.761777777778</v>
      </c>
      <c r="AH140" s="480">
        <f t="shared" si="320"/>
        <v>50766.238222222222</v>
      </c>
      <c r="AI140" s="480">
        <f t="shared" si="321"/>
        <v>50796</v>
      </c>
      <c r="AJ140" s="480">
        <f t="shared" ref="AJ140:AL144" si="615">SUM(AJ87,AJ132)</f>
        <v>206111.76177777778</v>
      </c>
      <c r="AK140" s="480">
        <f t="shared" si="615"/>
        <v>256878</v>
      </c>
      <c r="AL140" s="481">
        <f t="shared" si="615"/>
        <v>307674</v>
      </c>
      <c r="AM140" s="480">
        <f t="shared" si="603"/>
        <v>54061</v>
      </c>
      <c r="AN140" s="480">
        <f t="shared" si="323"/>
        <v>39757</v>
      </c>
      <c r="AO140" s="480">
        <f t="shared" si="324"/>
        <v>-2147.5922835426318</v>
      </c>
      <c r="AP140" s="480">
        <f t="shared" si="324"/>
        <v>-111.14542855983018</v>
      </c>
      <c r="AQ140" s="480">
        <f t="shared" si="604"/>
        <v>93818</v>
      </c>
      <c r="AR140" s="480">
        <f t="shared" si="604"/>
        <v>91670.407716457368</v>
      </c>
      <c r="AS140" s="481">
        <f t="shared" si="604"/>
        <v>91559.262287897538</v>
      </c>
      <c r="AT140" s="480">
        <f t="shared" si="604"/>
        <v>0</v>
      </c>
      <c r="AU140" s="480">
        <f t="shared" si="604"/>
        <v>573</v>
      </c>
      <c r="AV140" s="480">
        <f t="shared" si="604"/>
        <v>65</v>
      </c>
      <c r="AW140" s="480">
        <f t="shared" si="419"/>
        <v>-638</v>
      </c>
      <c r="AX140" s="480">
        <f t="shared" ref="AX140:BT140" si="616">SUM(AX87,AX132)</f>
        <v>573</v>
      </c>
      <c r="AY140" s="480">
        <f t="shared" si="616"/>
        <v>638</v>
      </c>
      <c r="AZ140" s="480">
        <f t="shared" si="616"/>
        <v>0</v>
      </c>
      <c r="BA140" s="480">
        <f t="shared" si="616"/>
        <v>0</v>
      </c>
      <c r="BB140" s="480">
        <f t="shared" si="616"/>
        <v>0</v>
      </c>
      <c r="BC140" s="480">
        <f t="shared" si="616"/>
        <v>0</v>
      </c>
      <c r="BD140" s="480">
        <f t="shared" si="616"/>
        <v>0</v>
      </c>
      <c r="BE140" s="480">
        <f t="shared" si="616"/>
        <v>0</v>
      </c>
      <c r="BF140" s="480">
        <f t="shared" si="616"/>
        <v>0</v>
      </c>
      <c r="BG140" s="480">
        <f t="shared" si="616"/>
        <v>0</v>
      </c>
      <c r="BH140" s="480">
        <f t="shared" si="616"/>
        <v>0</v>
      </c>
      <c r="BI140" s="480">
        <f t="shared" si="616"/>
        <v>0</v>
      </c>
      <c r="BJ140" s="480">
        <f t="shared" si="616"/>
        <v>0</v>
      </c>
      <c r="BK140" s="480">
        <f t="shared" si="616"/>
        <v>0</v>
      </c>
      <c r="BL140" s="480">
        <f t="shared" si="616"/>
        <v>0</v>
      </c>
      <c r="BM140" s="480">
        <f t="shared" si="616"/>
        <v>0</v>
      </c>
      <c r="BN140" s="480">
        <f t="shared" si="616"/>
        <v>0</v>
      </c>
      <c r="BO140" s="480">
        <f t="shared" si="616"/>
        <v>0</v>
      </c>
      <c r="BP140" s="480">
        <f t="shared" si="616"/>
        <v>0</v>
      </c>
      <c r="BQ140" s="480">
        <f t="shared" si="616"/>
        <v>0</v>
      </c>
      <c r="BR140" s="480">
        <f t="shared" si="616"/>
        <v>0</v>
      </c>
      <c r="BS140" s="480">
        <f t="shared" si="616"/>
        <v>0</v>
      </c>
      <c r="BT140" s="480">
        <f t="shared" si="616"/>
        <v>0</v>
      </c>
      <c r="BU140" s="480">
        <f t="shared" ref="BU140:BV140" si="617">SUM(BU87,BU132)</f>
        <v>0</v>
      </c>
      <c r="BV140" s="480">
        <f t="shared" si="617"/>
        <v>0</v>
      </c>
      <c r="BW140" s="480">
        <f t="shared" ref="BW140:BZ140" si="618">SUM(BW87,BW132)</f>
        <v>0</v>
      </c>
      <c r="BX140" s="480">
        <f t="shared" si="618"/>
        <v>0</v>
      </c>
      <c r="BY140" s="480">
        <f t="shared" si="618"/>
        <v>0</v>
      </c>
      <c r="BZ140" s="480">
        <f t="shared" si="618"/>
        <v>0</v>
      </c>
      <c r="CA140" s="480">
        <f t="shared" ref="CA140:CB140" si="619">SUM(CA87,CA132)</f>
        <v>0</v>
      </c>
      <c r="CB140" s="480">
        <f t="shared" si="619"/>
        <v>0</v>
      </c>
      <c r="CC140" s="480">
        <f t="shared" ref="CC140:CD140" si="620">SUM(CC87,CC132)</f>
        <v>0</v>
      </c>
      <c r="CD140" s="480">
        <f t="shared" si="620"/>
        <v>0</v>
      </c>
      <c r="CE140" s="480">
        <f t="shared" ref="CE140:CG140" si="621">SUM(CE87,CE132)</f>
        <v>0</v>
      </c>
      <c r="CF140" s="480">
        <f t="shared" si="621"/>
        <v>0</v>
      </c>
      <c r="CG140" s="480">
        <f t="shared" si="621"/>
        <v>0</v>
      </c>
      <c r="CH140" s="480">
        <f t="shared" ref="CH140:CI140" si="622">SUM(CH87,CH132)</f>
        <v>0</v>
      </c>
      <c r="CI140" s="480">
        <f t="shared" si="622"/>
        <v>0</v>
      </c>
      <c r="CJ140" s="480">
        <v>0</v>
      </c>
      <c r="CK140" s="480">
        <f t="shared" ref="CK140" si="623">SUM(CK87,CK132)</f>
        <v>0</v>
      </c>
      <c r="CL140" s="480">
        <f t="shared" ref="CL140:CO140" si="624">SUM(CL87,CL132)</f>
        <v>0</v>
      </c>
      <c r="CM140" s="480">
        <f t="shared" si="624"/>
        <v>0</v>
      </c>
      <c r="CN140" s="480">
        <f t="shared" si="624"/>
        <v>0</v>
      </c>
      <c r="CO140" s="480">
        <f t="shared" si="624"/>
        <v>0</v>
      </c>
    </row>
    <row r="141" spans="1:93" s="483" customFormat="1" x14ac:dyDescent="0.25">
      <c r="A141" s="477" t="str">
        <f>Language!C114</f>
        <v>Concer</v>
      </c>
      <c r="B141" s="478">
        <f t="shared" ref="B141:AF141" si="625">SUM(B88,B133)</f>
        <v>34693</v>
      </c>
      <c r="C141" s="478">
        <f t="shared" si="625"/>
        <v>34376</v>
      </c>
      <c r="D141" s="478">
        <f t="shared" si="625"/>
        <v>41807</v>
      </c>
      <c r="E141" s="478">
        <f t="shared" si="625"/>
        <v>48017</v>
      </c>
      <c r="F141" s="479">
        <f t="shared" si="625"/>
        <v>40620</v>
      </c>
      <c r="G141" s="478">
        <f t="shared" si="625"/>
        <v>39848</v>
      </c>
      <c r="H141" s="478">
        <f t="shared" si="625"/>
        <v>45268</v>
      </c>
      <c r="I141" s="478">
        <f t="shared" si="625"/>
        <v>56855</v>
      </c>
      <c r="J141" s="479">
        <f t="shared" si="625"/>
        <v>47160</v>
      </c>
      <c r="K141" s="478">
        <f t="shared" si="625"/>
        <v>46701</v>
      </c>
      <c r="L141" s="478">
        <f t="shared" si="625"/>
        <v>49599</v>
      </c>
      <c r="M141" s="478">
        <f t="shared" si="625"/>
        <v>60715</v>
      </c>
      <c r="N141" s="479">
        <f t="shared" si="625"/>
        <v>60053</v>
      </c>
      <c r="O141" s="478">
        <f t="shared" si="625"/>
        <v>121590</v>
      </c>
      <c r="P141" s="478">
        <f t="shared" si="625"/>
        <v>155083</v>
      </c>
      <c r="Q141" s="478">
        <f t="shared" si="625"/>
        <v>62290</v>
      </c>
      <c r="R141" s="479">
        <f t="shared" si="625"/>
        <v>267664</v>
      </c>
      <c r="S141" s="478">
        <f t="shared" si="625"/>
        <v>88997</v>
      </c>
      <c r="T141" s="478">
        <f t="shared" si="625"/>
        <v>70035</v>
      </c>
      <c r="U141" s="478">
        <f t="shared" si="625"/>
        <v>70128</v>
      </c>
      <c r="V141" s="478">
        <f t="shared" si="625"/>
        <v>356661</v>
      </c>
      <c r="W141" s="480">
        <f t="shared" si="625"/>
        <v>426696</v>
      </c>
      <c r="X141" s="481">
        <f t="shared" si="625"/>
        <v>496824</v>
      </c>
      <c r="Y141" s="482">
        <f t="shared" si="625"/>
        <v>67530</v>
      </c>
      <c r="Z141" s="480">
        <f t="shared" si="625"/>
        <v>58488</v>
      </c>
      <c r="AA141" s="478">
        <f t="shared" si="625"/>
        <v>47673</v>
      </c>
      <c r="AB141" s="478">
        <f t="shared" si="625"/>
        <v>44792</v>
      </c>
      <c r="AC141" s="480">
        <f t="shared" si="625"/>
        <v>126018</v>
      </c>
      <c r="AD141" s="480">
        <f t="shared" si="625"/>
        <v>173691</v>
      </c>
      <c r="AE141" s="481">
        <f t="shared" si="625"/>
        <v>218483</v>
      </c>
      <c r="AF141" s="480">
        <f t="shared" si="625"/>
        <v>46368</v>
      </c>
      <c r="AG141" s="480">
        <f t="shared" si="584"/>
        <v>88486.239111111121</v>
      </c>
      <c r="AH141" s="480">
        <f t="shared" si="320"/>
        <v>47528.760888888879</v>
      </c>
      <c r="AI141" s="480">
        <f t="shared" si="321"/>
        <v>48119</v>
      </c>
      <c r="AJ141" s="480">
        <f t="shared" si="615"/>
        <v>134854.23911111112</v>
      </c>
      <c r="AK141" s="480">
        <f t="shared" si="615"/>
        <v>182383</v>
      </c>
      <c r="AL141" s="481">
        <f t="shared" si="615"/>
        <v>230502</v>
      </c>
      <c r="AM141" s="480">
        <f t="shared" si="603"/>
        <v>43758</v>
      </c>
      <c r="AN141" s="480">
        <f t="shared" si="323"/>
        <v>41164</v>
      </c>
      <c r="AO141" s="480">
        <f t="shared" si="324"/>
        <v>49576.124573143868</v>
      </c>
      <c r="AP141" s="480">
        <f t="shared" si="324"/>
        <v>50598.55777875433</v>
      </c>
      <c r="AQ141" s="480">
        <f t="shared" si="604"/>
        <v>84922</v>
      </c>
      <c r="AR141" s="480">
        <f t="shared" si="604"/>
        <v>134498.12457314387</v>
      </c>
      <c r="AS141" s="481">
        <f t="shared" si="604"/>
        <v>185096.6823518982</v>
      </c>
      <c r="AT141" s="480">
        <f t="shared" si="604"/>
        <v>50563.711399999993</v>
      </c>
      <c r="AU141" s="480">
        <f t="shared" si="604"/>
        <v>52371.292600000001</v>
      </c>
      <c r="AV141" s="480">
        <f t="shared" si="604"/>
        <v>53789.100199999993</v>
      </c>
      <c r="AW141" s="480">
        <f t="shared" si="419"/>
        <v>56472.055200000003</v>
      </c>
      <c r="AX141" s="480">
        <f t="shared" ref="AX141:BT141" si="626">SUM(AX88,AX133)</f>
        <v>102935.004</v>
      </c>
      <c r="AY141" s="480">
        <f t="shared" si="626"/>
        <v>156724.1042</v>
      </c>
      <c r="AZ141" s="480">
        <f t="shared" si="626"/>
        <v>213196.1594</v>
      </c>
      <c r="BA141" s="480">
        <f t="shared" si="626"/>
        <v>50473</v>
      </c>
      <c r="BB141" s="480">
        <f t="shared" si="626"/>
        <v>34997</v>
      </c>
      <c r="BC141" s="480">
        <f t="shared" si="626"/>
        <v>49378</v>
      </c>
      <c r="BD141" s="480">
        <f t="shared" si="626"/>
        <v>53919</v>
      </c>
      <c r="BE141" s="480">
        <f t="shared" si="626"/>
        <v>85470</v>
      </c>
      <c r="BF141" s="480">
        <f t="shared" si="626"/>
        <v>134848</v>
      </c>
      <c r="BG141" s="480">
        <f t="shared" si="626"/>
        <v>188767</v>
      </c>
      <c r="BH141" s="480">
        <f t="shared" si="626"/>
        <v>49623</v>
      </c>
      <c r="BI141" s="480">
        <f t="shared" si="626"/>
        <v>47598</v>
      </c>
      <c r="BJ141" s="480">
        <f t="shared" si="626"/>
        <v>52874</v>
      </c>
      <c r="BK141" s="480">
        <f t="shared" si="626"/>
        <v>54677</v>
      </c>
      <c r="BL141" s="480">
        <f t="shared" si="626"/>
        <v>97221</v>
      </c>
      <c r="BM141" s="480">
        <f t="shared" si="626"/>
        <v>150095</v>
      </c>
      <c r="BN141" s="480">
        <f t="shared" si="626"/>
        <v>204772</v>
      </c>
      <c r="BO141" s="480">
        <f t="shared" si="626"/>
        <v>50007</v>
      </c>
      <c r="BP141" s="480">
        <f t="shared" si="626"/>
        <v>52445</v>
      </c>
      <c r="BQ141" s="480">
        <f t="shared" si="626"/>
        <v>60057</v>
      </c>
      <c r="BR141" s="480">
        <f t="shared" si="626"/>
        <v>58550</v>
      </c>
      <c r="BS141" s="480">
        <f t="shared" si="626"/>
        <v>102452</v>
      </c>
      <c r="BT141" s="480">
        <f t="shared" si="626"/>
        <v>162509</v>
      </c>
      <c r="BU141" s="480">
        <f t="shared" ref="BU141:BV141" si="627">SUM(BU88,BU133)</f>
        <v>221059</v>
      </c>
      <c r="BV141" s="480">
        <f t="shared" si="627"/>
        <v>63735</v>
      </c>
      <c r="BW141" s="480">
        <f t="shared" ref="BW141:BZ141" si="628">SUM(BW88,BW133)</f>
        <v>64021</v>
      </c>
      <c r="BX141" s="480">
        <f t="shared" si="628"/>
        <v>64862</v>
      </c>
      <c r="BY141" s="480">
        <f t="shared" si="628"/>
        <v>67534</v>
      </c>
      <c r="BZ141" s="480">
        <f t="shared" si="628"/>
        <v>129236</v>
      </c>
      <c r="CA141" s="480">
        <f t="shared" ref="CA141:CB141" si="629">SUM(CA88,CA133)</f>
        <v>194098</v>
      </c>
      <c r="CB141" s="480">
        <f t="shared" si="629"/>
        <v>261632</v>
      </c>
      <c r="CC141" s="480">
        <f t="shared" ref="CC141:CD141" si="630">SUM(CC88,CC133)</f>
        <v>72327</v>
      </c>
      <c r="CD141" s="480">
        <f t="shared" si="630"/>
        <v>77064</v>
      </c>
      <c r="CE141" s="480">
        <f t="shared" ref="CE141:CG141" si="631">SUM(CE88,CE133)</f>
        <v>78379</v>
      </c>
      <c r="CF141" s="480">
        <f t="shared" si="631"/>
        <v>78816</v>
      </c>
      <c r="CG141" s="480">
        <f t="shared" si="631"/>
        <v>149391</v>
      </c>
      <c r="CH141" s="480">
        <f t="shared" ref="CH141:CI141" si="632">SUM(CH88,CH133)</f>
        <v>227770</v>
      </c>
      <c r="CI141" s="480">
        <f t="shared" si="632"/>
        <v>306586</v>
      </c>
      <c r="CJ141" s="480">
        <v>72451</v>
      </c>
      <c r="CK141" s="480">
        <f t="shared" ref="CK141" si="633">SUM(CK88,CK133)</f>
        <v>70639</v>
      </c>
      <c r="CL141" s="480">
        <f t="shared" ref="CL141:CO141" si="634">SUM(CL88,CL133)</f>
        <v>0</v>
      </c>
      <c r="CM141" s="480">
        <f t="shared" si="634"/>
        <v>0</v>
      </c>
      <c r="CN141" s="480">
        <f t="shared" si="634"/>
        <v>143090</v>
      </c>
      <c r="CO141" s="480">
        <f t="shared" si="634"/>
        <v>0</v>
      </c>
    </row>
    <row r="142" spans="1:93" s="483" customFormat="1" x14ac:dyDescent="0.25">
      <c r="A142" s="477" t="str">
        <f>Language!C115</f>
        <v>Econorte</v>
      </c>
      <c r="B142" s="478">
        <f t="shared" ref="B142:AF142" si="635">SUM(B89,B134)</f>
        <v>32338</v>
      </c>
      <c r="C142" s="478">
        <f t="shared" si="635"/>
        <v>36301</v>
      </c>
      <c r="D142" s="478">
        <f t="shared" si="635"/>
        <v>36934</v>
      </c>
      <c r="E142" s="478">
        <f t="shared" si="635"/>
        <v>39739</v>
      </c>
      <c r="F142" s="479">
        <f t="shared" si="635"/>
        <v>39318</v>
      </c>
      <c r="G142" s="478">
        <f t="shared" si="635"/>
        <v>44630</v>
      </c>
      <c r="H142" s="478">
        <f t="shared" si="635"/>
        <v>44760</v>
      </c>
      <c r="I142" s="478">
        <f t="shared" si="635"/>
        <v>54860</v>
      </c>
      <c r="J142" s="479">
        <f t="shared" si="635"/>
        <v>48032</v>
      </c>
      <c r="K142" s="478">
        <f t="shared" si="635"/>
        <v>43988</v>
      </c>
      <c r="L142" s="478">
        <f t="shared" si="635"/>
        <v>55094</v>
      </c>
      <c r="M142" s="478">
        <f t="shared" si="635"/>
        <v>74320</v>
      </c>
      <c r="N142" s="479">
        <f t="shared" si="635"/>
        <v>66258</v>
      </c>
      <c r="O142" s="478">
        <f t="shared" si="635"/>
        <v>63012</v>
      </c>
      <c r="P142" s="478">
        <f t="shared" si="635"/>
        <v>63376</v>
      </c>
      <c r="Q142" s="478">
        <f t="shared" si="635"/>
        <v>57297</v>
      </c>
      <c r="R142" s="479">
        <f t="shared" si="635"/>
        <v>47750</v>
      </c>
      <c r="S142" s="478">
        <f t="shared" si="635"/>
        <v>49639</v>
      </c>
      <c r="T142" s="478">
        <f t="shared" si="635"/>
        <v>52986</v>
      </c>
      <c r="U142" s="478">
        <f t="shared" si="635"/>
        <v>64799</v>
      </c>
      <c r="V142" s="478">
        <f t="shared" si="635"/>
        <v>97389</v>
      </c>
      <c r="W142" s="480">
        <f t="shared" si="635"/>
        <v>150375</v>
      </c>
      <c r="X142" s="481">
        <f t="shared" si="635"/>
        <v>215174</v>
      </c>
      <c r="Y142" s="482">
        <f t="shared" si="635"/>
        <v>54662</v>
      </c>
      <c r="Z142" s="480">
        <f t="shared" si="635"/>
        <v>53135</v>
      </c>
      <c r="AA142" s="478">
        <f t="shared" si="635"/>
        <v>58102</v>
      </c>
      <c r="AB142" s="478">
        <f t="shared" si="635"/>
        <v>56967</v>
      </c>
      <c r="AC142" s="480">
        <f t="shared" si="635"/>
        <v>107797</v>
      </c>
      <c r="AD142" s="480">
        <f t="shared" si="635"/>
        <v>165899</v>
      </c>
      <c r="AE142" s="481">
        <f t="shared" si="635"/>
        <v>222866</v>
      </c>
      <c r="AF142" s="480">
        <f t="shared" si="635"/>
        <v>57266</v>
      </c>
      <c r="AG142" s="480">
        <f t="shared" si="584"/>
        <v>58578.57644444445</v>
      </c>
      <c r="AH142" s="480">
        <f t="shared" si="320"/>
        <v>71686.42355555555</v>
      </c>
      <c r="AI142" s="480">
        <f t="shared" si="321"/>
        <v>66489</v>
      </c>
      <c r="AJ142" s="480">
        <f t="shared" si="615"/>
        <v>115844.57644444445</v>
      </c>
      <c r="AK142" s="480">
        <f t="shared" si="615"/>
        <v>187531</v>
      </c>
      <c r="AL142" s="481">
        <f t="shared" si="615"/>
        <v>254020</v>
      </c>
      <c r="AM142" s="480">
        <f t="shared" si="603"/>
        <v>53500</v>
      </c>
      <c r="AN142" s="480">
        <f t="shared" si="323"/>
        <v>49331</v>
      </c>
      <c r="AO142" s="480">
        <f t="shared" si="324"/>
        <v>62215.286640779901</v>
      </c>
      <c r="AP142" s="480">
        <f t="shared" si="324"/>
        <v>58977.489099626691</v>
      </c>
      <c r="AQ142" s="480">
        <f t="shared" si="604"/>
        <v>102831</v>
      </c>
      <c r="AR142" s="480">
        <f t="shared" si="604"/>
        <v>165046.2866407799</v>
      </c>
      <c r="AS142" s="481">
        <f t="shared" si="604"/>
        <v>224023.77574040659</v>
      </c>
      <c r="AT142" s="480">
        <f t="shared" si="604"/>
        <v>39157</v>
      </c>
      <c r="AU142" s="480">
        <f t="shared" si="604"/>
        <v>38615</v>
      </c>
      <c r="AV142" s="480">
        <f t="shared" si="604"/>
        <v>59198</v>
      </c>
      <c r="AW142" s="480">
        <f t="shared" si="419"/>
        <v>78900</v>
      </c>
      <c r="AX142" s="480">
        <f t="shared" ref="AX142:BT142" si="636">SUM(AX89,AX134)</f>
        <v>77772</v>
      </c>
      <c r="AY142" s="480">
        <f t="shared" si="636"/>
        <v>136970</v>
      </c>
      <c r="AZ142" s="480">
        <f t="shared" si="636"/>
        <v>215870</v>
      </c>
      <c r="BA142" s="480">
        <f t="shared" si="636"/>
        <v>74116</v>
      </c>
      <c r="BB142" s="480">
        <f t="shared" si="636"/>
        <v>65333</v>
      </c>
      <c r="BC142" s="480">
        <f t="shared" si="636"/>
        <v>75977</v>
      </c>
      <c r="BD142" s="480">
        <f t="shared" si="636"/>
        <v>89652</v>
      </c>
      <c r="BE142" s="480">
        <f t="shared" si="636"/>
        <v>139449</v>
      </c>
      <c r="BF142" s="480">
        <f t="shared" si="636"/>
        <v>215426</v>
      </c>
      <c r="BG142" s="480">
        <f t="shared" si="636"/>
        <v>305078</v>
      </c>
      <c r="BH142" s="480">
        <f t="shared" si="636"/>
        <v>88215</v>
      </c>
      <c r="BI142" s="480">
        <f t="shared" si="636"/>
        <v>94724</v>
      </c>
      <c r="BJ142" s="480">
        <f t="shared" si="636"/>
        <v>98959</v>
      </c>
      <c r="BK142" s="480">
        <f t="shared" si="636"/>
        <v>66714</v>
      </c>
      <c r="BL142" s="480">
        <f t="shared" si="636"/>
        <v>182939</v>
      </c>
      <c r="BM142" s="480">
        <f t="shared" si="636"/>
        <v>281898</v>
      </c>
      <c r="BN142" s="480">
        <f t="shared" si="636"/>
        <v>348612</v>
      </c>
      <c r="BO142" s="480">
        <f t="shared" si="636"/>
        <v>0</v>
      </c>
      <c r="BP142" s="480">
        <f t="shared" si="636"/>
        <v>95</v>
      </c>
      <c r="BQ142" s="480">
        <f t="shared" si="636"/>
        <v>-95</v>
      </c>
      <c r="BR142" s="480">
        <f t="shared" si="636"/>
        <v>0</v>
      </c>
      <c r="BS142" s="480">
        <f t="shared" si="636"/>
        <v>95</v>
      </c>
      <c r="BT142" s="480">
        <f t="shared" si="636"/>
        <v>0</v>
      </c>
      <c r="BU142" s="480">
        <f t="shared" ref="BU142:BV142" si="637">SUM(BU89,BU134)</f>
        <v>0</v>
      </c>
      <c r="BV142" s="480">
        <f t="shared" si="637"/>
        <v>0</v>
      </c>
      <c r="BW142" s="480">
        <f t="shared" ref="BW142:BZ142" si="638">SUM(BW89,BW134)</f>
        <v>0</v>
      </c>
      <c r="BX142" s="480">
        <f t="shared" si="638"/>
        <v>0</v>
      </c>
      <c r="BY142" s="480">
        <f t="shared" si="638"/>
        <v>0</v>
      </c>
      <c r="BZ142" s="480">
        <f t="shared" si="638"/>
        <v>0</v>
      </c>
      <c r="CA142" s="480">
        <f t="shared" ref="CA142:CB142" si="639">SUM(CA89,CA134)</f>
        <v>0</v>
      </c>
      <c r="CB142" s="480">
        <f t="shared" si="639"/>
        <v>0</v>
      </c>
      <c r="CC142" s="480">
        <f t="shared" ref="CC142:CD142" si="640">SUM(CC89,CC134)</f>
        <v>0</v>
      </c>
      <c r="CD142" s="480">
        <f t="shared" si="640"/>
        <v>0</v>
      </c>
      <c r="CE142" s="480">
        <f t="shared" ref="CE142:CG142" si="641">SUM(CE89,CE134)</f>
        <v>0</v>
      </c>
      <c r="CF142" s="480">
        <f t="shared" si="641"/>
        <v>0</v>
      </c>
      <c r="CG142" s="480">
        <f t="shared" si="641"/>
        <v>0</v>
      </c>
      <c r="CH142" s="480">
        <f t="shared" ref="CH142:CI142" si="642">SUM(CH89,CH134)</f>
        <v>0</v>
      </c>
      <c r="CI142" s="480">
        <f t="shared" si="642"/>
        <v>0</v>
      </c>
      <c r="CJ142" s="480">
        <v>0</v>
      </c>
      <c r="CK142" s="480">
        <f t="shared" ref="CK142" si="643">SUM(CK89,CK134)</f>
        <v>0</v>
      </c>
      <c r="CL142" s="480">
        <f t="shared" ref="CL142:CO142" si="644">SUM(CL89,CL134)</f>
        <v>0</v>
      </c>
      <c r="CM142" s="480">
        <f t="shared" si="644"/>
        <v>0</v>
      </c>
      <c r="CN142" s="480">
        <f t="shared" si="644"/>
        <v>0</v>
      </c>
      <c r="CO142" s="480">
        <f t="shared" si="644"/>
        <v>0</v>
      </c>
    </row>
    <row r="143" spans="1:93" s="483" customFormat="1" x14ac:dyDescent="0.25">
      <c r="A143" s="477" t="str">
        <f>Language!C116</f>
        <v>Concebra</v>
      </c>
      <c r="B143" s="478">
        <f t="shared" ref="B143:AF143" si="645">SUM(B90,B135)</f>
        <v>0</v>
      </c>
      <c r="C143" s="478">
        <f t="shared" si="645"/>
        <v>0</v>
      </c>
      <c r="D143" s="478">
        <f t="shared" si="645"/>
        <v>0</v>
      </c>
      <c r="E143" s="478">
        <f t="shared" si="645"/>
        <v>0</v>
      </c>
      <c r="F143" s="479">
        <f t="shared" si="645"/>
        <v>0</v>
      </c>
      <c r="G143" s="478">
        <f t="shared" si="645"/>
        <v>0</v>
      </c>
      <c r="H143" s="478">
        <f t="shared" si="645"/>
        <v>0</v>
      </c>
      <c r="I143" s="478">
        <f t="shared" si="645"/>
        <v>0</v>
      </c>
      <c r="J143" s="479">
        <f t="shared" si="645"/>
        <v>0</v>
      </c>
      <c r="K143" s="478">
        <f t="shared" si="645"/>
        <v>0</v>
      </c>
      <c r="L143" s="478">
        <f t="shared" si="645"/>
        <v>0</v>
      </c>
      <c r="M143" s="478">
        <f t="shared" si="645"/>
        <v>0</v>
      </c>
      <c r="N143" s="479">
        <f t="shared" si="645"/>
        <v>0</v>
      </c>
      <c r="O143" s="478">
        <f t="shared" si="645"/>
        <v>87523</v>
      </c>
      <c r="P143" s="478">
        <f t="shared" si="645"/>
        <v>93111</v>
      </c>
      <c r="Q143" s="478">
        <f t="shared" si="645"/>
        <v>247728</v>
      </c>
      <c r="R143" s="479">
        <f t="shared" si="645"/>
        <v>137667</v>
      </c>
      <c r="S143" s="478">
        <f t="shared" si="645"/>
        <v>228417</v>
      </c>
      <c r="T143" s="478">
        <f t="shared" si="645"/>
        <v>231748</v>
      </c>
      <c r="U143" s="478">
        <f t="shared" si="645"/>
        <v>209743</v>
      </c>
      <c r="V143" s="478">
        <f t="shared" si="645"/>
        <v>366084</v>
      </c>
      <c r="W143" s="480">
        <f t="shared" si="645"/>
        <v>597832</v>
      </c>
      <c r="X143" s="481">
        <f t="shared" si="645"/>
        <v>807575</v>
      </c>
      <c r="Y143" s="482">
        <f t="shared" si="645"/>
        <v>122513</v>
      </c>
      <c r="Z143" s="480">
        <f t="shared" si="645"/>
        <v>124592</v>
      </c>
      <c r="AA143" s="478">
        <f t="shared" si="645"/>
        <v>112741</v>
      </c>
      <c r="AB143" s="478">
        <f t="shared" si="645"/>
        <v>160553</v>
      </c>
      <c r="AC143" s="480">
        <f t="shared" si="645"/>
        <v>247105</v>
      </c>
      <c r="AD143" s="480">
        <f t="shared" si="645"/>
        <v>359846</v>
      </c>
      <c r="AE143" s="481">
        <f t="shared" si="645"/>
        <v>520399</v>
      </c>
      <c r="AF143" s="480">
        <f t="shared" si="645"/>
        <v>87617</v>
      </c>
      <c r="AG143" s="480">
        <f t="shared" si="584"/>
        <v>83530</v>
      </c>
      <c r="AH143" s="480">
        <f t="shared" si="320"/>
        <v>147904</v>
      </c>
      <c r="AI143" s="480">
        <f t="shared" si="321"/>
        <v>127132</v>
      </c>
      <c r="AJ143" s="480">
        <f t="shared" si="615"/>
        <v>171147</v>
      </c>
      <c r="AK143" s="480">
        <f t="shared" si="615"/>
        <v>319051</v>
      </c>
      <c r="AL143" s="481">
        <f t="shared" si="615"/>
        <v>446183</v>
      </c>
      <c r="AM143" s="480">
        <f t="shared" si="603"/>
        <v>110369</v>
      </c>
      <c r="AN143" s="480">
        <f t="shared" si="323"/>
        <v>110721</v>
      </c>
      <c r="AO143" s="480">
        <f t="shared" si="324"/>
        <v>127638.42284919583</v>
      </c>
      <c r="AP143" s="480">
        <f t="shared" si="324"/>
        <v>103522.19784045935</v>
      </c>
      <c r="AQ143" s="480">
        <f t="shared" si="604"/>
        <v>221090</v>
      </c>
      <c r="AR143" s="480">
        <f t="shared" si="604"/>
        <v>348728.42284919583</v>
      </c>
      <c r="AS143" s="481">
        <f t="shared" si="604"/>
        <v>452250.62068965519</v>
      </c>
      <c r="AT143" s="480">
        <f t="shared" si="604"/>
        <v>84132</v>
      </c>
      <c r="AU143" s="480">
        <f t="shared" si="604"/>
        <v>86077</v>
      </c>
      <c r="AV143" s="480">
        <f t="shared" si="604"/>
        <v>102112</v>
      </c>
      <c r="AW143" s="480">
        <f t="shared" si="419"/>
        <v>99075</v>
      </c>
      <c r="AX143" s="480">
        <f t="shared" ref="AX143:BT143" si="646">SUM(AX90,AX135)</f>
        <v>170209</v>
      </c>
      <c r="AY143" s="480">
        <f t="shared" si="646"/>
        <v>272321</v>
      </c>
      <c r="AZ143" s="480">
        <f t="shared" si="646"/>
        <v>371396</v>
      </c>
      <c r="BA143" s="480">
        <f t="shared" si="646"/>
        <v>85159</v>
      </c>
      <c r="BB143" s="480">
        <f t="shared" si="646"/>
        <v>79076</v>
      </c>
      <c r="BC143" s="480">
        <f t="shared" si="646"/>
        <v>68394</v>
      </c>
      <c r="BD143" s="480">
        <f t="shared" si="646"/>
        <v>68965</v>
      </c>
      <c r="BE143" s="480">
        <f t="shared" si="646"/>
        <v>164235</v>
      </c>
      <c r="BF143" s="480">
        <f t="shared" si="646"/>
        <v>232629</v>
      </c>
      <c r="BG143" s="480">
        <f t="shared" si="646"/>
        <v>301594</v>
      </c>
      <c r="BH143" s="480">
        <f t="shared" si="646"/>
        <v>59015</v>
      </c>
      <c r="BI143" s="480">
        <f t="shared" si="646"/>
        <v>60184</v>
      </c>
      <c r="BJ143" s="480">
        <f t="shared" si="646"/>
        <v>64043</v>
      </c>
      <c r="BK143" s="480">
        <f t="shared" si="646"/>
        <v>61744</v>
      </c>
      <c r="BL143" s="480">
        <f t="shared" si="646"/>
        <v>119199</v>
      </c>
      <c r="BM143" s="480">
        <f t="shared" si="646"/>
        <v>183242</v>
      </c>
      <c r="BN143" s="480">
        <f t="shared" si="646"/>
        <v>244986</v>
      </c>
      <c r="BO143" s="480">
        <f t="shared" si="646"/>
        <v>63867</v>
      </c>
      <c r="BP143" s="480">
        <f t="shared" si="646"/>
        <v>67981</v>
      </c>
      <c r="BQ143" s="480">
        <f>SUM(BQ90,BQ135)</f>
        <v>51071</v>
      </c>
      <c r="BR143" s="480">
        <f>SUM(BR90,BR135)</f>
        <v>105052</v>
      </c>
      <c r="BS143" s="480">
        <f t="shared" si="646"/>
        <v>435815</v>
      </c>
      <c r="BT143" s="480">
        <f t="shared" si="646"/>
        <v>486886</v>
      </c>
      <c r="BU143" s="480">
        <f t="shared" ref="BU143:BV143" si="647">SUM(BU90,BU135)</f>
        <v>591938</v>
      </c>
      <c r="BV143" s="480">
        <f t="shared" si="647"/>
        <v>84803</v>
      </c>
      <c r="BW143" s="480">
        <f t="shared" ref="BW143:BZ143" si="648">SUM(BW90,BW135)</f>
        <v>77311</v>
      </c>
      <c r="BX143" s="480">
        <f t="shared" si="648"/>
        <v>171053</v>
      </c>
      <c r="BY143" s="480">
        <f t="shared" si="648"/>
        <v>116080</v>
      </c>
      <c r="BZ143" s="480">
        <f t="shared" si="648"/>
        <v>162114</v>
      </c>
      <c r="CA143" s="480">
        <f t="shared" ref="CA143:CB143" si="649">SUM(CA90,CA135)</f>
        <v>333167</v>
      </c>
      <c r="CB143" s="480">
        <f t="shared" si="649"/>
        <v>449247</v>
      </c>
      <c r="CC143" s="480">
        <f t="shared" ref="CC143:CD143" si="650">SUM(CC90,CC135)</f>
        <v>109419</v>
      </c>
      <c r="CD143" s="480">
        <f t="shared" si="650"/>
        <v>160074</v>
      </c>
      <c r="CE143" s="480">
        <f t="shared" ref="CE143:CG143" si="651">SUM(CE90,CE135)</f>
        <v>252617</v>
      </c>
      <c r="CF143" s="480">
        <f t="shared" si="651"/>
        <v>170796</v>
      </c>
      <c r="CG143" s="480">
        <f t="shared" si="651"/>
        <v>269493</v>
      </c>
      <c r="CH143" s="480">
        <f t="shared" ref="CH143:CI143" si="652">SUM(CH90,CH135)</f>
        <v>522110</v>
      </c>
      <c r="CI143" s="480">
        <f t="shared" si="652"/>
        <v>692906</v>
      </c>
      <c r="CJ143" s="480">
        <v>122528</v>
      </c>
      <c r="CK143" s="480">
        <f t="shared" ref="CK143" si="653">SUM(CK90,CK135)</f>
        <v>107726</v>
      </c>
      <c r="CL143" s="480">
        <f t="shared" ref="CL143:CO143" si="654">SUM(CL90,CL135)</f>
        <v>0</v>
      </c>
      <c r="CM143" s="480">
        <f t="shared" si="654"/>
        <v>0</v>
      </c>
      <c r="CN143" s="480">
        <f t="shared" si="654"/>
        <v>230254</v>
      </c>
      <c r="CO143" s="480">
        <f t="shared" si="654"/>
        <v>0</v>
      </c>
    </row>
    <row r="144" spans="1:93" s="483" customFormat="1" x14ac:dyDescent="0.25">
      <c r="A144" s="477" t="str">
        <f>Language!C117</f>
        <v>Transbrasiliana</v>
      </c>
      <c r="B144" s="478">
        <f t="shared" ref="B144:AF144" si="655">SUM(B91,B136)</f>
        <v>0</v>
      </c>
      <c r="C144" s="478">
        <f t="shared" si="655"/>
        <v>0</v>
      </c>
      <c r="D144" s="478">
        <f t="shared" si="655"/>
        <v>0</v>
      </c>
      <c r="E144" s="478">
        <f t="shared" si="655"/>
        <v>0</v>
      </c>
      <c r="F144" s="479">
        <f t="shared" si="655"/>
        <v>0</v>
      </c>
      <c r="G144" s="478">
        <f t="shared" si="655"/>
        <v>0</v>
      </c>
      <c r="H144" s="478">
        <f t="shared" si="655"/>
        <v>0</v>
      </c>
      <c r="I144" s="478">
        <f t="shared" si="655"/>
        <v>0</v>
      </c>
      <c r="J144" s="479">
        <f t="shared" si="655"/>
        <v>0</v>
      </c>
      <c r="K144" s="478">
        <f t="shared" si="655"/>
        <v>0</v>
      </c>
      <c r="L144" s="478">
        <f t="shared" si="655"/>
        <v>0</v>
      </c>
      <c r="M144" s="478">
        <f t="shared" si="655"/>
        <v>0</v>
      </c>
      <c r="N144" s="479">
        <f t="shared" si="655"/>
        <v>0</v>
      </c>
      <c r="O144" s="478">
        <f t="shared" si="655"/>
        <v>0</v>
      </c>
      <c r="P144" s="478">
        <f t="shared" si="655"/>
        <v>0</v>
      </c>
      <c r="Q144" s="478">
        <f t="shared" si="655"/>
        <v>0</v>
      </c>
      <c r="R144" s="479">
        <f t="shared" si="655"/>
        <v>36092</v>
      </c>
      <c r="S144" s="478">
        <f t="shared" si="655"/>
        <v>35152</v>
      </c>
      <c r="T144" s="478">
        <f t="shared" si="655"/>
        <v>37289</v>
      </c>
      <c r="U144" s="478">
        <f t="shared" si="655"/>
        <v>74184</v>
      </c>
      <c r="V144" s="478">
        <f t="shared" si="655"/>
        <v>71244</v>
      </c>
      <c r="W144" s="480">
        <f t="shared" si="655"/>
        <v>108533</v>
      </c>
      <c r="X144" s="481">
        <f t="shared" si="655"/>
        <v>182717</v>
      </c>
      <c r="Y144" s="482">
        <f t="shared" si="655"/>
        <v>38256</v>
      </c>
      <c r="Z144" s="480">
        <f t="shared" si="655"/>
        <v>37116</v>
      </c>
      <c r="AA144" s="478">
        <f t="shared" si="655"/>
        <v>29206</v>
      </c>
      <c r="AB144" s="478">
        <f t="shared" si="655"/>
        <v>30118</v>
      </c>
      <c r="AC144" s="480">
        <f t="shared" si="655"/>
        <v>75372</v>
      </c>
      <c r="AD144" s="480">
        <f t="shared" si="655"/>
        <v>104578</v>
      </c>
      <c r="AE144" s="481">
        <f t="shared" si="655"/>
        <v>134696</v>
      </c>
      <c r="AF144" s="480">
        <f t="shared" si="655"/>
        <v>27722</v>
      </c>
      <c r="AG144" s="480">
        <f t="shared" si="584"/>
        <v>28351.422666666665</v>
      </c>
      <c r="AH144" s="480">
        <f t="shared" si="320"/>
        <v>30907.577333333335</v>
      </c>
      <c r="AI144" s="480">
        <f t="shared" si="321"/>
        <v>44153</v>
      </c>
      <c r="AJ144" s="480">
        <f t="shared" si="615"/>
        <v>56073.422666666665</v>
      </c>
      <c r="AK144" s="480">
        <f t="shared" si="615"/>
        <v>86981</v>
      </c>
      <c r="AL144" s="481">
        <f t="shared" si="615"/>
        <v>131134</v>
      </c>
      <c r="AM144" s="480">
        <f t="shared" si="603"/>
        <v>33745</v>
      </c>
      <c r="AN144" s="480">
        <f t="shared" si="323"/>
        <v>40511</v>
      </c>
      <c r="AO144" s="480">
        <f t="shared" si="324"/>
        <v>41326.758220422998</v>
      </c>
      <c r="AP144" s="480">
        <f t="shared" si="324"/>
        <v>45051.900709719499</v>
      </c>
      <c r="AQ144" s="480">
        <f t="shared" si="604"/>
        <v>74256</v>
      </c>
      <c r="AR144" s="480">
        <f t="shared" si="604"/>
        <v>115582.758220423</v>
      </c>
      <c r="AS144" s="481">
        <f t="shared" si="604"/>
        <v>160634.6589301425</v>
      </c>
      <c r="AT144" s="480">
        <f t="shared" si="604"/>
        <v>31861</v>
      </c>
      <c r="AU144" s="480">
        <f t="shared" si="604"/>
        <v>34287</v>
      </c>
      <c r="AV144" s="480">
        <f t="shared" si="604"/>
        <v>37493</v>
      </c>
      <c r="AW144" s="480">
        <f t="shared" si="419"/>
        <v>36435</v>
      </c>
      <c r="AX144" s="480">
        <f t="shared" ref="AX144:BS144" si="656">SUM(AX91,AX136)</f>
        <v>66148</v>
      </c>
      <c r="AY144" s="480">
        <f t="shared" si="656"/>
        <v>103641</v>
      </c>
      <c r="AZ144" s="480">
        <f t="shared" si="656"/>
        <v>140076</v>
      </c>
      <c r="BA144" s="480">
        <f t="shared" si="656"/>
        <v>32962</v>
      </c>
      <c r="BB144" s="480">
        <f t="shared" si="656"/>
        <v>28334</v>
      </c>
      <c r="BC144" s="480">
        <f t="shared" si="656"/>
        <v>34444</v>
      </c>
      <c r="BD144" s="480">
        <f t="shared" si="656"/>
        <v>36822</v>
      </c>
      <c r="BE144" s="480">
        <f t="shared" si="656"/>
        <v>61296</v>
      </c>
      <c r="BF144" s="480">
        <f t="shared" si="656"/>
        <v>95740</v>
      </c>
      <c r="BG144" s="480">
        <f t="shared" si="656"/>
        <v>132562</v>
      </c>
      <c r="BH144" s="480">
        <f t="shared" si="656"/>
        <v>36179</v>
      </c>
      <c r="BI144" s="480">
        <f t="shared" si="656"/>
        <v>45230</v>
      </c>
      <c r="BJ144" s="480">
        <f t="shared" si="656"/>
        <v>60577</v>
      </c>
      <c r="BK144" s="480">
        <f t="shared" si="656"/>
        <v>63276</v>
      </c>
      <c r="BL144" s="480">
        <f t="shared" si="656"/>
        <v>81409</v>
      </c>
      <c r="BM144" s="480">
        <f t="shared" si="656"/>
        <v>141986</v>
      </c>
      <c r="BN144" s="480">
        <f t="shared" si="656"/>
        <v>205262</v>
      </c>
      <c r="BO144" s="480">
        <f t="shared" si="656"/>
        <v>58680</v>
      </c>
      <c r="BP144" s="480">
        <f t="shared" si="656"/>
        <v>64638</v>
      </c>
      <c r="BQ144" s="480">
        <f t="shared" si="656"/>
        <v>74096</v>
      </c>
      <c r="BR144" s="480">
        <f t="shared" si="656"/>
        <v>62355</v>
      </c>
      <c r="BS144" s="480">
        <f t="shared" si="656"/>
        <v>123318</v>
      </c>
      <c r="BT144" s="480">
        <f t="shared" ref="BT144:BU146" si="657">SUM(BT91,BT136)</f>
        <v>197414</v>
      </c>
      <c r="BU144" s="480">
        <f t="shared" si="657"/>
        <v>259769</v>
      </c>
      <c r="BV144" s="480">
        <f t="shared" ref="BV144:BY144" si="658">SUM(BV91,BV136)</f>
        <v>59763</v>
      </c>
      <c r="BW144" s="480">
        <f t="shared" si="658"/>
        <v>60507</v>
      </c>
      <c r="BX144" s="480">
        <f t="shared" si="658"/>
        <v>73596</v>
      </c>
      <c r="BY144" s="480">
        <f t="shared" si="658"/>
        <v>68211</v>
      </c>
      <c r="BZ144" s="480">
        <f t="shared" ref="BZ144:CA144" si="659">SUM(BZ91,BZ136)</f>
        <v>120270</v>
      </c>
      <c r="CA144" s="480">
        <f t="shared" si="659"/>
        <v>193866</v>
      </c>
      <c r="CB144" s="480">
        <f t="shared" ref="CB144:CC144" si="660">SUM(CB91,CB136)</f>
        <v>262077</v>
      </c>
      <c r="CC144" s="480">
        <f t="shared" si="660"/>
        <v>60369</v>
      </c>
      <c r="CD144" s="480">
        <f t="shared" ref="CD144" si="661">SUM(CD91,CD136)</f>
        <v>64891</v>
      </c>
      <c r="CE144" s="480">
        <f t="shared" ref="CE144:CG144" si="662">SUM(CE91,CE136)</f>
        <v>72182</v>
      </c>
      <c r="CF144" s="480">
        <f t="shared" si="662"/>
        <v>57888</v>
      </c>
      <c r="CG144" s="480">
        <f t="shared" si="662"/>
        <v>125260</v>
      </c>
      <c r="CH144" s="480">
        <f t="shared" ref="CH144:CI144" si="663">SUM(CH91,CH136)</f>
        <v>197442</v>
      </c>
      <c r="CI144" s="480">
        <f t="shared" si="663"/>
        <v>255330</v>
      </c>
      <c r="CJ144" s="480">
        <v>64521</v>
      </c>
      <c r="CK144" s="480">
        <f t="shared" ref="CK144" si="664">SUM(CK91,CK136)</f>
        <v>61513</v>
      </c>
      <c r="CL144" s="480">
        <f t="shared" ref="CL144:CO144" si="665">SUM(CL91,CL136)</f>
        <v>0</v>
      </c>
      <c r="CM144" s="480">
        <f t="shared" si="665"/>
        <v>0</v>
      </c>
      <c r="CN144" s="480">
        <f t="shared" si="665"/>
        <v>126034</v>
      </c>
      <c r="CO144" s="480">
        <f t="shared" si="665"/>
        <v>0</v>
      </c>
    </row>
    <row r="145" spans="1:93" s="483" customFormat="1" x14ac:dyDescent="0.25">
      <c r="A145" s="754" t="s">
        <v>670</v>
      </c>
      <c r="B145" s="478"/>
      <c r="C145" s="478"/>
      <c r="D145" s="478"/>
      <c r="E145" s="478"/>
      <c r="F145" s="479"/>
      <c r="G145" s="478"/>
      <c r="H145" s="478"/>
      <c r="I145" s="478"/>
      <c r="J145" s="479"/>
      <c r="K145" s="478"/>
      <c r="L145" s="478"/>
      <c r="M145" s="478"/>
      <c r="N145" s="479"/>
      <c r="O145" s="478"/>
      <c r="P145" s="478"/>
      <c r="Q145" s="478"/>
      <c r="R145" s="479"/>
      <c r="S145" s="478"/>
      <c r="T145" s="478"/>
      <c r="U145" s="478"/>
      <c r="V145" s="478"/>
      <c r="W145" s="480"/>
      <c r="X145" s="481"/>
      <c r="Y145" s="482"/>
      <c r="Z145" s="480"/>
      <c r="AA145" s="478"/>
      <c r="AB145" s="478"/>
      <c r="AC145" s="480"/>
      <c r="AD145" s="480"/>
      <c r="AE145" s="481"/>
      <c r="AF145" s="480"/>
      <c r="AG145" s="480"/>
      <c r="AH145" s="480"/>
      <c r="AI145" s="480"/>
      <c r="AJ145" s="480"/>
      <c r="AK145" s="480"/>
      <c r="AL145" s="480"/>
      <c r="AM145" s="480"/>
      <c r="AN145" s="480"/>
      <c r="AO145" s="480"/>
      <c r="AP145" s="480"/>
      <c r="AQ145" s="480"/>
      <c r="AR145" s="480"/>
      <c r="AS145" s="480"/>
      <c r="AT145" s="480"/>
      <c r="AU145" s="480">
        <f>SUM(AU92,AU137)</f>
        <v>606</v>
      </c>
      <c r="AV145" s="480">
        <f>SUM(AV92,AV137)</f>
        <v>0</v>
      </c>
      <c r="AW145" s="480"/>
      <c r="AX145" s="480">
        <f>SUM(AX92,AX137)</f>
        <v>606</v>
      </c>
      <c r="AY145" s="480">
        <f>SUM(AY92,AY137)</f>
        <v>606</v>
      </c>
      <c r="AZ145" s="480"/>
      <c r="BA145" s="480"/>
      <c r="BB145" s="480"/>
      <c r="BC145" s="480">
        <f>SUM(BC92,BC137)</f>
        <v>0</v>
      </c>
      <c r="BD145" s="480">
        <f>SUM(BD92,BD137)</f>
        <v>0</v>
      </c>
      <c r="BE145" s="480"/>
      <c r="BF145" s="480">
        <v>0</v>
      </c>
      <c r="BG145" s="480">
        <v>0</v>
      </c>
      <c r="BH145" s="480">
        <v>0</v>
      </c>
      <c r="BI145" s="480">
        <v>0</v>
      </c>
      <c r="BJ145" s="480">
        <v>0</v>
      </c>
      <c r="BK145" s="480">
        <v>0</v>
      </c>
      <c r="BL145" s="480">
        <v>0</v>
      </c>
      <c r="BM145" s="480">
        <v>0</v>
      </c>
      <c r="BN145" s="480">
        <v>0</v>
      </c>
      <c r="BO145" s="480">
        <v>0</v>
      </c>
      <c r="BP145" s="480">
        <v>0</v>
      </c>
      <c r="BQ145" s="480">
        <v>0</v>
      </c>
      <c r="BR145" s="480">
        <v>0</v>
      </c>
      <c r="BS145" s="480">
        <v>0</v>
      </c>
      <c r="BT145" s="480">
        <f t="shared" si="657"/>
        <v>0</v>
      </c>
      <c r="BU145" s="480">
        <f t="shared" si="657"/>
        <v>0</v>
      </c>
      <c r="BV145" s="480">
        <f t="shared" ref="BV145:BY145" si="666">SUM(BV92,BV137)</f>
        <v>0</v>
      </c>
      <c r="BW145" s="480">
        <f t="shared" si="666"/>
        <v>0</v>
      </c>
      <c r="BX145" s="480">
        <f t="shared" si="666"/>
        <v>0</v>
      </c>
      <c r="BY145" s="480">
        <f t="shared" si="666"/>
        <v>0</v>
      </c>
      <c r="BZ145" s="480">
        <f t="shared" ref="BZ145:CA145" si="667">SUM(BZ92,BZ137)</f>
        <v>0</v>
      </c>
      <c r="CA145" s="480">
        <f t="shared" si="667"/>
        <v>0</v>
      </c>
      <c r="CB145" s="480">
        <f t="shared" ref="CB145:CC145" si="668">SUM(CB92,CB137)</f>
        <v>0</v>
      </c>
      <c r="CC145" s="480">
        <f t="shared" si="668"/>
        <v>0</v>
      </c>
      <c r="CD145" s="480">
        <f t="shared" ref="CD145" si="669">SUM(CD92,CD137)</f>
        <v>0</v>
      </c>
      <c r="CE145" s="480">
        <f t="shared" ref="CE145:CG145" si="670">SUM(CE92,CE137)</f>
        <v>0</v>
      </c>
      <c r="CF145" s="480">
        <f t="shared" si="670"/>
        <v>0</v>
      </c>
      <c r="CG145" s="480">
        <f t="shared" si="670"/>
        <v>0</v>
      </c>
      <c r="CH145" s="480">
        <f t="shared" ref="CH145:CI145" si="671">SUM(CH92,CH137)</f>
        <v>0</v>
      </c>
      <c r="CI145" s="480">
        <f t="shared" si="671"/>
        <v>0</v>
      </c>
      <c r="CJ145" s="480">
        <v>0</v>
      </c>
      <c r="CK145" s="480">
        <f t="shared" ref="CK145" si="672">SUM(CK92,CK137)</f>
        <v>0</v>
      </c>
      <c r="CL145" s="480">
        <f t="shared" ref="CL145:CO145" si="673">SUM(CL92,CL137)</f>
        <v>0</v>
      </c>
      <c r="CM145" s="480">
        <f t="shared" si="673"/>
        <v>0</v>
      </c>
      <c r="CN145" s="480">
        <f t="shared" si="673"/>
        <v>0</v>
      </c>
      <c r="CO145" s="480">
        <f t="shared" si="673"/>
        <v>0</v>
      </c>
    </row>
    <row r="146" spans="1:93" s="483" customFormat="1" x14ac:dyDescent="0.25">
      <c r="A146" s="754" t="s">
        <v>695</v>
      </c>
      <c r="B146" s="478"/>
      <c r="C146" s="478"/>
      <c r="D146" s="478"/>
      <c r="E146" s="478"/>
      <c r="F146" s="479"/>
      <c r="G146" s="478"/>
      <c r="H146" s="478"/>
      <c r="I146" s="478"/>
      <c r="J146" s="479"/>
      <c r="K146" s="478"/>
      <c r="L146" s="478"/>
      <c r="M146" s="478"/>
      <c r="N146" s="479"/>
      <c r="O146" s="478"/>
      <c r="P146" s="478"/>
      <c r="Q146" s="478"/>
      <c r="R146" s="479"/>
      <c r="S146" s="478"/>
      <c r="T146" s="478"/>
      <c r="U146" s="478"/>
      <c r="V146" s="478"/>
      <c r="W146" s="480"/>
      <c r="X146" s="481"/>
      <c r="Y146" s="482"/>
      <c r="Z146" s="480"/>
      <c r="AA146" s="478"/>
      <c r="AB146" s="478"/>
      <c r="AC146" s="480"/>
      <c r="AD146" s="480"/>
      <c r="AE146" s="481"/>
      <c r="AF146" s="480"/>
      <c r="AG146" s="480"/>
      <c r="AH146" s="480"/>
      <c r="AI146" s="480"/>
      <c r="AJ146" s="480"/>
      <c r="AK146" s="480"/>
      <c r="AL146" s="480"/>
      <c r="AM146" s="480"/>
      <c r="AN146" s="480"/>
      <c r="AO146" s="480"/>
      <c r="AP146" s="480"/>
      <c r="AQ146" s="480"/>
      <c r="AR146" s="480"/>
      <c r="AS146" s="480"/>
      <c r="AT146" s="480"/>
      <c r="AU146" s="480">
        <f>-AU93+AU138</f>
        <v>-1579</v>
      </c>
      <c r="AV146" s="480">
        <f>SUM(AV93,AV138)</f>
        <v>206</v>
      </c>
      <c r="AW146" s="480"/>
      <c r="AX146" s="480">
        <f>-AX93+AX138</f>
        <v>-1579</v>
      </c>
      <c r="AY146" s="480">
        <f>-AY93+AY138</f>
        <v>-1771</v>
      </c>
      <c r="AZ146" s="480"/>
      <c r="BA146" s="480"/>
      <c r="BB146" s="480"/>
      <c r="BC146" s="480">
        <f>SUM(BC93,BC138)</f>
        <v>631</v>
      </c>
      <c r="BD146" s="480">
        <f>SUM(BD93,BD138)</f>
        <v>208</v>
      </c>
      <c r="BE146" s="480"/>
      <c r="BF146" s="480">
        <v>-587</v>
      </c>
      <c r="BG146" s="480">
        <v>-781</v>
      </c>
      <c r="BH146" s="480"/>
      <c r="BI146" s="480"/>
      <c r="BJ146" s="480"/>
      <c r="BK146" s="480"/>
      <c r="BL146" s="480"/>
      <c r="BM146" s="480"/>
      <c r="BN146" s="480"/>
      <c r="BO146" s="480"/>
      <c r="BP146" s="480"/>
      <c r="BQ146" s="480"/>
      <c r="BR146" s="480"/>
      <c r="BS146" s="480"/>
      <c r="BT146" s="480">
        <f t="shared" si="657"/>
        <v>0</v>
      </c>
      <c r="BU146" s="480">
        <f t="shared" si="657"/>
        <v>0</v>
      </c>
      <c r="BV146" s="480">
        <f t="shared" ref="BV146:BY146" si="674">SUM(BV93,BV138)</f>
        <v>0</v>
      </c>
      <c r="BW146" s="480">
        <f t="shared" si="674"/>
        <v>0</v>
      </c>
      <c r="BX146" s="480">
        <f t="shared" si="674"/>
        <v>0</v>
      </c>
      <c r="BY146" s="480">
        <f t="shared" si="674"/>
        <v>0</v>
      </c>
      <c r="BZ146" s="480">
        <f t="shared" ref="BZ146:CA146" si="675">SUM(BZ93,BZ138)</f>
        <v>0</v>
      </c>
      <c r="CA146" s="480">
        <f t="shared" si="675"/>
        <v>0</v>
      </c>
      <c r="CB146" s="480">
        <f t="shared" ref="CB146:CC146" si="676">SUM(CB93,CB138)</f>
        <v>0</v>
      </c>
      <c r="CC146" s="480">
        <f t="shared" si="676"/>
        <v>0</v>
      </c>
      <c r="CD146" s="480">
        <f t="shared" ref="CD146" si="677">SUM(CD93,CD138)</f>
        <v>0</v>
      </c>
      <c r="CE146" s="480">
        <f t="shared" ref="CE146:CG146" si="678">SUM(CE93,CE138)</f>
        <v>0</v>
      </c>
      <c r="CF146" s="480">
        <f t="shared" si="678"/>
        <v>0</v>
      </c>
      <c r="CG146" s="480">
        <f t="shared" si="678"/>
        <v>0</v>
      </c>
      <c r="CH146" s="480">
        <f t="shared" ref="CH146:CI146" si="679">SUM(CH93,CH138)</f>
        <v>0</v>
      </c>
      <c r="CI146" s="480">
        <f t="shared" si="679"/>
        <v>0</v>
      </c>
      <c r="CJ146" s="480">
        <v>0</v>
      </c>
      <c r="CK146" s="480">
        <f t="shared" ref="CK146" si="680">SUM(CK93,CK138)</f>
        <v>0</v>
      </c>
      <c r="CL146" s="480">
        <f t="shared" ref="CL146:CO146" si="681">SUM(CL93,CL138)</f>
        <v>0</v>
      </c>
      <c r="CM146" s="480">
        <f t="shared" si="681"/>
        <v>0</v>
      </c>
      <c r="CN146" s="480">
        <f t="shared" si="681"/>
        <v>0</v>
      </c>
      <c r="CO146" s="480">
        <f t="shared" si="681"/>
        <v>0</v>
      </c>
    </row>
    <row r="147" spans="1:93" s="423" customFormat="1" ht="13" x14ac:dyDescent="0.3">
      <c r="A147" s="467" t="str">
        <f>Language!C118</f>
        <v>Custos Operacionais</v>
      </c>
      <c r="B147" s="450">
        <f t="shared" ref="B147:AK147" si="682">SUM(B148,B149,B150,B151,B152)</f>
        <v>-78123</v>
      </c>
      <c r="C147" s="450">
        <f t="shared" si="682"/>
        <v>-58025</v>
      </c>
      <c r="D147" s="450">
        <f t="shared" si="682"/>
        <v>-71043</v>
      </c>
      <c r="E147" s="450">
        <f t="shared" si="682"/>
        <v>-80753</v>
      </c>
      <c r="F147" s="451">
        <f t="shared" si="682"/>
        <v>-80256</v>
      </c>
      <c r="G147" s="450">
        <f t="shared" si="682"/>
        <v>-86942</v>
      </c>
      <c r="H147" s="450">
        <f t="shared" si="682"/>
        <v>-79669</v>
      </c>
      <c r="I147" s="450">
        <f t="shared" si="682"/>
        <v>-105301</v>
      </c>
      <c r="J147" s="451">
        <f t="shared" si="682"/>
        <v>-88302</v>
      </c>
      <c r="K147" s="450">
        <f t="shared" si="682"/>
        <v>-92531</v>
      </c>
      <c r="L147" s="450">
        <f t="shared" si="682"/>
        <v>-95161</v>
      </c>
      <c r="M147" s="450">
        <f t="shared" si="682"/>
        <v>-131969</v>
      </c>
      <c r="N147" s="451">
        <f t="shared" si="682"/>
        <v>-127315</v>
      </c>
      <c r="O147" s="450">
        <f t="shared" si="682"/>
        <v>-254793</v>
      </c>
      <c r="P147" s="450">
        <f t="shared" si="682"/>
        <v>-288397</v>
      </c>
      <c r="Q147" s="450">
        <f t="shared" si="682"/>
        <v>-420916</v>
      </c>
      <c r="R147" s="451">
        <f t="shared" si="682"/>
        <v>-383749</v>
      </c>
      <c r="S147" s="450">
        <f t="shared" si="682"/>
        <v>-406752</v>
      </c>
      <c r="T147" s="450">
        <f t="shared" si="682"/>
        <v>-361936</v>
      </c>
      <c r="U147" s="450">
        <f t="shared" si="682"/>
        <v>-366460</v>
      </c>
      <c r="V147" s="450">
        <f t="shared" si="682"/>
        <v>-790501</v>
      </c>
      <c r="W147" s="468">
        <f t="shared" si="682"/>
        <v>-1152437</v>
      </c>
      <c r="X147" s="453">
        <f t="shared" si="682"/>
        <v>-1518897</v>
      </c>
      <c r="Y147" s="454">
        <f t="shared" si="682"/>
        <v>-245937</v>
      </c>
      <c r="Z147" s="452">
        <f t="shared" si="682"/>
        <v>-229338</v>
      </c>
      <c r="AA147" s="450">
        <f t="shared" si="682"/>
        <v>-198009</v>
      </c>
      <c r="AB147" s="450">
        <f t="shared" si="682"/>
        <v>-237107</v>
      </c>
      <c r="AC147" s="452">
        <f t="shared" si="682"/>
        <v>-475275</v>
      </c>
      <c r="AD147" s="452">
        <f t="shared" si="682"/>
        <v>-673284</v>
      </c>
      <c r="AE147" s="453">
        <f t="shared" si="682"/>
        <v>-910391</v>
      </c>
      <c r="AF147" s="452">
        <f t="shared" si="682"/>
        <v>-219911</v>
      </c>
      <c r="AG147" s="452">
        <f t="shared" si="584"/>
        <v>-290787.99999999994</v>
      </c>
      <c r="AH147" s="452">
        <f t="shared" si="320"/>
        <v>-201167.77887180803</v>
      </c>
      <c r="AI147" s="452">
        <f t="shared" si="321"/>
        <v>-216063.22112819203</v>
      </c>
      <c r="AJ147" s="452">
        <f t="shared" si="682"/>
        <v>-510698.99999999994</v>
      </c>
      <c r="AK147" s="452">
        <f t="shared" si="682"/>
        <v>-711866.77887180797</v>
      </c>
      <c r="AL147" s="452">
        <f>SUM(AL148:AL153)</f>
        <v>-927930</v>
      </c>
      <c r="AM147" s="452">
        <f>SUM(AM148:AM153)</f>
        <v>-180949</v>
      </c>
      <c r="AN147" s="452">
        <f t="shared" si="323"/>
        <v>-188790.7314460281</v>
      </c>
      <c r="AO147" s="452">
        <f t="shared" si="324"/>
        <v>-189866.26855397178</v>
      </c>
      <c r="AP147" s="452">
        <f t="shared" si="324"/>
        <v>-210065</v>
      </c>
      <c r="AQ147" s="452">
        <f>SUM(AQ148:AQ153)</f>
        <v>-369739.7314460281</v>
      </c>
      <c r="AR147" s="452">
        <f>SUM(AR148:AR153)</f>
        <v>-559605.99999999988</v>
      </c>
      <c r="AS147" s="452">
        <f>SUM(AS148:AS153)</f>
        <v>-769670.99999999988</v>
      </c>
      <c r="AT147" s="452">
        <f>SUM(AT148:AT153)</f>
        <v>-186087.60560000001</v>
      </c>
      <c r="AU147" s="452">
        <f>SUM(AU148:AU153)+AU154</f>
        <v>-183907.53190691455</v>
      </c>
      <c r="AV147" s="452">
        <f>SUM(AV148:AV153)</f>
        <v>-204749.40519999998</v>
      </c>
      <c r="AW147" s="452">
        <f t="shared" si="419"/>
        <v>-229180.30079999997</v>
      </c>
      <c r="AX147" s="452">
        <f>SUM(AX148:AX153)+AX154</f>
        <v>-370140.08319999999</v>
      </c>
      <c r="AY147" s="452">
        <f>SUM(AY148:AY153)+AY154-1</f>
        <v>-575012.48840000003</v>
      </c>
      <c r="AZ147" s="452">
        <f t="shared" ref="AZ147:BE147" si="683">SUM(AZ148:AZ153)</f>
        <v>-804192.7892</v>
      </c>
      <c r="BA147" s="452">
        <f t="shared" si="683"/>
        <v>-194135</v>
      </c>
      <c r="BB147" s="452">
        <f t="shared" si="683"/>
        <v>-185012</v>
      </c>
      <c r="BC147" s="452">
        <f>SUM(BC148:BC154)</f>
        <v>-215013</v>
      </c>
      <c r="BD147" s="452">
        <f t="shared" si="683"/>
        <v>-227823</v>
      </c>
      <c r="BE147" s="452">
        <f t="shared" si="683"/>
        <v>-379147</v>
      </c>
      <c r="BF147" s="452">
        <f>SUM(BF148:BF154)</f>
        <v>-594160</v>
      </c>
      <c r="BG147" s="452">
        <f>SUM(BG148:BG154)</f>
        <v>-821652</v>
      </c>
      <c r="BH147" s="452">
        <f>SUM(BH148:BH154)</f>
        <v>-221413</v>
      </c>
      <c r="BI147" s="452">
        <f t="shared" ref="BI147:BL147" si="684">SUM(BI148:BI154)</f>
        <v>-244449</v>
      </c>
      <c r="BJ147" s="452">
        <f t="shared" si="684"/>
        <v>-182271</v>
      </c>
      <c r="BK147" s="452">
        <f t="shared" si="684"/>
        <v>-220666</v>
      </c>
      <c r="BL147" s="452">
        <f t="shared" si="684"/>
        <v>-465862</v>
      </c>
      <c r="BM147" s="452">
        <f t="shared" ref="BM147:BN147" si="685">SUM(BM148:BM154)</f>
        <v>-648133</v>
      </c>
      <c r="BN147" s="452">
        <f t="shared" si="685"/>
        <v>-868799</v>
      </c>
      <c r="BO147" s="452">
        <f t="shared" ref="BO147:BS147" si="686">SUM(BO148:BO154)</f>
        <v>-148210</v>
      </c>
      <c r="BP147" s="452">
        <f t="shared" si="686"/>
        <v>-180397.48466649695</v>
      </c>
      <c r="BQ147" s="452">
        <f t="shared" si="686"/>
        <v>-211127.24233324849</v>
      </c>
      <c r="BR147" s="452">
        <f t="shared" si="686"/>
        <v>-208685.27300025456</v>
      </c>
      <c r="BS147" s="452">
        <f t="shared" si="686"/>
        <v>-328607.48466649698</v>
      </c>
      <c r="BT147" s="452">
        <f t="shared" ref="BT147" si="687">SUM(BT148:BT154)</f>
        <v>-539734.72699974547</v>
      </c>
      <c r="BU147" s="452">
        <f>SUM(BU148:BU154)</f>
        <v>-748420</v>
      </c>
      <c r="BV147" s="452">
        <f>SUM(BV148:BV154)</f>
        <v>-203525</v>
      </c>
      <c r="BW147" s="452">
        <f t="shared" ref="BW147:BY147" si="688">SUM(BW148:BW154)</f>
        <v>-195527</v>
      </c>
      <c r="BX147" s="452">
        <f t="shared" si="688"/>
        <v>-213308</v>
      </c>
      <c r="BY147" s="452">
        <f t="shared" si="688"/>
        <v>-175949</v>
      </c>
      <c r="BZ147" s="452">
        <f t="shared" ref="BZ147:CI147" si="689">SUM(BZ148:BZ154)</f>
        <v>-399052</v>
      </c>
      <c r="CA147" s="452">
        <f t="shared" si="689"/>
        <v>-612360</v>
      </c>
      <c r="CB147" s="452">
        <f t="shared" si="689"/>
        <v>-788309</v>
      </c>
      <c r="CC147" s="452">
        <f t="shared" si="689"/>
        <v>-187149</v>
      </c>
      <c r="CD147" s="452">
        <f t="shared" si="689"/>
        <v>-228663</v>
      </c>
      <c r="CE147" s="452">
        <f t="shared" si="689"/>
        <v>-228196</v>
      </c>
      <c r="CF147" s="452">
        <f t="shared" si="689"/>
        <v>-177929</v>
      </c>
      <c r="CG147" s="452">
        <f t="shared" si="689"/>
        <v>-415812</v>
      </c>
      <c r="CH147" s="452">
        <f t="shared" si="689"/>
        <v>-644008</v>
      </c>
      <c r="CI147" s="452">
        <f t="shared" si="689"/>
        <v>-821937</v>
      </c>
      <c r="CJ147" s="452">
        <v>-170224</v>
      </c>
      <c r="CK147" s="452">
        <f t="shared" ref="CK147" si="690">SUM(CK148:CK154)</f>
        <v>-188896</v>
      </c>
      <c r="CL147" s="452">
        <f t="shared" ref="CL147:CO147" si="691">SUM(CL148:CL154)</f>
        <v>0</v>
      </c>
      <c r="CM147" s="452">
        <f t="shared" si="691"/>
        <v>0</v>
      </c>
      <c r="CN147" s="452">
        <f t="shared" si="691"/>
        <v>-359120</v>
      </c>
      <c r="CO147" s="452">
        <f t="shared" si="691"/>
        <v>0</v>
      </c>
    </row>
    <row r="148" spans="1:93" s="289" customFormat="1" x14ac:dyDescent="0.25">
      <c r="A148" s="455" t="str">
        <f>Language!C119</f>
        <v>Concepa</v>
      </c>
      <c r="B148" s="291">
        <f t="shared" ref="B148:AE148" si="692">SUM(B156,B171,B177,B185,B193)</f>
        <v>-39437</v>
      </c>
      <c r="C148" s="291">
        <f t="shared" si="692"/>
        <v>-15248</v>
      </c>
      <c r="D148" s="291">
        <f t="shared" si="692"/>
        <v>-24248</v>
      </c>
      <c r="E148" s="291">
        <f t="shared" si="692"/>
        <v>-35298</v>
      </c>
      <c r="F148" s="290">
        <f t="shared" si="692"/>
        <v>-37020</v>
      </c>
      <c r="G148" s="291">
        <f t="shared" si="692"/>
        <v>-40017</v>
      </c>
      <c r="H148" s="291">
        <f t="shared" si="692"/>
        <v>-30922</v>
      </c>
      <c r="I148" s="291">
        <f t="shared" si="692"/>
        <v>-41582</v>
      </c>
      <c r="J148" s="290">
        <f t="shared" si="692"/>
        <v>-34523</v>
      </c>
      <c r="K148" s="291">
        <f t="shared" si="692"/>
        <v>-34687</v>
      </c>
      <c r="L148" s="291">
        <f t="shared" si="692"/>
        <v>-30480</v>
      </c>
      <c r="M148" s="291">
        <f t="shared" si="692"/>
        <v>-37663</v>
      </c>
      <c r="N148" s="290">
        <f t="shared" si="692"/>
        <v>-39691</v>
      </c>
      <c r="O148" s="291">
        <f t="shared" si="692"/>
        <v>-43568</v>
      </c>
      <c r="P148" s="291">
        <f t="shared" si="692"/>
        <v>-60742</v>
      </c>
      <c r="Q148" s="291">
        <f t="shared" si="692"/>
        <v>-80796</v>
      </c>
      <c r="R148" s="290">
        <f t="shared" si="692"/>
        <v>-65756</v>
      </c>
      <c r="S148" s="291">
        <f t="shared" si="692"/>
        <v>-72037</v>
      </c>
      <c r="T148" s="291">
        <f t="shared" si="692"/>
        <v>-70405</v>
      </c>
      <c r="U148" s="291">
        <f t="shared" si="692"/>
        <v>-61256</v>
      </c>
      <c r="V148" s="291">
        <f t="shared" si="692"/>
        <v>-137793</v>
      </c>
      <c r="W148" s="292">
        <f t="shared" si="692"/>
        <v>-208198</v>
      </c>
      <c r="X148" s="293">
        <f t="shared" si="692"/>
        <v>-269454</v>
      </c>
      <c r="Y148" s="294">
        <f t="shared" si="692"/>
        <v>-48992</v>
      </c>
      <c r="Z148" s="292">
        <f t="shared" si="692"/>
        <v>-45686</v>
      </c>
      <c r="AA148" s="291">
        <f t="shared" si="692"/>
        <v>-39551</v>
      </c>
      <c r="AB148" s="291">
        <f t="shared" si="692"/>
        <v>-54859</v>
      </c>
      <c r="AC148" s="292">
        <f t="shared" si="692"/>
        <v>-94678</v>
      </c>
      <c r="AD148" s="292">
        <f t="shared" si="692"/>
        <v>-134229</v>
      </c>
      <c r="AE148" s="293">
        <f t="shared" si="692"/>
        <v>-189088</v>
      </c>
      <c r="AF148" s="292">
        <f>SUM(AF156,AF171,AF177,AF185,AF193,AF164)</f>
        <v>-77828.127214075997</v>
      </c>
      <c r="AG148" s="292">
        <f t="shared" si="584"/>
        <v>-102170.31482078845</v>
      </c>
      <c r="AH148" s="292">
        <f t="shared" si="320"/>
        <v>-11706.334727024223</v>
      </c>
      <c r="AI148" s="292">
        <f t="shared" si="321"/>
        <v>-12752.019875802594</v>
      </c>
      <c r="AJ148" s="292">
        <f>SUM(AJ156,AJ171,AJ177,AJ185,AJ193,AJ164)</f>
        <v>-179998.44203486445</v>
      </c>
      <c r="AK148" s="292">
        <f>SUM(AK156,AK171,AK177,AK185,AK193+AK164)</f>
        <v>-191704.77676188867</v>
      </c>
      <c r="AL148" s="292">
        <f t="shared" ref="AL148:AM152" si="693">SUM(AL156,AL171,AL177,AL185,AL193,AL164)</f>
        <v>-204456.79663769127</v>
      </c>
      <c r="AM148" s="292">
        <f t="shared" si="693"/>
        <v>-14303.956109806462</v>
      </c>
      <c r="AN148" s="292">
        <f t="shared" si="323"/>
        <v>-16499.34130073919</v>
      </c>
      <c r="AO148" s="292">
        <f t="shared" si="324"/>
        <v>-26357.176627606175</v>
      </c>
      <c r="AP148" s="292">
        <f t="shared" si="324"/>
        <v>-2957.4018544778082</v>
      </c>
      <c r="AQ148" s="292">
        <f t="shared" ref="AQ148:AV152" si="694">SUM(AQ156,AQ171,AQ177,AQ185,AQ193,AQ164)</f>
        <v>-30803.297410545652</v>
      </c>
      <c r="AR148" s="292">
        <f t="shared" si="694"/>
        <v>-57160.474038151828</v>
      </c>
      <c r="AS148" s="292">
        <f t="shared" si="694"/>
        <v>-60117.875892629636</v>
      </c>
      <c r="AT148" s="292">
        <f t="shared" si="694"/>
        <v>0</v>
      </c>
      <c r="AU148" s="292">
        <f t="shared" si="694"/>
        <v>-313.05430691455246</v>
      </c>
      <c r="AV148" s="292">
        <f t="shared" si="694"/>
        <v>-110</v>
      </c>
      <c r="AW148" s="292">
        <f t="shared" si="419"/>
        <v>429</v>
      </c>
      <c r="AX148" s="292">
        <f t="shared" ref="AX148:BE152" si="695">SUM(AX156,AX171,AX177,AX185,AX193,AX164)</f>
        <v>-319</v>
      </c>
      <c r="AY148" s="292">
        <f t="shared" si="695"/>
        <v>-429</v>
      </c>
      <c r="AZ148" s="292">
        <f t="shared" si="695"/>
        <v>0</v>
      </c>
      <c r="BA148" s="292">
        <f t="shared" si="695"/>
        <v>0</v>
      </c>
      <c r="BB148" s="292">
        <f t="shared" si="695"/>
        <v>0</v>
      </c>
      <c r="BC148" s="292">
        <f t="shared" si="695"/>
        <v>0</v>
      </c>
      <c r="BD148" s="292">
        <f t="shared" si="695"/>
        <v>0</v>
      </c>
      <c r="BE148" s="292">
        <f t="shared" si="695"/>
        <v>0</v>
      </c>
      <c r="BF148" s="292">
        <f t="shared" ref="BF148:BG148" si="696">SUM(BF156,BF171,BF177,BF185,BF193,BF164)</f>
        <v>0</v>
      </c>
      <c r="BG148" s="292">
        <f t="shared" si="696"/>
        <v>0</v>
      </c>
      <c r="BH148" s="292">
        <f t="shared" ref="BH148:BL148" si="697">SUM(BH156,BH171,BH177,BH185,BH193,BH164)</f>
        <v>0</v>
      </c>
      <c r="BI148" s="292">
        <f t="shared" si="697"/>
        <v>0</v>
      </c>
      <c r="BJ148" s="292">
        <f t="shared" si="697"/>
        <v>0</v>
      </c>
      <c r="BK148" s="292">
        <f t="shared" si="697"/>
        <v>0</v>
      </c>
      <c r="BL148" s="292">
        <f t="shared" si="697"/>
        <v>0</v>
      </c>
      <c r="BM148" s="292">
        <f t="shared" ref="BM148:BN148" si="698">SUM(BM156,BM171,BM177,BM185,BM193,BM164)</f>
        <v>0</v>
      </c>
      <c r="BN148" s="292">
        <f t="shared" si="698"/>
        <v>0</v>
      </c>
      <c r="BO148" s="292">
        <f t="shared" ref="BO148:BS148" si="699">SUM(BO156,BO171,BO177,BO185,BO193,BO164)</f>
        <v>0</v>
      </c>
      <c r="BP148" s="292">
        <f t="shared" si="699"/>
        <v>0</v>
      </c>
      <c r="BQ148" s="292">
        <f t="shared" si="699"/>
        <v>0</v>
      </c>
      <c r="BR148" s="292">
        <f t="shared" si="699"/>
        <v>0</v>
      </c>
      <c r="BS148" s="292">
        <f t="shared" si="699"/>
        <v>0</v>
      </c>
      <c r="BT148" s="292">
        <f t="shared" ref="BT148:BU148" si="700">SUM(BT156,BT171,BT177,BT185,BT193,BT164)</f>
        <v>0</v>
      </c>
      <c r="BU148" s="292">
        <f t="shared" si="700"/>
        <v>0</v>
      </c>
      <c r="BV148" s="292">
        <f t="shared" ref="BV148:BY148" si="701">SUM(BV156,BV171,BV177,BV185,BV193,BV164)</f>
        <v>0</v>
      </c>
      <c r="BW148" s="292">
        <f t="shared" si="701"/>
        <v>0</v>
      </c>
      <c r="BX148" s="292">
        <f t="shared" si="701"/>
        <v>0</v>
      </c>
      <c r="BY148" s="292">
        <f t="shared" si="701"/>
        <v>0</v>
      </c>
      <c r="BZ148" s="292">
        <f t="shared" ref="BZ148:CA148" si="702">SUM(BZ156,BZ171,BZ177,BZ185,BZ193,BZ164)</f>
        <v>0</v>
      </c>
      <c r="CA148" s="292">
        <f t="shared" si="702"/>
        <v>0</v>
      </c>
      <c r="CB148" s="292">
        <f t="shared" ref="CB148:CC148" si="703">SUM(CB156,CB171,CB177,CB185,CB193,CB164)</f>
        <v>0</v>
      </c>
      <c r="CC148" s="292">
        <f t="shared" si="703"/>
        <v>0</v>
      </c>
      <c r="CD148" s="292">
        <f t="shared" ref="CD148" si="704">SUM(CD156,CD171,CD177,CD185,CD193,CD164)</f>
        <v>0</v>
      </c>
      <c r="CE148" s="292">
        <f>SUM(CE156,CE171,CE177,CE185,CE193,CE164)</f>
        <v>0</v>
      </c>
      <c r="CF148" s="292">
        <f t="shared" ref="CF148:CG148" si="705">SUM(CF156,CF171,CF177,CF185,CF193,CF164)</f>
        <v>0</v>
      </c>
      <c r="CG148" s="292">
        <f t="shared" si="705"/>
        <v>0</v>
      </c>
      <c r="CH148" s="292">
        <f t="shared" ref="CH148:CI148" si="706">SUM(CH156,CH171,CH177,CH185,CH193,CH164)</f>
        <v>0</v>
      </c>
      <c r="CI148" s="292">
        <f t="shared" si="706"/>
        <v>0</v>
      </c>
      <c r="CJ148" s="292">
        <v>0</v>
      </c>
      <c r="CK148" s="292">
        <f t="shared" ref="CK148" si="707">SUM(CK156,CK171,CK177,CK185,CK193,CK164)</f>
        <v>0</v>
      </c>
      <c r="CL148" s="292">
        <f t="shared" ref="CL148:CO148" si="708">SUM(CL156,CL171,CL177,CL185,CL193,CL164)</f>
        <v>0</v>
      </c>
      <c r="CM148" s="292">
        <f t="shared" si="708"/>
        <v>0</v>
      </c>
      <c r="CN148" s="292">
        <f t="shared" si="708"/>
        <v>0</v>
      </c>
      <c r="CO148" s="292">
        <f t="shared" si="708"/>
        <v>0</v>
      </c>
    </row>
    <row r="149" spans="1:93" s="289" customFormat="1" x14ac:dyDescent="0.25">
      <c r="A149" s="455" t="str">
        <f>Language!C120</f>
        <v>Concer</v>
      </c>
      <c r="B149" s="291">
        <f t="shared" ref="B149:AE149" si="709">SUM(B157,B172,B178,B186,B194)</f>
        <v>-21806</v>
      </c>
      <c r="C149" s="291">
        <f t="shared" si="709"/>
        <v>-22191</v>
      </c>
      <c r="D149" s="291">
        <f t="shared" si="709"/>
        <v>-27769</v>
      </c>
      <c r="E149" s="291">
        <f t="shared" si="709"/>
        <v>-25391</v>
      </c>
      <c r="F149" s="290">
        <f t="shared" si="709"/>
        <v>-23609</v>
      </c>
      <c r="G149" s="291">
        <f t="shared" si="709"/>
        <v>-24568</v>
      </c>
      <c r="H149" s="291">
        <f t="shared" si="709"/>
        <v>-27724</v>
      </c>
      <c r="I149" s="291">
        <f t="shared" si="709"/>
        <v>-34135</v>
      </c>
      <c r="J149" s="290">
        <f t="shared" si="709"/>
        <v>-31911</v>
      </c>
      <c r="K149" s="291">
        <f t="shared" si="709"/>
        <v>-32918</v>
      </c>
      <c r="L149" s="291">
        <f t="shared" si="709"/>
        <v>-33042</v>
      </c>
      <c r="M149" s="291">
        <f t="shared" si="709"/>
        <v>-44285</v>
      </c>
      <c r="N149" s="290">
        <f t="shared" si="709"/>
        <v>-45373</v>
      </c>
      <c r="O149" s="291">
        <f t="shared" si="709"/>
        <v>-84580</v>
      </c>
      <c r="P149" s="291">
        <f t="shared" si="709"/>
        <v>-94753</v>
      </c>
      <c r="Q149" s="291">
        <f t="shared" si="709"/>
        <v>-71705</v>
      </c>
      <c r="R149" s="290">
        <f t="shared" si="709"/>
        <v>-131791</v>
      </c>
      <c r="S149" s="291">
        <f t="shared" si="709"/>
        <v>-54983</v>
      </c>
      <c r="T149" s="291">
        <f t="shared" si="709"/>
        <v>-40097</v>
      </c>
      <c r="U149" s="291">
        <f t="shared" si="709"/>
        <v>-35967</v>
      </c>
      <c r="V149" s="291">
        <f t="shared" si="709"/>
        <v>-186774</v>
      </c>
      <c r="W149" s="292">
        <f t="shared" si="709"/>
        <v>-226871</v>
      </c>
      <c r="X149" s="293">
        <f t="shared" si="709"/>
        <v>-262838</v>
      </c>
      <c r="Y149" s="294">
        <f t="shared" si="709"/>
        <v>-44755</v>
      </c>
      <c r="Z149" s="292">
        <f t="shared" si="709"/>
        <v>-37885</v>
      </c>
      <c r="AA149" s="291">
        <f t="shared" si="709"/>
        <v>-28938</v>
      </c>
      <c r="AB149" s="291">
        <f t="shared" si="709"/>
        <v>-23848</v>
      </c>
      <c r="AC149" s="292">
        <f t="shared" si="709"/>
        <v>-82640</v>
      </c>
      <c r="AD149" s="292">
        <f t="shared" si="709"/>
        <v>-111578</v>
      </c>
      <c r="AE149" s="293">
        <f t="shared" si="709"/>
        <v>-135426</v>
      </c>
      <c r="AF149" s="292">
        <f>SUM(AF157,AF172,AF178,AF186,AF194,AF165)</f>
        <v>-29108.020676202861</v>
      </c>
      <c r="AG149" s="292">
        <f t="shared" si="584"/>
        <v>-73954.982811110356</v>
      </c>
      <c r="AH149" s="292">
        <f t="shared" si="320"/>
        <v>-33249.011578093166</v>
      </c>
      <c r="AI149" s="292">
        <f t="shared" si="321"/>
        <v>-35994.801039251557</v>
      </c>
      <c r="AJ149" s="292">
        <f>SUM(AJ157,AJ172,AJ178,AJ186,AJ194,AJ165)</f>
        <v>-103063.00348731322</v>
      </c>
      <c r="AK149" s="292">
        <f>SUM(AK157,AK172,AK178,AK186,AK194+AK165)</f>
        <v>-136312.01506540639</v>
      </c>
      <c r="AL149" s="292">
        <f t="shared" si="693"/>
        <v>-172306.81610465795</v>
      </c>
      <c r="AM149" s="292">
        <f t="shared" si="693"/>
        <v>-34785.045388290549</v>
      </c>
      <c r="AN149" s="292">
        <f t="shared" si="323"/>
        <v>-33032.452222475964</v>
      </c>
      <c r="AO149" s="292">
        <f t="shared" si="324"/>
        <v>-34135.449925523179</v>
      </c>
      <c r="AP149" s="292">
        <f t="shared" si="324"/>
        <v>-46093.935567578475</v>
      </c>
      <c r="AQ149" s="292">
        <f t="shared" si="694"/>
        <v>-67817.497610766513</v>
      </c>
      <c r="AR149" s="292">
        <f t="shared" si="694"/>
        <v>-101952.94753628969</v>
      </c>
      <c r="AS149" s="292">
        <f t="shared" si="694"/>
        <v>-148046.88310386817</v>
      </c>
      <c r="AT149" s="292">
        <f t="shared" si="694"/>
        <v>-70008.605599999995</v>
      </c>
      <c r="AU149" s="292">
        <f t="shared" si="694"/>
        <v>-71052.477600000013</v>
      </c>
      <c r="AV149" s="292">
        <f t="shared" si="694"/>
        <v>-74140.405199999994</v>
      </c>
      <c r="AW149" s="292">
        <f t="shared" si="419"/>
        <v>-79964.300799999997</v>
      </c>
      <c r="AX149" s="292">
        <f t="shared" si="695"/>
        <v>-141061.08320000002</v>
      </c>
      <c r="AY149" s="292">
        <f t="shared" si="695"/>
        <v>-215201.4884</v>
      </c>
      <c r="AZ149" s="292">
        <f t="shared" si="695"/>
        <v>-295165.7892</v>
      </c>
      <c r="BA149" s="292">
        <f t="shared" si="695"/>
        <v>-64558</v>
      </c>
      <c r="BB149" s="292">
        <f t="shared" si="695"/>
        <v>-50166</v>
      </c>
      <c r="BC149" s="292">
        <f t="shared" si="695"/>
        <v>-72192</v>
      </c>
      <c r="BD149" s="292">
        <f t="shared" si="695"/>
        <v>-81599</v>
      </c>
      <c r="BE149" s="292">
        <f t="shared" si="695"/>
        <v>-114724</v>
      </c>
      <c r="BF149" s="292">
        <f t="shared" ref="BF149:BG149" si="710">SUM(BF157,BF172,BF178,BF186,BF194,BF165)</f>
        <v>-186916</v>
      </c>
      <c r="BG149" s="292">
        <f t="shared" si="710"/>
        <v>-268515</v>
      </c>
      <c r="BH149" s="292">
        <f t="shared" ref="BH149:BL149" si="711">SUM(BH157,BH172,BH178,BH186,BH194,BH165)</f>
        <v>-81243</v>
      </c>
      <c r="BI149" s="292">
        <f t="shared" si="711"/>
        <v>-76730</v>
      </c>
      <c r="BJ149" s="292">
        <f t="shared" si="711"/>
        <v>-2423</v>
      </c>
      <c r="BK149" s="292">
        <f t="shared" si="711"/>
        <v>-45057</v>
      </c>
      <c r="BL149" s="292">
        <f t="shared" si="711"/>
        <v>-157973</v>
      </c>
      <c r="BM149" s="292">
        <f t="shared" ref="BM149:BN149" si="712">SUM(BM157,BM172,BM178,BM186,BM194,BM165)</f>
        <v>-160396</v>
      </c>
      <c r="BN149" s="292">
        <f t="shared" si="712"/>
        <v>-205453</v>
      </c>
      <c r="BO149" s="292">
        <f t="shared" ref="BO149:BS149" si="713">SUM(BO157,BO172,BO178,BO186,BO194,BO165)</f>
        <v>-42567</v>
      </c>
      <c r="BP149" s="292">
        <f t="shared" si="713"/>
        <v>-45410</v>
      </c>
      <c r="BQ149" s="292">
        <f t="shared" si="713"/>
        <v>-47269</v>
      </c>
      <c r="BR149" s="292">
        <f t="shared" si="713"/>
        <v>-48242</v>
      </c>
      <c r="BS149" s="292">
        <f t="shared" si="713"/>
        <v>-87977</v>
      </c>
      <c r="BT149" s="292">
        <f t="shared" ref="BT149:BU149" si="714">SUM(BT157,BT172,BT178,BT186,BT194,BT165)</f>
        <v>-135246</v>
      </c>
      <c r="BU149" s="292">
        <f t="shared" si="714"/>
        <v>-183488</v>
      </c>
      <c r="BV149" s="292">
        <f t="shared" ref="BV149:BY149" si="715">SUM(BV157,BV172,BV178,BV186,BV194,BV165)</f>
        <v>-46266</v>
      </c>
      <c r="BW149" s="292">
        <f t="shared" si="715"/>
        <v>-49419</v>
      </c>
      <c r="BX149" s="292">
        <f t="shared" si="715"/>
        <v>-49938</v>
      </c>
      <c r="BY149" s="292">
        <f t="shared" si="715"/>
        <v>-52077</v>
      </c>
      <c r="BZ149" s="292">
        <f t="shared" ref="BZ149:CA149" si="716">SUM(BZ157,BZ172,BZ178,BZ186,BZ194,BZ165)</f>
        <v>-95685</v>
      </c>
      <c r="CA149" s="292">
        <f t="shared" si="716"/>
        <v>-145623</v>
      </c>
      <c r="CB149" s="292">
        <f t="shared" ref="CB149:CC149" si="717">SUM(CB157,CB172,CB178,CB186,CB194,CB165)</f>
        <v>-197700</v>
      </c>
      <c r="CC149" s="292">
        <f t="shared" si="717"/>
        <v>-48911</v>
      </c>
      <c r="CD149" s="292">
        <f t="shared" ref="CD149" si="718">SUM(CD157,CD172,CD178,CD186,CD194,CD165)</f>
        <v>-56786</v>
      </c>
      <c r="CE149" s="292">
        <f>SUM(CE157,CE172,CE178,CE186,CE194,CE165)</f>
        <v>-55283</v>
      </c>
      <c r="CF149" s="292">
        <f t="shared" ref="CF149:CG149" si="719">SUM(CF157,CF172,CF178,CF186,CF194,CF165)</f>
        <v>-56620</v>
      </c>
      <c r="CG149" s="292">
        <f t="shared" si="719"/>
        <v>-105697</v>
      </c>
      <c r="CH149" s="292">
        <f t="shared" ref="CH149:CI149" si="720">SUM(CH157,CH172,CH178,CH186,CH194,CH165)</f>
        <v>-160980</v>
      </c>
      <c r="CI149" s="292">
        <f t="shared" si="720"/>
        <v>-217600</v>
      </c>
      <c r="CJ149" s="292">
        <v>-50091</v>
      </c>
      <c r="CK149" s="292">
        <f t="shared" ref="CK149" si="721">SUM(CK157,CK172,CK178,CK186,CK194,CK165)</f>
        <v>-79419</v>
      </c>
      <c r="CL149" s="292">
        <f t="shared" ref="CL149:CO149" si="722">SUM(CL157,CL172,CL178,CL186,CL194,CL165)</f>
        <v>0</v>
      </c>
      <c r="CM149" s="292">
        <f t="shared" si="722"/>
        <v>0</v>
      </c>
      <c r="CN149" s="292">
        <f t="shared" si="722"/>
        <v>-129510</v>
      </c>
      <c r="CO149" s="292">
        <f t="shared" si="722"/>
        <v>0</v>
      </c>
    </row>
    <row r="150" spans="1:93" s="289" customFormat="1" x14ac:dyDescent="0.25">
      <c r="A150" s="455" t="str">
        <f>Language!C121</f>
        <v>Econorte</v>
      </c>
      <c r="B150" s="291">
        <f t="shared" ref="B150:AE150" si="723">SUM(B158,B173,B179,B187,B195)</f>
        <v>-16880</v>
      </c>
      <c r="C150" s="291">
        <f t="shared" si="723"/>
        <v>-20586</v>
      </c>
      <c r="D150" s="291">
        <f t="shared" si="723"/>
        <v>-19026</v>
      </c>
      <c r="E150" s="291">
        <f t="shared" si="723"/>
        <v>-20064</v>
      </c>
      <c r="F150" s="290">
        <f t="shared" si="723"/>
        <v>-19627</v>
      </c>
      <c r="G150" s="291">
        <f t="shared" si="723"/>
        <v>-22357</v>
      </c>
      <c r="H150" s="291">
        <f t="shared" si="723"/>
        <v>-21023</v>
      </c>
      <c r="I150" s="291">
        <f t="shared" si="723"/>
        <v>-29584</v>
      </c>
      <c r="J150" s="290">
        <f t="shared" si="723"/>
        <v>-21868</v>
      </c>
      <c r="K150" s="291">
        <f t="shared" si="723"/>
        <v>-24926</v>
      </c>
      <c r="L150" s="291">
        <f t="shared" si="723"/>
        <v>-31639</v>
      </c>
      <c r="M150" s="291">
        <f t="shared" si="723"/>
        <v>-50021</v>
      </c>
      <c r="N150" s="290">
        <f t="shared" si="723"/>
        <v>-42251</v>
      </c>
      <c r="O150" s="291">
        <f t="shared" si="723"/>
        <v>-39122</v>
      </c>
      <c r="P150" s="291">
        <f t="shared" si="723"/>
        <v>-39791</v>
      </c>
      <c r="Q150" s="291">
        <f t="shared" si="723"/>
        <v>-31555</v>
      </c>
      <c r="R150" s="290">
        <f t="shared" si="723"/>
        <v>-25017</v>
      </c>
      <c r="S150" s="291">
        <f t="shared" si="723"/>
        <v>-31229</v>
      </c>
      <c r="T150" s="291">
        <f t="shared" si="723"/>
        <v>-31108</v>
      </c>
      <c r="U150" s="291">
        <f t="shared" si="723"/>
        <v>-28951</v>
      </c>
      <c r="V150" s="291">
        <f t="shared" si="723"/>
        <v>-56246</v>
      </c>
      <c r="W150" s="292">
        <f t="shared" si="723"/>
        <v>-87354</v>
      </c>
      <c r="X150" s="293">
        <f t="shared" si="723"/>
        <v>-116305</v>
      </c>
      <c r="Y150" s="294">
        <f t="shared" si="723"/>
        <v>-30320</v>
      </c>
      <c r="Z150" s="292">
        <f t="shared" si="723"/>
        <v>-30969</v>
      </c>
      <c r="AA150" s="291">
        <f t="shared" si="723"/>
        <v>-33702</v>
      </c>
      <c r="AB150" s="291">
        <f t="shared" si="723"/>
        <v>-30540</v>
      </c>
      <c r="AC150" s="292">
        <f t="shared" si="723"/>
        <v>-61289</v>
      </c>
      <c r="AD150" s="292">
        <f t="shared" si="723"/>
        <v>-94991</v>
      </c>
      <c r="AE150" s="293">
        <f t="shared" si="723"/>
        <v>-125531</v>
      </c>
      <c r="AF150" s="292">
        <f>SUM(AF158,AF173,AF179,AF187,AF195,AF166)</f>
        <v>-35203.59241439098</v>
      </c>
      <c r="AG150" s="292">
        <f t="shared" si="584"/>
        <v>-35285.293673609354</v>
      </c>
      <c r="AH150" s="292">
        <f t="shared" si="320"/>
        <v>-43234.083340461599</v>
      </c>
      <c r="AI150" s="292">
        <f t="shared" si="321"/>
        <v>-37737.951139320954</v>
      </c>
      <c r="AJ150" s="292">
        <f>SUM(AJ158,AJ173,AJ179,AJ187,AJ195,AJ166)</f>
        <v>-70488.886088000334</v>
      </c>
      <c r="AK150" s="292">
        <f>SUM(AK158,AK173,AK179,AK187,AK195+AK166)</f>
        <v>-113722.96942846193</v>
      </c>
      <c r="AL150" s="292">
        <f t="shared" si="693"/>
        <v>-151460.92056778289</v>
      </c>
      <c r="AM150" s="292">
        <f t="shared" si="693"/>
        <v>-31999.050206494452</v>
      </c>
      <c r="AN150" s="292">
        <f t="shared" si="323"/>
        <v>-31270.580809161991</v>
      </c>
      <c r="AO150" s="292">
        <f t="shared" si="324"/>
        <v>-36406.643565663879</v>
      </c>
      <c r="AP150" s="292">
        <f t="shared" si="324"/>
        <v>-49295.803802700335</v>
      </c>
      <c r="AQ150" s="292">
        <f t="shared" si="694"/>
        <v>-63269.631015656443</v>
      </c>
      <c r="AR150" s="292">
        <f t="shared" si="694"/>
        <v>-99676.274581320322</v>
      </c>
      <c r="AS150" s="292">
        <f t="shared" si="694"/>
        <v>-148972.07838402066</v>
      </c>
      <c r="AT150" s="292">
        <f t="shared" si="694"/>
        <v>-30040</v>
      </c>
      <c r="AU150" s="292">
        <f t="shared" si="694"/>
        <v>-22448</v>
      </c>
      <c r="AV150" s="292">
        <f t="shared" si="694"/>
        <v>-27072</v>
      </c>
      <c r="AW150" s="292">
        <f t="shared" si="419"/>
        <v>-46213</v>
      </c>
      <c r="AX150" s="292">
        <f t="shared" si="695"/>
        <v>-52488</v>
      </c>
      <c r="AY150" s="292">
        <f t="shared" si="695"/>
        <v>-79560</v>
      </c>
      <c r="AZ150" s="292">
        <f t="shared" si="695"/>
        <v>-125773</v>
      </c>
      <c r="BA150" s="292">
        <f t="shared" si="695"/>
        <v>-42792</v>
      </c>
      <c r="BB150" s="292">
        <f t="shared" si="695"/>
        <v>-46383</v>
      </c>
      <c r="BC150" s="292">
        <f t="shared" si="695"/>
        <v>-46362</v>
      </c>
      <c r="BD150" s="292">
        <f t="shared" si="695"/>
        <v>-61928</v>
      </c>
      <c r="BE150" s="292">
        <f t="shared" si="695"/>
        <v>-89175</v>
      </c>
      <c r="BF150" s="292">
        <f t="shared" ref="BF150:BG150" si="724">SUM(BF158,BF173,BF179,BF187,BF195,BF166)</f>
        <v>-135537</v>
      </c>
      <c r="BG150" s="292">
        <f t="shared" si="724"/>
        <v>-197465</v>
      </c>
      <c r="BH150" s="292">
        <f t="shared" ref="BH150:BL150" si="725">SUM(BH158,BH173,BH179,BH187,BH195,BH166)</f>
        <v>-61177</v>
      </c>
      <c r="BI150" s="292">
        <f t="shared" si="725"/>
        <v>-83737</v>
      </c>
      <c r="BJ150" s="292">
        <f t="shared" si="725"/>
        <v>-98822</v>
      </c>
      <c r="BK150" s="292">
        <f t="shared" si="725"/>
        <v>-87955</v>
      </c>
      <c r="BL150" s="292">
        <f t="shared" si="725"/>
        <v>-144914</v>
      </c>
      <c r="BM150" s="292">
        <f t="shared" ref="BM150:BN150" si="726">SUM(BM158,BM173,BM179,BM187,BM195,BM166)</f>
        <v>-243736</v>
      </c>
      <c r="BN150" s="292">
        <f t="shared" si="726"/>
        <v>-331691</v>
      </c>
      <c r="BO150" s="292">
        <f t="shared" ref="BO150:BS150" si="727">SUM(BO158,BO173,BO179,BO187,BO195,BO166)</f>
        <v>-4366</v>
      </c>
      <c r="BP150" s="292">
        <f t="shared" si="727"/>
        <v>909</v>
      </c>
      <c r="BQ150" s="292">
        <f t="shared" si="727"/>
        <v>-367</v>
      </c>
      <c r="BR150" s="292">
        <f t="shared" si="727"/>
        <v>-255</v>
      </c>
      <c r="BS150" s="292">
        <f t="shared" si="727"/>
        <v>-3457</v>
      </c>
      <c r="BT150" s="292">
        <f t="shared" ref="BT150:BU150" si="728">SUM(BT158,BT173,BT179,BT187,BT195,BT166)</f>
        <v>-3824</v>
      </c>
      <c r="BU150" s="292">
        <f t="shared" si="728"/>
        <v>-4079</v>
      </c>
      <c r="BV150" s="292">
        <f t="shared" ref="BV150:BY150" si="729">SUM(BV158,BV173,BV179,BV187,BV195,BV166)</f>
        <v>0</v>
      </c>
      <c r="BW150" s="292">
        <f t="shared" si="729"/>
        <v>0</v>
      </c>
      <c r="BX150" s="292">
        <f t="shared" si="729"/>
        <v>-24</v>
      </c>
      <c r="BY150" s="292">
        <f t="shared" si="729"/>
        <v>-7</v>
      </c>
      <c r="BZ150" s="292">
        <f t="shared" ref="BZ150:CA150" si="730">SUM(BZ158,BZ173,BZ179,BZ187,BZ195,BZ166)</f>
        <v>0</v>
      </c>
      <c r="CA150" s="292">
        <f t="shared" si="730"/>
        <v>-24</v>
      </c>
      <c r="CB150" s="292">
        <f t="shared" ref="CB150:CC150" si="731">SUM(CB158,CB173,CB179,CB187,CB195,CB166)</f>
        <v>-31</v>
      </c>
      <c r="CC150" s="292">
        <f t="shared" si="731"/>
        <v>0</v>
      </c>
      <c r="CD150" s="292">
        <f t="shared" ref="CD150" si="732">SUM(CD158,CD173,CD179,CD187,CD195,CD166)</f>
        <v>0</v>
      </c>
      <c r="CE150" s="292">
        <f t="shared" ref="CE150:CG150" si="733">SUM(CE158,CE173,CE179,CE187,CE195,CE166)</f>
        <v>0</v>
      </c>
      <c r="CF150" s="292">
        <f t="shared" si="733"/>
        <v>0</v>
      </c>
      <c r="CG150" s="292">
        <f t="shared" si="733"/>
        <v>0</v>
      </c>
      <c r="CH150" s="292">
        <f t="shared" ref="CH150:CI150" si="734">SUM(CH158,CH173,CH179,CH187,CH195,CH166)</f>
        <v>0</v>
      </c>
      <c r="CI150" s="292">
        <f t="shared" si="734"/>
        <v>0</v>
      </c>
      <c r="CJ150" s="292">
        <v>0</v>
      </c>
      <c r="CK150" s="292">
        <f t="shared" ref="CK150" si="735">SUM(CK158,CK173,CK179,CK187,CK195,CK166)</f>
        <v>0</v>
      </c>
      <c r="CL150" s="292">
        <f t="shared" ref="CL150:CO150" si="736">SUM(CL158,CL173,CL179,CL187,CL195,CL166)</f>
        <v>0</v>
      </c>
      <c r="CM150" s="292">
        <f t="shared" si="736"/>
        <v>0</v>
      </c>
      <c r="CN150" s="292">
        <f t="shared" si="736"/>
        <v>0</v>
      </c>
      <c r="CO150" s="292">
        <f t="shared" si="736"/>
        <v>0</v>
      </c>
    </row>
    <row r="151" spans="1:93" s="289" customFormat="1" x14ac:dyDescent="0.25">
      <c r="A151" s="455" t="str">
        <f>Language!C122</f>
        <v>Concebra</v>
      </c>
      <c r="B151" s="291">
        <f t="shared" ref="B151:AE151" si="737">SUM(B159,B174,B180,B188,B196)</f>
        <v>0</v>
      </c>
      <c r="C151" s="291">
        <f t="shared" si="737"/>
        <v>0</v>
      </c>
      <c r="D151" s="291">
        <f t="shared" si="737"/>
        <v>0</v>
      </c>
      <c r="E151" s="291">
        <f t="shared" si="737"/>
        <v>0</v>
      </c>
      <c r="F151" s="290">
        <f t="shared" si="737"/>
        <v>0</v>
      </c>
      <c r="G151" s="291">
        <f t="shared" si="737"/>
        <v>0</v>
      </c>
      <c r="H151" s="291">
        <f t="shared" si="737"/>
        <v>0</v>
      </c>
      <c r="I151" s="291">
        <f t="shared" si="737"/>
        <v>0</v>
      </c>
      <c r="J151" s="290">
        <f t="shared" si="737"/>
        <v>0</v>
      </c>
      <c r="K151" s="291">
        <f t="shared" si="737"/>
        <v>0</v>
      </c>
      <c r="L151" s="291">
        <f t="shared" si="737"/>
        <v>0</v>
      </c>
      <c r="M151" s="291">
        <f t="shared" si="737"/>
        <v>0</v>
      </c>
      <c r="N151" s="290">
        <f t="shared" si="737"/>
        <v>0</v>
      </c>
      <c r="O151" s="291">
        <f t="shared" si="737"/>
        <v>-87523</v>
      </c>
      <c r="P151" s="291">
        <f t="shared" si="737"/>
        <v>-93111</v>
      </c>
      <c r="Q151" s="291">
        <f t="shared" si="737"/>
        <v>-236860</v>
      </c>
      <c r="R151" s="290">
        <f t="shared" si="737"/>
        <v>-134175</v>
      </c>
      <c r="S151" s="291">
        <f t="shared" si="737"/>
        <v>-220765</v>
      </c>
      <c r="T151" s="291">
        <f t="shared" si="737"/>
        <v>-191563</v>
      </c>
      <c r="U151" s="291">
        <f t="shared" si="737"/>
        <v>-178375</v>
      </c>
      <c r="V151" s="291">
        <f t="shared" si="737"/>
        <v>-354940</v>
      </c>
      <c r="W151" s="292">
        <f t="shared" si="737"/>
        <v>-546503</v>
      </c>
      <c r="X151" s="293">
        <f t="shared" si="737"/>
        <v>-724878</v>
      </c>
      <c r="Y151" s="294">
        <f t="shared" si="737"/>
        <v>-93331</v>
      </c>
      <c r="Z151" s="292">
        <f t="shared" si="737"/>
        <v>-87625</v>
      </c>
      <c r="AA151" s="291">
        <f t="shared" si="737"/>
        <v>-73082</v>
      </c>
      <c r="AB151" s="291">
        <f t="shared" si="737"/>
        <v>-120665</v>
      </c>
      <c r="AC151" s="292">
        <f t="shared" si="737"/>
        <v>-180956</v>
      </c>
      <c r="AD151" s="292">
        <f t="shared" si="737"/>
        <v>-254038</v>
      </c>
      <c r="AE151" s="293">
        <f t="shared" si="737"/>
        <v>-374703</v>
      </c>
      <c r="AF151" s="292">
        <f>SUM(AF159,AF174,AF180,AF188,AF196,AF167)</f>
        <v>-62106.585435630688</v>
      </c>
      <c r="AG151" s="292">
        <f t="shared" si="584"/>
        <v>-64085.585111577391</v>
      </c>
      <c r="AH151" s="292">
        <f t="shared" si="320"/>
        <v>-95714.958566107933</v>
      </c>
      <c r="AI151" s="292">
        <f t="shared" si="321"/>
        <v>-106212.18010660243</v>
      </c>
      <c r="AJ151" s="292">
        <f>SUM(AJ159,AJ174,AJ180,AJ188,AJ196,AJ167)</f>
        <v>-126192.17054720808</v>
      </c>
      <c r="AK151" s="292">
        <f>SUM(AK159,AK174,AK180,AK188,AK196+AK167)</f>
        <v>-221907.12911331601</v>
      </c>
      <c r="AL151" s="292">
        <f t="shared" si="693"/>
        <v>-328119.30921991845</v>
      </c>
      <c r="AM151" s="292">
        <f t="shared" si="693"/>
        <v>-77944.43400275326</v>
      </c>
      <c r="AN151" s="292">
        <f t="shared" si="323"/>
        <v>-78409.976511938206</v>
      </c>
      <c r="AO151" s="292">
        <f t="shared" si="324"/>
        <v>-66724.497859147348</v>
      </c>
      <c r="AP151" s="292">
        <f t="shared" si="324"/>
        <v>-80181.868833356129</v>
      </c>
      <c r="AQ151" s="292">
        <f t="shared" si="694"/>
        <v>-156354.41051469147</v>
      </c>
      <c r="AR151" s="292">
        <f t="shared" si="694"/>
        <v>-223078.90837383881</v>
      </c>
      <c r="AS151" s="292">
        <f t="shared" si="694"/>
        <v>-303260.77720719494</v>
      </c>
      <c r="AT151" s="292">
        <f t="shared" si="694"/>
        <v>-62649</v>
      </c>
      <c r="AU151" s="292">
        <f t="shared" si="694"/>
        <v>-64867</v>
      </c>
      <c r="AV151" s="292">
        <f t="shared" si="694"/>
        <v>-75378</v>
      </c>
      <c r="AW151" s="292">
        <f t="shared" si="419"/>
        <v>-72352</v>
      </c>
      <c r="AX151" s="292">
        <f t="shared" si="695"/>
        <v>-127516</v>
      </c>
      <c r="AY151" s="292">
        <f t="shared" si="695"/>
        <v>-202894</v>
      </c>
      <c r="AZ151" s="292">
        <f t="shared" si="695"/>
        <v>-275246</v>
      </c>
      <c r="BA151" s="292">
        <f t="shared" si="695"/>
        <v>-59271</v>
      </c>
      <c r="BB151" s="292">
        <f t="shared" si="695"/>
        <v>-66646</v>
      </c>
      <c r="BC151" s="292">
        <f t="shared" si="695"/>
        <v>-72982</v>
      </c>
      <c r="BD151" s="292">
        <f t="shared" si="695"/>
        <v>-58652</v>
      </c>
      <c r="BE151" s="292">
        <f t="shared" si="695"/>
        <v>-125917</v>
      </c>
      <c r="BF151" s="292">
        <f t="shared" ref="BF151:BG151" si="738">SUM(BF159,BF174,BF180,BF188,BF196,BF167)</f>
        <v>-198899</v>
      </c>
      <c r="BG151" s="292">
        <f t="shared" si="738"/>
        <v>-257551</v>
      </c>
      <c r="BH151" s="292">
        <f t="shared" ref="BH151:BL151" si="739">SUM(BH159,BH174,BH180,BH188,BH196,BH167)</f>
        <v>-53993</v>
      </c>
      <c r="BI151" s="292">
        <f t="shared" si="739"/>
        <v>-57162</v>
      </c>
      <c r="BJ151" s="292">
        <f t="shared" si="739"/>
        <v>-41048</v>
      </c>
      <c r="BK151" s="292">
        <f t="shared" si="739"/>
        <v>-48073</v>
      </c>
      <c r="BL151" s="292">
        <f t="shared" si="739"/>
        <v>-111155</v>
      </c>
      <c r="BM151" s="292">
        <f t="shared" ref="BM151:BN151" si="740">SUM(BM159,BM174,BM180,BM188,BM196,BM167)</f>
        <v>-152203</v>
      </c>
      <c r="BN151" s="292">
        <f t="shared" si="740"/>
        <v>-200276</v>
      </c>
      <c r="BO151" s="292">
        <f t="shared" ref="BO151:BS151" si="741">SUM(BO159,BO174,BO180,BO188,BO196,BO167)</f>
        <v>-61208</v>
      </c>
      <c r="BP151" s="292">
        <f t="shared" si="741"/>
        <v>-88875</v>
      </c>
      <c r="BQ151" s="292">
        <f t="shared" si="741"/>
        <v>-110925</v>
      </c>
      <c r="BR151" s="292">
        <f t="shared" si="741"/>
        <v>-115662</v>
      </c>
      <c r="BS151" s="292">
        <f t="shared" si="741"/>
        <v>-150083</v>
      </c>
      <c r="BT151" s="292">
        <f t="shared" ref="BT151:BU151" si="742">SUM(BT159,BT174,BT180,BT188,BT196,BT167)</f>
        <v>-261008</v>
      </c>
      <c r="BU151" s="292">
        <f t="shared" si="742"/>
        <v>-376670</v>
      </c>
      <c r="BV151" s="292">
        <f t="shared" ref="BV151:BY151" si="743">SUM(BV159,BV174,BV180,BV188,BV196,BV167)</f>
        <v>-113423</v>
      </c>
      <c r="BW151" s="292">
        <f t="shared" si="743"/>
        <v>-101309</v>
      </c>
      <c r="BX151" s="292">
        <f t="shared" si="743"/>
        <v>-114641</v>
      </c>
      <c r="BY151" s="292">
        <f t="shared" si="743"/>
        <v>-79348</v>
      </c>
      <c r="BZ151" s="292">
        <f t="shared" ref="BZ151:CA151" si="744">SUM(BZ159,BZ174,BZ180,BZ188,BZ196,BZ167)</f>
        <v>-214732</v>
      </c>
      <c r="CA151" s="292">
        <f t="shared" si="744"/>
        <v>-329373</v>
      </c>
      <c r="CB151" s="292">
        <f t="shared" ref="CB151:CC151" si="745">SUM(CB159,CB174,CB180,CB188,CB196,CB167)</f>
        <v>-408721</v>
      </c>
      <c r="CC151" s="292">
        <f t="shared" si="745"/>
        <v>-101094</v>
      </c>
      <c r="CD151" s="292">
        <f t="shared" ref="CD151" si="746">SUM(CD159,CD174,CD180,CD188,CD196,CD167)</f>
        <v>-133483</v>
      </c>
      <c r="CE151" s="292">
        <f t="shared" ref="CE151:CG151" si="747">SUM(CE159,CE174,CE180,CE188,CE196,CE167)</f>
        <v>-126964</v>
      </c>
      <c r="CF151" s="292">
        <f t="shared" si="747"/>
        <v>-84270</v>
      </c>
      <c r="CG151" s="292">
        <f t="shared" si="747"/>
        <v>-234577</v>
      </c>
      <c r="CH151" s="292">
        <f t="shared" ref="CH151:CI151" si="748">SUM(CH159,CH174,CH180,CH188,CH196,CH167)</f>
        <v>-361541</v>
      </c>
      <c r="CI151" s="292">
        <f t="shared" si="748"/>
        <v>-445811</v>
      </c>
      <c r="CJ151" s="292">
        <v>-79161</v>
      </c>
      <c r="CK151" s="292">
        <f t="shared" ref="CK151" si="749">SUM(CK159,CK174,CK180,CK188,CK196,CK167)</f>
        <v>-70237</v>
      </c>
      <c r="CL151" s="292">
        <f t="shared" ref="CL151:CO151" si="750">SUM(CL159,CL174,CL180,CL188,CL196,CL167)</f>
        <v>0</v>
      </c>
      <c r="CM151" s="292">
        <f t="shared" si="750"/>
        <v>0</v>
      </c>
      <c r="CN151" s="292">
        <f t="shared" si="750"/>
        <v>-149398</v>
      </c>
      <c r="CO151" s="292">
        <f t="shared" si="750"/>
        <v>0</v>
      </c>
    </row>
    <row r="152" spans="1:93" s="289" customFormat="1" x14ac:dyDescent="0.25">
      <c r="A152" s="455" t="str">
        <f>Language!C123</f>
        <v>Transbrasiliana</v>
      </c>
      <c r="B152" s="291">
        <f t="shared" ref="B152:AE152" si="751">SUM(B160,B175,B181,B189,B197)</f>
        <v>0</v>
      </c>
      <c r="C152" s="291">
        <f t="shared" si="751"/>
        <v>0</v>
      </c>
      <c r="D152" s="291">
        <f t="shared" si="751"/>
        <v>0</v>
      </c>
      <c r="E152" s="291">
        <f t="shared" si="751"/>
        <v>0</v>
      </c>
      <c r="F152" s="290">
        <f t="shared" si="751"/>
        <v>0</v>
      </c>
      <c r="G152" s="291">
        <f t="shared" si="751"/>
        <v>0</v>
      </c>
      <c r="H152" s="291">
        <f t="shared" si="751"/>
        <v>0</v>
      </c>
      <c r="I152" s="291">
        <f t="shared" si="751"/>
        <v>0</v>
      </c>
      <c r="J152" s="290">
        <f t="shared" si="751"/>
        <v>0</v>
      </c>
      <c r="K152" s="291">
        <f t="shared" si="751"/>
        <v>0</v>
      </c>
      <c r="L152" s="291">
        <f t="shared" si="751"/>
        <v>0</v>
      </c>
      <c r="M152" s="291">
        <f t="shared" si="751"/>
        <v>0</v>
      </c>
      <c r="N152" s="290">
        <f t="shared" si="751"/>
        <v>0</v>
      </c>
      <c r="O152" s="291">
        <f t="shared" si="751"/>
        <v>0</v>
      </c>
      <c r="P152" s="291">
        <f t="shared" si="751"/>
        <v>0</v>
      </c>
      <c r="Q152" s="291">
        <f t="shared" si="751"/>
        <v>0</v>
      </c>
      <c r="R152" s="290">
        <f t="shared" si="751"/>
        <v>-27010</v>
      </c>
      <c r="S152" s="291">
        <f t="shared" si="751"/>
        <v>-27738</v>
      </c>
      <c r="T152" s="291">
        <f t="shared" si="751"/>
        <v>-28763</v>
      </c>
      <c r="U152" s="291">
        <f t="shared" si="751"/>
        <v>-61911</v>
      </c>
      <c r="V152" s="291">
        <f t="shared" si="751"/>
        <v>-54748</v>
      </c>
      <c r="W152" s="292">
        <f t="shared" si="751"/>
        <v>-83511</v>
      </c>
      <c r="X152" s="293">
        <f t="shared" si="751"/>
        <v>-145422</v>
      </c>
      <c r="Y152" s="294">
        <f t="shared" si="751"/>
        <v>-28539</v>
      </c>
      <c r="Z152" s="292">
        <f t="shared" si="751"/>
        <v>-27173</v>
      </c>
      <c r="AA152" s="291">
        <f t="shared" si="751"/>
        <v>-22736</v>
      </c>
      <c r="AB152" s="291">
        <f t="shared" si="751"/>
        <v>-7195</v>
      </c>
      <c r="AC152" s="292">
        <f t="shared" si="751"/>
        <v>-55712</v>
      </c>
      <c r="AD152" s="292">
        <f t="shared" si="751"/>
        <v>-78448</v>
      </c>
      <c r="AE152" s="293">
        <f t="shared" si="751"/>
        <v>-85643</v>
      </c>
      <c r="AF152" s="292">
        <f>SUM(AF160,AF175,AF181,AF189,AF197,AF168)</f>
        <v>-15664.674259699481</v>
      </c>
      <c r="AG152" s="292">
        <f t="shared" si="584"/>
        <v>-15291.823582914425</v>
      </c>
      <c r="AH152" s="292">
        <f t="shared" si="320"/>
        <v>-17263.390660120982</v>
      </c>
      <c r="AI152" s="292">
        <f t="shared" si="321"/>
        <v>-23366.268967214535</v>
      </c>
      <c r="AJ152" s="292">
        <f>SUM(AJ160,AJ175,AJ181,AJ189,AJ197,AJ168)</f>
        <v>-30956.497842613906</v>
      </c>
      <c r="AK152" s="292">
        <f>SUM(AK160,AK175,AK181,AK189,AK197+AK168)</f>
        <v>-48219.888502734888</v>
      </c>
      <c r="AL152" s="292">
        <f t="shared" si="693"/>
        <v>-71586.157469949423</v>
      </c>
      <c r="AM152" s="292">
        <f t="shared" si="693"/>
        <v>-21195.514292655276</v>
      </c>
      <c r="AN152" s="292">
        <f t="shared" si="323"/>
        <v>-28964.380601712739</v>
      </c>
      <c r="AO152" s="292">
        <f t="shared" si="324"/>
        <v>-25658.175472105955</v>
      </c>
      <c r="AP152" s="292">
        <f t="shared" si="324"/>
        <v>-31061.372371448029</v>
      </c>
      <c r="AQ152" s="292">
        <f t="shared" si="694"/>
        <v>-50159.894894368015</v>
      </c>
      <c r="AR152" s="292">
        <f t="shared" si="694"/>
        <v>-75818.07036647397</v>
      </c>
      <c r="AS152" s="292">
        <f t="shared" si="694"/>
        <v>-106879.442737922</v>
      </c>
      <c r="AT152" s="292">
        <f t="shared" si="694"/>
        <v>-23390</v>
      </c>
      <c r="AU152" s="292">
        <f t="shared" si="694"/>
        <v>-26195</v>
      </c>
      <c r="AV152" s="292">
        <f t="shared" si="694"/>
        <v>-27830</v>
      </c>
      <c r="AW152" s="292">
        <f t="shared" si="419"/>
        <v>-30593</v>
      </c>
      <c r="AX152" s="515">
        <f t="shared" si="695"/>
        <v>-49585</v>
      </c>
      <c r="AY152" s="292">
        <f t="shared" si="695"/>
        <v>-77415</v>
      </c>
      <c r="AZ152" s="292">
        <f t="shared" si="695"/>
        <v>-108008</v>
      </c>
      <c r="BA152" s="292">
        <f t="shared" si="695"/>
        <v>-27514</v>
      </c>
      <c r="BB152" s="292">
        <f t="shared" si="695"/>
        <v>-21817</v>
      </c>
      <c r="BC152" s="292">
        <f t="shared" si="695"/>
        <v>-24471</v>
      </c>
      <c r="BD152" s="292">
        <f t="shared" si="695"/>
        <v>-25644</v>
      </c>
      <c r="BE152" s="292">
        <f t="shared" si="695"/>
        <v>-49331</v>
      </c>
      <c r="BF152" s="292">
        <f t="shared" ref="BF152:BG152" si="752">SUM(BF160,BF175,BF181,BF189,BF197,BF168)</f>
        <v>-73802</v>
      </c>
      <c r="BG152" s="292">
        <f t="shared" si="752"/>
        <v>-99446</v>
      </c>
      <c r="BH152" s="292">
        <f t="shared" ref="BH152:BL152" si="753">SUM(BH160,BH175,BH181,BH189,BH197,BH168)</f>
        <v>-25343</v>
      </c>
      <c r="BI152" s="292">
        <f t="shared" si="753"/>
        <v>-27163</v>
      </c>
      <c r="BJ152" s="292">
        <f t="shared" si="753"/>
        <v>-40321</v>
      </c>
      <c r="BK152" s="292">
        <f t="shared" si="753"/>
        <v>-39924</v>
      </c>
      <c r="BL152" s="292">
        <f t="shared" si="753"/>
        <v>-52506</v>
      </c>
      <c r="BM152" s="292">
        <f t="shared" ref="BM152:BN152" si="754">SUM(BM160,BM175,BM181,BM189,BM197,BM168)</f>
        <v>-92827</v>
      </c>
      <c r="BN152" s="292">
        <f t="shared" si="754"/>
        <v>-132751</v>
      </c>
      <c r="BO152" s="292">
        <f t="shared" ref="BO152:BS152" si="755">SUM(BO160,BO175,BO181,BO189,BO197,BO168)</f>
        <v>-40425</v>
      </c>
      <c r="BP152" s="292">
        <f t="shared" si="755"/>
        <v>-47377</v>
      </c>
      <c r="BQ152" s="292">
        <f t="shared" si="755"/>
        <v>-52922</v>
      </c>
      <c r="BR152" s="292">
        <f t="shared" si="755"/>
        <v>-44882</v>
      </c>
      <c r="BS152" s="292">
        <f t="shared" si="755"/>
        <v>-87802</v>
      </c>
      <c r="BT152" s="292">
        <f t="shared" ref="BT152:BU152" si="756">SUM(BT160,BT175,BT181,BT189,BT197,BT168)</f>
        <v>-140724</v>
      </c>
      <c r="BU152" s="292">
        <f t="shared" si="756"/>
        <v>-185606</v>
      </c>
      <c r="BV152" s="292">
        <f t="shared" ref="BV152:BY152" si="757">SUM(BV160,BV175,BV181,BV189,BV197,BV168)</f>
        <v>-44205</v>
      </c>
      <c r="BW152" s="292">
        <f t="shared" si="757"/>
        <v>-45167</v>
      </c>
      <c r="BX152" s="292">
        <f t="shared" si="757"/>
        <v>-49073</v>
      </c>
      <c r="BY152" s="292">
        <f t="shared" si="757"/>
        <v>-44885</v>
      </c>
      <c r="BZ152" s="292">
        <f t="shared" ref="BZ152:CA152" si="758">SUM(BZ160,BZ175,BZ181,BZ189,BZ197,BZ168)</f>
        <v>-89372</v>
      </c>
      <c r="CA152" s="292">
        <f t="shared" si="758"/>
        <v>-138445</v>
      </c>
      <c r="CB152" s="292">
        <f t="shared" ref="CB152:CC152" si="759">SUM(CB160,CB175,CB181,CB189,CB197,CB168)</f>
        <v>-183330</v>
      </c>
      <c r="CC152" s="292">
        <f t="shared" si="759"/>
        <v>-37526</v>
      </c>
      <c r="CD152" s="292">
        <f t="shared" ref="CD152" si="760">SUM(CD160,CD175,CD181,CD189,CD197,CD168)</f>
        <v>-38522</v>
      </c>
      <c r="CE152" s="292">
        <f t="shared" ref="CE152:CG152" si="761">SUM(CE160,CE175,CE181,CE189,CE197,CE168)</f>
        <v>-45439</v>
      </c>
      <c r="CF152" s="292">
        <f t="shared" si="761"/>
        <v>-37039</v>
      </c>
      <c r="CG152" s="292">
        <f t="shared" si="761"/>
        <v>-76048</v>
      </c>
      <c r="CH152" s="292">
        <f t="shared" ref="CH152:CI152" si="762">SUM(CH160,CH175,CH181,CH189,CH197,CH168)</f>
        <v>-121487</v>
      </c>
      <c r="CI152" s="292">
        <f t="shared" si="762"/>
        <v>-158526</v>
      </c>
      <c r="CJ152" s="292">
        <v>-40972</v>
      </c>
      <c r="CK152" s="292">
        <f t="shared" ref="CK152" si="763">SUM(CK160,CK175,CK181,CK189,CK197,CK168)</f>
        <v>-39240</v>
      </c>
      <c r="CL152" s="292">
        <f t="shared" ref="CL152:CO152" si="764">SUM(CL160,CL175,CL181,CL189,CL197,CL168)</f>
        <v>0</v>
      </c>
      <c r="CM152" s="292">
        <f t="shared" si="764"/>
        <v>0</v>
      </c>
      <c r="CN152" s="292">
        <f t="shared" si="764"/>
        <v>-80212</v>
      </c>
      <c r="CO152" s="292">
        <f t="shared" si="764"/>
        <v>0</v>
      </c>
    </row>
    <row r="153" spans="1:93" s="289" customFormat="1" x14ac:dyDescent="0.25">
      <c r="A153" s="455" t="s">
        <v>670</v>
      </c>
      <c r="B153" s="291"/>
      <c r="C153" s="291"/>
      <c r="D153" s="291"/>
      <c r="E153" s="291"/>
      <c r="F153" s="290"/>
      <c r="G153" s="291"/>
      <c r="H153" s="291"/>
      <c r="I153" s="291"/>
      <c r="J153" s="290"/>
      <c r="K153" s="291"/>
      <c r="L153" s="291"/>
      <c r="M153" s="291"/>
      <c r="N153" s="290"/>
      <c r="O153" s="291"/>
      <c r="P153" s="291"/>
      <c r="Q153" s="291"/>
      <c r="R153" s="290"/>
      <c r="S153" s="291"/>
      <c r="T153" s="291"/>
      <c r="U153" s="291"/>
      <c r="V153" s="291"/>
      <c r="W153" s="292"/>
      <c r="X153" s="293"/>
      <c r="Y153" s="294"/>
      <c r="Z153" s="292"/>
      <c r="AA153" s="291"/>
      <c r="AB153" s="291"/>
      <c r="AC153" s="292"/>
      <c r="AD153" s="292"/>
      <c r="AE153" s="293"/>
      <c r="AF153" s="292"/>
      <c r="AG153" s="292">
        <f t="shared" si="584"/>
        <v>0</v>
      </c>
      <c r="AH153" s="292">
        <f t="shared" si="320"/>
        <v>0</v>
      </c>
      <c r="AI153" s="292">
        <f t="shared" si="321"/>
        <v>0</v>
      </c>
      <c r="AJ153" s="292"/>
      <c r="AK153" s="292"/>
      <c r="AL153" s="293"/>
      <c r="AM153" s="292">
        <f>SUM(AM182,AM190)</f>
        <v>-721</v>
      </c>
      <c r="AN153" s="292">
        <f t="shared" si="323"/>
        <v>-614</v>
      </c>
      <c r="AO153" s="292">
        <f t="shared" si="324"/>
        <v>-584.32510392536415</v>
      </c>
      <c r="AP153" s="292">
        <f t="shared" si="324"/>
        <v>-474.61757043921398</v>
      </c>
      <c r="AQ153" s="292">
        <f>SUM(AQ182,AQ190)</f>
        <v>-1335</v>
      </c>
      <c r="AR153" s="292">
        <f>SUM(AR182,AR190)</f>
        <v>-1919.3251039253641</v>
      </c>
      <c r="AS153" s="293">
        <f>SUM(AS182,AS190)</f>
        <v>-2393.9426743645781</v>
      </c>
      <c r="AT153" s="292">
        <f>SUM(AT182,AT190)</f>
        <v>0</v>
      </c>
      <c r="AU153" s="292">
        <f t="shared" ref="AU153" si="765">SUM(AU182,AU190)</f>
        <v>-772</v>
      </c>
      <c r="AV153" s="292">
        <f>SUM(AV182,AV190)</f>
        <v>-219</v>
      </c>
      <c r="AW153" s="292">
        <f t="shared" si="419"/>
        <v>1131</v>
      </c>
      <c r="AX153" s="292">
        <f>SUM(AX182,AX190,AX161)</f>
        <v>-911</v>
      </c>
      <c r="AY153" s="292">
        <f>SUM(AY182,AY190,AY161)</f>
        <v>-1131</v>
      </c>
      <c r="AZ153" s="292">
        <f t="shared" ref="AZ153:BE153" si="766">SUM(AZ182,AZ190)</f>
        <v>0</v>
      </c>
      <c r="BA153" s="292">
        <f t="shared" si="766"/>
        <v>0</v>
      </c>
      <c r="BB153" s="292">
        <f t="shared" si="766"/>
        <v>0</v>
      </c>
      <c r="BC153" s="292">
        <f t="shared" si="766"/>
        <v>0</v>
      </c>
      <c r="BD153" s="292">
        <f t="shared" si="766"/>
        <v>0</v>
      </c>
      <c r="BE153" s="292">
        <f t="shared" si="766"/>
        <v>0</v>
      </c>
      <c r="BF153" s="292">
        <f t="shared" ref="BF153:BG153" si="767">SUM(BF182,BF190)</f>
        <v>0</v>
      </c>
      <c r="BG153" s="292">
        <f t="shared" si="767"/>
        <v>0</v>
      </c>
      <c r="BH153" s="292">
        <f t="shared" ref="BH153:BL153" si="768">SUM(BH182,BH190)</f>
        <v>0</v>
      </c>
      <c r="BI153" s="292">
        <f t="shared" si="768"/>
        <v>0</v>
      </c>
      <c r="BJ153" s="292">
        <f t="shared" si="768"/>
        <v>0</v>
      </c>
      <c r="BK153" s="292">
        <f t="shared" si="768"/>
        <v>0</v>
      </c>
      <c r="BL153" s="292">
        <f t="shared" si="768"/>
        <v>0</v>
      </c>
      <c r="BM153" s="292">
        <f t="shared" ref="BM153:BN153" si="769">SUM(BM182,BM190)</f>
        <v>0</v>
      </c>
      <c r="BN153" s="292">
        <f t="shared" si="769"/>
        <v>0</v>
      </c>
      <c r="BO153" s="292">
        <f t="shared" ref="BO153:BS153" si="770">SUM(BO182,BO190)</f>
        <v>0</v>
      </c>
      <c r="BP153" s="292">
        <f t="shared" si="770"/>
        <v>0</v>
      </c>
      <c r="BQ153" s="292">
        <f t="shared" si="770"/>
        <v>0</v>
      </c>
      <c r="BR153" s="292">
        <f t="shared" si="770"/>
        <v>0</v>
      </c>
      <c r="BS153" s="292">
        <f t="shared" si="770"/>
        <v>0</v>
      </c>
      <c r="BT153" s="292">
        <f t="shared" ref="BT153:BU153" si="771">SUM(BT182,BT190)</f>
        <v>0</v>
      </c>
      <c r="BU153" s="292">
        <f t="shared" si="771"/>
        <v>0</v>
      </c>
      <c r="BV153" s="292">
        <f t="shared" ref="BV153:BY153" si="772">SUM(BV182,BV190)</f>
        <v>0</v>
      </c>
      <c r="BW153" s="292">
        <f t="shared" si="772"/>
        <v>0</v>
      </c>
      <c r="BX153" s="292">
        <f t="shared" si="772"/>
        <v>0</v>
      </c>
      <c r="BY153" s="292">
        <f t="shared" si="772"/>
        <v>0</v>
      </c>
      <c r="BZ153" s="292">
        <f t="shared" ref="BZ153:CA153" si="773">SUM(BZ182,BZ190)</f>
        <v>0</v>
      </c>
      <c r="CA153" s="292">
        <f t="shared" si="773"/>
        <v>0</v>
      </c>
      <c r="CB153" s="292">
        <f t="shared" ref="CB153:CC153" si="774">SUM(CB182,CB190)</f>
        <v>0</v>
      </c>
      <c r="CC153" s="292">
        <f t="shared" si="774"/>
        <v>0</v>
      </c>
      <c r="CD153" s="292">
        <f t="shared" ref="CD153" si="775">SUM(CD182,CD190)</f>
        <v>0</v>
      </c>
      <c r="CE153" s="292">
        <f t="shared" ref="CE153:CG153" si="776">SUM(CE182,CE190)</f>
        <v>0</v>
      </c>
      <c r="CF153" s="292">
        <f t="shared" si="776"/>
        <v>0</v>
      </c>
      <c r="CG153" s="292">
        <f t="shared" si="776"/>
        <v>0</v>
      </c>
      <c r="CH153" s="292">
        <f t="shared" ref="CH153:CI153" si="777">SUM(CH182,CH190)</f>
        <v>0</v>
      </c>
      <c r="CI153" s="292">
        <f t="shared" si="777"/>
        <v>0</v>
      </c>
      <c r="CJ153" s="292">
        <v>0</v>
      </c>
      <c r="CK153" s="292">
        <f t="shared" ref="CK153" si="778">SUM(CK182,CK190)</f>
        <v>0</v>
      </c>
      <c r="CL153" s="292">
        <f t="shared" ref="CL153:CO153" si="779">SUM(CL182,CL190)</f>
        <v>0</v>
      </c>
      <c r="CM153" s="292">
        <f t="shared" si="779"/>
        <v>0</v>
      </c>
      <c r="CN153" s="292">
        <f t="shared" si="779"/>
        <v>0</v>
      </c>
      <c r="CO153" s="292">
        <f t="shared" si="779"/>
        <v>0</v>
      </c>
    </row>
    <row r="154" spans="1:93" s="289" customFormat="1" x14ac:dyDescent="0.25">
      <c r="A154" s="713" t="s">
        <v>695</v>
      </c>
      <c r="B154" s="291"/>
      <c r="C154" s="291"/>
      <c r="D154" s="291"/>
      <c r="E154" s="291"/>
      <c r="F154" s="290"/>
      <c r="G154" s="291"/>
      <c r="H154" s="291"/>
      <c r="I154" s="291"/>
      <c r="J154" s="290"/>
      <c r="K154" s="291"/>
      <c r="L154" s="291"/>
      <c r="M154" s="291"/>
      <c r="N154" s="290"/>
      <c r="O154" s="291"/>
      <c r="P154" s="291"/>
      <c r="Q154" s="291"/>
      <c r="R154" s="290"/>
      <c r="S154" s="291"/>
      <c r="T154" s="291"/>
      <c r="U154" s="291"/>
      <c r="V154" s="291"/>
      <c r="W154" s="292"/>
      <c r="X154" s="293"/>
      <c r="Y154" s="294"/>
      <c r="Z154" s="292"/>
      <c r="AA154" s="291"/>
      <c r="AB154" s="291"/>
      <c r="AC154" s="292"/>
      <c r="AD154" s="292"/>
      <c r="AE154" s="293"/>
      <c r="AF154" s="292"/>
      <c r="AG154" s="292"/>
      <c r="AH154" s="292"/>
      <c r="AI154" s="292"/>
      <c r="AJ154" s="292"/>
      <c r="AK154" s="292"/>
      <c r="AL154" s="293"/>
      <c r="AM154" s="292"/>
      <c r="AN154" s="292"/>
      <c r="AO154" s="292"/>
      <c r="AP154" s="292"/>
      <c r="AQ154" s="292"/>
      <c r="AR154" s="292"/>
      <c r="AS154" s="293"/>
      <c r="AT154" s="292"/>
      <c r="AU154" s="292">
        <v>1740</v>
      </c>
      <c r="AV154" s="292"/>
      <c r="AW154" s="292"/>
      <c r="AX154" s="292">
        <v>1740</v>
      </c>
      <c r="AY154" s="292">
        <v>1619</v>
      </c>
      <c r="AZ154" s="292"/>
      <c r="BA154" s="292"/>
      <c r="BB154" s="292"/>
      <c r="BC154" s="292">
        <f>BF154-BE154</f>
        <v>994</v>
      </c>
      <c r="BD154" s="292"/>
      <c r="BE154" s="292"/>
      <c r="BF154" s="292">
        <v>994</v>
      </c>
      <c r="BG154" s="292">
        <v>1325</v>
      </c>
      <c r="BH154" s="292">
        <v>343</v>
      </c>
      <c r="BI154" s="292">
        <f>BL154-BH154</f>
        <v>343</v>
      </c>
      <c r="BJ154" s="292">
        <f>BM154-BL154</f>
        <v>343</v>
      </c>
      <c r="BK154" s="292">
        <f>BN154-BM154</f>
        <v>343</v>
      </c>
      <c r="BL154" s="292">
        <v>686</v>
      </c>
      <c r="BM154" s="292">
        <v>1029</v>
      </c>
      <c r="BN154" s="292">
        <v>1372</v>
      </c>
      <c r="BO154" s="292">
        <v>356</v>
      </c>
      <c r="BP154" s="292">
        <f>BS154-BO154</f>
        <v>355.51533350304442</v>
      </c>
      <c r="BQ154" s="292">
        <f>BT154-BS154</f>
        <v>355.75766675152238</v>
      </c>
      <c r="BR154" s="292">
        <f>BU154-BT154</f>
        <v>355.7269997454332</v>
      </c>
      <c r="BS154" s="292">
        <v>711.51533350304442</v>
      </c>
      <c r="BT154" s="292">
        <v>1067.2730002545668</v>
      </c>
      <c r="BU154" s="292">
        <v>1423</v>
      </c>
      <c r="BV154" s="292">
        <v>369</v>
      </c>
      <c r="BW154" s="292">
        <f>BZ154-BV154</f>
        <v>368</v>
      </c>
      <c r="BX154" s="292">
        <f>CA154-BZ154</f>
        <v>368</v>
      </c>
      <c r="BY154" s="292">
        <f>CB154-CA154</f>
        <v>368</v>
      </c>
      <c r="BZ154" s="292">
        <v>737</v>
      </c>
      <c r="CA154" s="292">
        <v>1105</v>
      </c>
      <c r="CB154" s="292">
        <v>1473</v>
      </c>
      <c r="CC154" s="292">
        <v>382</v>
      </c>
      <c r="CD154" s="292">
        <f>CG154-CC154</f>
        <v>128</v>
      </c>
      <c r="CE154" s="292">
        <f>CH154-CG154</f>
        <v>-510</v>
      </c>
      <c r="CF154" s="292"/>
      <c r="CG154" s="292">
        <v>510</v>
      </c>
      <c r="CH154" s="292"/>
      <c r="CI154" s="292"/>
      <c r="CJ154" s="292"/>
      <c r="CK154" s="292"/>
      <c r="CL154" s="292"/>
      <c r="CM154" s="292"/>
      <c r="CN154" s="292"/>
      <c r="CO154" s="292"/>
    </row>
    <row r="155" spans="1:93" s="289" customFormat="1" x14ac:dyDescent="0.25">
      <c r="A155" s="484" t="str">
        <f>Language!C124</f>
        <v>Operação e Manutenção das Rodovias</v>
      </c>
      <c r="B155" s="485">
        <f t="shared" ref="B155:AJ155" si="780">SUM(B156,B157,B158,B159,B160)</f>
        <v>-16630</v>
      </c>
      <c r="C155" s="485">
        <f t="shared" si="780"/>
        <v>-17503</v>
      </c>
      <c r="D155" s="485">
        <f t="shared" si="780"/>
        <v>-15568</v>
      </c>
      <c r="E155" s="485">
        <f t="shared" si="780"/>
        <v>-9059</v>
      </c>
      <c r="F155" s="486">
        <f t="shared" si="780"/>
        <v>-13918</v>
      </c>
      <c r="G155" s="485">
        <f t="shared" si="780"/>
        <v>-9711</v>
      </c>
      <c r="H155" s="485">
        <f t="shared" si="780"/>
        <v>-10487</v>
      </c>
      <c r="I155" s="485">
        <f t="shared" si="780"/>
        <v>-10909</v>
      </c>
      <c r="J155" s="486">
        <f t="shared" si="780"/>
        <v>-11625</v>
      </c>
      <c r="K155" s="485">
        <f t="shared" si="780"/>
        <v>-13316</v>
      </c>
      <c r="L155" s="485">
        <f t="shared" si="780"/>
        <v>-15788</v>
      </c>
      <c r="M155" s="485">
        <f t="shared" si="780"/>
        <v>-16255</v>
      </c>
      <c r="N155" s="486">
        <f t="shared" si="780"/>
        <v>-14761</v>
      </c>
      <c r="O155" s="485">
        <f t="shared" si="780"/>
        <v>-8655</v>
      </c>
      <c r="P155" s="485">
        <f t="shared" si="780"/>
        <v>-12037</v>
      </c>
      <c r="Q155" s="485">
        <f t="shared" si="780"/>
        <v>-7988</v>
      </c>
      <c r="R155" s="486">
        <f t="shared" si="780"/>
        <v>-9299</v>
      </c>
      <c r="S155" s="485">
        <f t="shared" si="780"/>
        <v>-14876</v>
      </c>
      <c r="T155" s="485">
        <f t="shared" si="780"/>
        <v>-36763</v>
      </c>
      <c r="U155" s="485">
        <f t="shared" si="780"/>
        <v>-58154</v>
      </c>
      <c r="V155" s="485">
        <f t="shared" si="780"/>
        <v>-24175</v>
      </c>
      <c r="W155" s="487">
        <f t="shared" si="780"/>
        <v>-60938</v>
      </c>
      <c r="X155" s="488">
        <f t="shared" si="780"/>
        <v>-119092</v>
      </c>
      <c r="Y155" s="489">
        <f t="shared" si="780"/>
        <v>-55954</v>
      </c>
      <c r="Z155" s="487">
        <f t="shared" si="780"/>
        <v>-49040</v>
      </c>
      <c r="AA155" s="485">
        <f t="shared" si="780"/>
        <v>-41567</v>
      </c>
      <c r="AB155" s="485">
        <f t="shared" si="780"/>
        <v>-43429</v>
      </c>
      <c r="AC155" s="487">
        <f t="shared" si="780"/>
        <v>-104994</v>
      </c>
      <c r="AD155" s="487">
        <f t="shared" si="780"/>
        <v>-146561</v>
      </c>
      <c r="AE155" s="488">
        <f t="shared" si="780"/>
        <v>-189990</v>
      </c>
      <c r="AF155" s="487">
        <f t="shared" si="780"/>
        <v>-49789.000000000007</v>
      </c>
      <c r="AG155" s="487">
        <f t="shared" si="584"/>
        <v>-56531.999999999993</v>
      </c>
      <c r="AH155" s="487">
        <f t="shared" si="320"/>
        <v>-46250</v>
      </c>
      <c r="AI155" s="487">
        <f t="shared" si="321"/>
        <v>-60908</v>
      </c>
      <c r="AJ155" s="487">
        <f t="shared" si="780"/>
        <v>-106321</v>
      </c>
      <c r="AK155" s="487">
        <f>SUM(AK156,AK157,AK158,AK159,AK160)</f>
        <v>-152571</v>
      </c>
      <c r="AL155" s="488">
        <f>SUM(AL156:AL160)</f>
        <v>-213479</v>
      </c>
      <c r="AM155" s="487">
        <f>SUM(AM156:AM160)</f>
        <v>-49101.999999999993</v>
      </c>
      <c r="AN155" s="487">
        <f t="shared" si="323"/>
        <v>-47790.731446028098</v>
      </c>
      <c r="AO155" s="487">
        <f t="shared" si="324"/>
        <v>-36649.26855397188</v>
      </c>
      <c r="AP155" s="487">
        <f t="shared" si="324"/>
        <v>-50551.000000000029</v>
      </c>
      <c r="AQ155" s="487">
        <f>SUM(AQ156:AQ160)</f>
        <v>-96892.73144602809</v>
      </c>
      <c r="AR155" s="487">
        <f>SUM(AR156:AR160)</f>
        <v>-133541.99999999997</v>
      </c>
      <c r="AS155" s="488">
        <f>SUM(AS156:AS160)</f>
        <v>-184093</v>
      </c>
      <c r="AT155" s="487">
        <f>SUM(AT156:AT160)</f>
        <v>-45974.146800000002</v>
      </c>
      <c r="AU155" s="487">
        <f>SUM(AU156:AU162)</f>
        <v>-47085.624506914552</v>
      </c>
      <c r="AV155" s="487">
        <f>SUM(AV156:AV160)</f>
        <v>-50657.684999999998</v>
      </c>
      <c r="AW155" s="487">
        <f t="shared" si="419"/>
        <v>-45850.616000000009</v>
      </c>
      <c r="AX155" s="487">
        <f>SUM(AX156:AX162)</f>
        <v>-93065.717000000004</v>
      </c>
      <c r="AY155" s="487">
        <f>SUM(AY156:AY162)</f>
        <v>-143165.402</v>
      </c>
      <c r="AZ155" s="487">
        <f t="shared" ref="AZ155:BE155" si="781">SUM(AZ156:AZ160)</f>
        <v>-189016.01800000001</v>
      </c>
      <c r="BA155" s="487">
        <f t="shared" si="781"/>
        <v>-47198</v>
      </c>
      <c r="BB155" s="487">
        <f t="shared" si="781"/>
        <v>-54272</v>
      </c>
      <c r="BC155" s="487">
        <f t="shared" si="781"/>
        <v>-55288</v>
      </c>
      <c r="BD155" s="487">
        <f t="shared" si="781"/>
        <v>-45809</v>
      </c>
      <c r="BE155" s="487">
        <f t="shared" si="781"/>
        <v>-101470</v>
      </c>
      <c r="BF155" s="487">
        <f t="shared" ref="BF155:BG155" si="782">SUM(BF156:BF160)</f>
        <v>-156758</v>
      </c>
      <c r="BG155" s="487">
        <f t="shared" si="782"/>
        <v>-202567</v>
      </c>
      <c r="BH155" s="487">
        <f t="shared" ref="BH155:BL155" si="783">SUM(BH156:BH160)</f>
        <v>-55343</v>
      </c>
      <c r="BI155" s="487">
        <f t="shared" si="783"/>
        <v>-69590</v>
      </c>
      <c r="BJ155" s="487">
        <f t="shared" si="783"/>
        <v>-25644</v>
      </c>
      <c r="BK155" s="487">
        <f t="shared" si="783"/>
        <v>-55784</v>
      </c>
      <c r="BL155" s="487">
        <f t="shared" si="783"/>
        <v>-124933</v>
      </c>
      <c r="BM155" s="487">
        <f t="shared" ref="BM155:BN155" si="784">SUM(BM156:BM160)</f>
        <v>-150577</v>
      </c>
      <c r="BN155" s="487">
        <f t="shared" si="784"/>
        <v>-206361</v>
      </c>
      <c r="BO155" s="487">
        <f t="shared" ref="BO155:BS155" si="785">SUM(BO156:BO160)</f>
        <v>-53696</v>
      </c>
      <c r="BP155" s="487">
        <f t="shared" si="785"/>
        <v>-82514</v>
      </c>
      <c r="BQ155" s="487">
        <f t="shared" si="785"/>
        <v>-95494</v>
      </c>
      <c r="BR155" s="487">
        <f t="shared" si="785"/>
        <v>-122470</v>
      </c>
      <c r="BS155" s="487">
        <f t="shared" si="785"/>
        <v>-136210</v>
      </c>
      <c r="BT155" s="487">
        <f t="shared" ref="BT155:BU155" si="786">SUM(BT156:BT160)</f>
        <v>-231704</v>
      </c>
      <c r="BU155" s="487">
        <f t="shared" si="786"/>
        <v>-354174</v>
      </c>
      <c r="BV155" s="487">
        <f t="shared" ref="BV155:BY155" si="787">SUM(BV156:BV160)</f>
        <v>-99206</v>
      </c>
      <c r="BW155" s="487">
        <f t="shared" si="787"/>
        <v>-80271</v>
      </c>
      <c r="BX155" s="487">
        <f t="shared" si="787"/>
        <v>-16706</v>
      </c>
      <c r="BY155" s="487">
        <f t="shared" si="787"/>
        <v>-54650</v>
      </c>
      <c r="BZ155" s="487">
        <f t="shared" ref="BZ155:CA155" si="788">SUM(BZ156:BZ160)</f>
        <v>-179477</v>
      </c>
      <c r="CA155" s="487">
        <f t="shared" si="788"/>
        <v>-196183</v>
      </c>
      <c r="CB155" s="487">
        <f t="shared" ref="CB155:CC155" si="789">SUM(CB156:CB160)</f>
        <v>-250833</v>
      </c>
      <c r="CC155" s="487">
        <f t="shared" si="789"/>
        <v>-101439</v>
      </c>
      <c r="CD155" s="487">
        <f t="shared" ref="CD155" si="790">SUM(CD156:CD160)</f>
        <v>-79304</v>
      </c>
      <c r="CE155" s="487">
        <f t="shared" ref="CE155:CG155" si="791">SUM(CE156:CE160)</f>
        <v>-106347</v>
      </c>
      <c r="CF155" s="487">
        <f t="shared" si="791"/>
        <v>-79580</v>
      </c>
      <c r="CG155" s="487">
        <f t="shared" si="791"/>
        <v>-180743</v>
      </c>
      <c r="CH155" s="487">
        <f t="shared" ref="CH155:CI155" si="792">SUM(CH156:CH160)</f>
        <v>-287090</v>
      </c>
      <c r="CI155" s="487">
        <f t="shared" si="792"/>
        <v>-366670</v>
      </c>
      <c r="CJ155" s="487">
        <v>-79638</v>
      </c>
      <c r="CK155" s="487">
        <f t="shared" ref="CK155" si="793">SUM(CK156:CK160)</f>
        <v>-71873</v>
      </c>
      <c r="CL155" s="487">
        <f t="shared" ref="CL155:CO155" si="794">SUM(CL156:CL160)</f>
        <v>0</v>
      </c>
      <c r="CM155" s="487">
        <f t="shared" si="794"/>
        <v>0</v>
      </c>
      <c r="CN155" s="487">
        <f t="shared" si="794"/>
        <v>-151511</v>
      </c>
      <c r="CO155" s="487">
        <f t="shared" si="794"/>
        <v>0</v>
      </c>
    </row>
    <row r="156" spans="1:93" s="289" customFormat="1" x14ac:dyDescent="0.25">
      <c r="A156" s="455" t="str">
        <f>Language!C125</f>
        <v>Concepa</v>
      </c>
      <c r="B156" s="280">
        <v>-3257</v>
      </c>
      <c r="C156" s="280">
        <v>-3506</v>
      </c>
      <c r="D156" s="280">
        <v>-2385</v>
      </c>
      <c r="E156" s="280">
        <v>-3235</v>
      </c>
      <c r="F156" s="279">
        <v>-3881</v>
      </c>
      <c r="G156" s="280">
        <v>-2955</v>
      </c>
      <c r="H156" s="280">
        <v>-2462</v>
      </c>
      <c r="I156" s="280">
        <v>-3449</v>
      </c>
      <c r="J156" s="279">
        <v>-2895</v>
      </c>
      <c r="K156" s="280">
        <v>-3587</v>
      </c>
      <c r="L156" s="280">
        <v>-5525</v>
      </c>
      <c r="M156" s="280">
        <v>-3590</v>
      </c>
      <c r="N156" s="279">
        <v>-3989</v>
      </c>
      <c r="O156" s="280">
        <v>-3452</v>
      </c>
      <c r="P156" s="280">
        <v>-3723</v>
      </c>
      <c r="Q156" s="280">
        <v>-3609</v>
      </c>
      <c r="R156" s="279">
        <v>5772</v>
      </c>
      <c r="S156" s="280">
        <v>3775</v>
      </c>
      <c r="T156" s="280">
        <f t="shared" ref="T156:T160" si="795">W156-S156-R156</f>
        <v>304</v>
      </c>
      <c r="U156" s="280">
        <f>X156-W156</f>
        <v>-3328</v>
      </c>
      <c r="V156" s="280">
        <f>R156+S156</f>
        <v>9547</v>
      </c>
      <c r="W156" s="281">
        <v>9851</v>
      </c>
      <c r="X156" s="282">
        <v>6523</v>
      </c>
      <c r="Y156" s="283">
        <v>-4913</v>
      </c>
      <c r="Z156" s="281">
        <f t="shared" ref="Z156:Z160" si="796">AC156-Y156</f>
        <v>-5672</v>
      </c>
      <c r="AA156" s="280">
        <f t="shared" ref="AA156:AA160" si="797">AD156-Z156-Y156</f>
        <v>-968</v>
      </c>
      <c r="AB156" s="280">
        <f>AE156-AD156</f>
        <v>-14126</v>
      </c>
      <c r="AC156" s="281">
        <v>-10585</v>
      </c>
      <c r="AD156" s="281">
        <v>-11553</v>
      </c>
      <c r="AE156" s="282">
        <v>-25679</v>
      </c>
      <c r="AF156" s="281">
        <v>-9404.2824806559693</v>
      </c>
      <c r="AG156" s="281">
        <f t="shared" si="584"/>
        <v>-10821.864281225342</v>
      </c>
      <c r="AH156" s="281">
        <f t="shared" si="320"/>
        <v>-7652.8320422424003</v>
      </c>
      <c r="AI156" s="281">
        <f t="shared" si="321"/>
        <v>-6719.6346219171755</v>
      </c>
      <c r="AJ156" s="281">
        <v>-20226.146761881311</v>
      </c>
      <c r="AK156" s="281">
        <v>-27878.978804123712</v>
      </c>
      <c r="AL156" s="282">
        <v>-34598.613426040887</v>
      </c>
      <c r="AM156" s="281">
        <v>-7689.9561098064623</v>
      </c>
      <c r="AN156" s="281">
        <f t="shared" si="323"/>
        <v>-9211.34130073919</v>
      </c>
      <c r="AO156" s="281">
        <f t="shared" si="324"/>
        <v>-23240.125632778647</v>
      </c>
      <c r="AP156" s="281">
        <f t="shared" si="324"/>
        <v>-2436.2126150983895</v>
      </c>
      <c r="AQ156" s="281">
        <v>-16901.297410545652</v>
      </c>
      <c r="AR156" s="281">
        <v>-40141.423043324299</v>
      </c>
      <c r="AS156" s="282">
        <v>-42577.635658422689</v>
      </c>
      <c r="AT156" s="281">
        <v>0</v>
      </c>
      <c r="AU156" s="281">
        <v>2.9456930854475205</v>
      </c>
      <c r="AV156" s="281">
        <f>AY156-AX156</f>
        <v>0</v>
      </c>
      <c r="AW156" s="281">
        <f t="shared" si="419"/>
        <v>3</v>
      </c>
      <c r="AX156" s="281">
        <v>-3</v>
      </c>
      <c r="AY156" s="281">
        <v>-3</v>
      </c>
      <c r="AZ156" s="281">
        <v>0</v>
      </c>
      <c r="BA156" s="302">
        <v>0</v>
      </c>
      <c r="BB156" s="281">
        <f>BE156-BA156</f>
        <v>0</v>
      </c>
      <c r="BC156" s="281">
        <f>BF156-BE156</f>
        <v>0</v>
      </c>
      <c r="BD156" s="281">
        <f>BG156-BF156</f>
        <v>0</v>
      </c>
      <c r="BE156" s="281">
        <v>0</v>
      </c>
      <c r="BF156" s="281">
        <v>0</v>
      </c>
      <c r="BG156" s="281">
        <v>0</v>
      </c>
      <c r="BH156" s="281">
        <v>0</v>
      </c>
      <c r="BI156" s="281">
        <v>0</v>
      </c>
      <c r="BJ156" s="281">
        <v>0</v>
      </c>
      <c r="BK156" s="281">
        <v>0</v>
      </c>
      <c r="BL156" s="281">
        <v>0</v>
      </c>
      <c r="BM156" s="281">
        <v>0</v>
      </c>
      <c r="BN156" s="281">
        <v>0</v>
      </c>
      <c r="BO156" s="281">
        <v>0</v>
      </c>
      <c r="BP156" s="281">
        <f>BS156-BO156</f>
        <v>0</v>
      </c>
      <c r="BQ156" s="281">
        <f>BT156-BS156</f>
        <v>0</v>
      </c>
      <c r="BR156" s="281">
        <f>BU156-BT156</f>
        <v>0</v>
      </c>
      <c r="BS156" s="281">
        <v>0</v>
      </c>
      <c r="BT156" s="281">
        <v>0</v>
      </c>
      <c r="BU156" s="281">
        <v>0</v>
      </c>
      <c r="BV156" s="281">
        <v>0</v>
      </c>
      <c r="BW156" s="281">
        <f>BZ156-BV156</f>
        <v>0</v>
      </c>
      <c r="BX156" s="281">
        <f>CA156-BZ156</f>
        <v>0</v>
      </c>
      <c r="BY156" s="281">
        <f>CB156*CA156</f>
        <v>0</v>
      </c>
      <c r="BZ156" s="281">
        <v>0</v>
      </c>
      <c r="CA156" s="281">
        <v>0</v>
      </c>
      <c r="CB156" s="281">
        <v>0</v>
      </c>
      <c r="CC156" s="281">
        <v>0</v>
      </c>
      <c r="CD156" s="281">
        <f>CG156-CC156</f>
        <v>0</v>
      </c>
      <c r="CE156" s="281">
        <f>CH156-CG156</f>
        <v>0</v>
      </c>
      <c r="CF156" s="281">
        <f>CI156-CH156</f>
        <v>0</v>
      </c>
      <c r="CG156" s="281">
        <v>0</v>
      </c>
      <c r="CH156" s="281">
        <v>0</v>
      </c>
      <c r="CI156" s="281">
        <v>0</v>
      </c>
      <c r="CJ156" s="281">
        <v>0</v>
      </c>
      <c r="CK156" s="281">
        <f>CN156-CJ156</f>
        <v>0</v>
      </c>
      <c r="CL156" s="281"/>
      <c r="CM156" s="281"/>
      <c r="CN156" s="281">
        <v>0</v>
      </c>
      <c r="CO156" s="281"/>
    </row>
    <row r="157" spans="1:93" s="289" customFormat="1" x14ac:dyDescent="0.25">
      <c r="A157" s="455" t="str">
        <f>Language!C126</f>
        <v>Concer</v>
      </c>
      <c r="B157" s="280">
        <v>-3912</v>
      </c>
      <c r="C157" s="280">
        <v>-4259</v>
      </c>
      <c r="D157" s="280">
        <v>-4872</v>
      </c>
      <c r="E157" s="280">
        <v>2634</v>
      </c>
      <c r="F157" s="279">
        <v>-2572</v>
      </c>
      <c r="G157" s="280">
        <v>-2814</v>
      </c>
      <c r="H157" s="280">
        <v>-2783</v>
      </c>
      <c r="I157" s="280">
        <v>-2595</v>
      </c>
      <c r="J157" s="279">
        <v>-2639</v>
      </c>
      <c r="K157" s="280">
        <v>-3047</v>
      </c>
      <c r="L157" s="280">
        <v>-3234</v>
      </c>
      <c r="M157" s="280">
        <v>-3334</v>
      </c>
      <c r="N157" s="279">
        <v>-5585</v>
      </c>
      <c r="O157" s="280">
        <v>-1011</v>
      </c>
      <c r="P157" s="280">
        <v>-3241</v>
      </c>
      <c r="Q157" s="280">
        <v>-2929</v>
      </c>
      <c r="R157" s="279">
        <v>-3333</v>
      </c>
      <c r="S157" s="280">
        <v>-4172</v>
      </c>
      <c r="T157" s="280">
        <f t="shared" si="795"/>
        <v>-3580</v>
      </c>
      <c r="U157" s="280">
        <f>X157-W157</f>
        <v>-3245</v>
      </c>
      <c r="V157" s="280">
        <f t="shared" ref="V157:V160" si="798">R157+S157</f>
        <v>-7505</v>
      </c>
      <c r="W157" s="281">
        <v>-11085</v>
      </c>
      <c r="X157" s="282">
        <v>-14330</v>
      </c>
      <c r="Y157" s="283">
        <v>-6665</v>
      </c>
      <c r="Z157" s="281">
        <f t="shared" si="796"/>
        <v>-3407</v>
      </c>
      <c r="AA157" s="280">
        <f t="shared" si="797"/>
        <v>-739</v>
      </c>
      <c r="AB157" s="280">
        <f>AE157-AD157</f>
        <v>-4105</v>
      </c>
      <c r="AC157" s="281">
        <v>-10072</v>
      </c>
      <c r="AD157" s="281">
        <v>-10811</v>
      </c>
      <c r="AE157" s="282">
        <v>-14916</v>
      </c>
      <c r="AF157" s="281">
        <v>-3577</v>
      </c>
      <c r="AG157" s="281">
        <f t="shared" si="584"/>
        <v>-3578</v>
      </c>
      <c r="AH157" s="281">
        <f t="shared" si="320"/>
        <v>-4671</v>
      </c>
      <c r="AI157" s="281">
        <f t="shared" si="321"/>
        <v>-6796</v>
      </c>
      <c r="AJ157" s="281">
        <v>-7155</v>
      </c>
      <c r="AK157" s="281">
        <v>-11826</v>
      </c>
      <c r="AL157" s="282">
        <v>-18622</v>
      </c>
      <c r="AM157" s="281">
        <v>-7675.0453882905495</v>
      </c>
      <c r="AN157" s="281">
        <f t="shared" si="323"/>
        <v>-6998.4522224759658</v>
      </c>
      <c r="AO157" s="281">
        <f t="shared" si="324"/>
        <v>-4353.5968172821249</v>
      </c>
      <c r="AP157" s="281">
        <f t="shared" si="324"/>
        <v>-11234.55134983996</v>
      </c>
      <c r="AQ157" s="281">
        <v>-14673.497610766515</v>
      </c>
      <c r="AR157" s="281">
        <v>-19027.09442804864</v>
      </c>
      <c r="AS157" s="282">
        <v>-30261.6457778886</v>
      </c>
      <c r="AT157" s="281">
        <v>-8909.1468000000004</v>
      </c>
      <c r="AU157" s="281">
        <f t="shared" ref="AU157:AU162" si="799">AX157-AT157</f>
        <v>-8125.5702000000001</v>
      </c>
      <c r="AV157" s="281">
        <f t="shared" ref="AV157:AV160" si="800">AY157-AX157</f>
        <v>-8858.6850000000013</v>
      </c>
      <c r="AW157" s="281">
        <f t="shared" si="419"/>
        <v>-10835.616000000002</v>
      </c>
      <c r="AX157" s="281">
        <v>-17034.717000000001</v>
      </c>
      <c r="AY157" s="281">
        <v>-25893.402000000002</v>
      </c>
      <c r="AZ157" s="281">
        <v>-36729.018000000004</v>
      </c>
      <c r="BA157" s="302">
        <v>-6343</v>
      </c>
      <c r="BB157" s="281">
        <f t="shared" ref="BB157:BB160" si="801">BE157-BA157</f>
        <v>-5391</v>
      </c>
      <c r="BC157" s="281">
        <f t="shared" ref="BC157:BC160" si="802">BF157-BE157</f>
        <v>-7831</v>
      </c>
      <c r="BD157" s="281">
        <f t="shared" ref="BD157:BD160" si="803">BG157-BF157</f>
        <v>-9892</v>
      </c>
      <c r="BE157" s="281">
        <v>-11734</v>
      </c>
      <c r="BF157" s="281">
        <v>-19565</v>
      </c>
      <c r="BG157" s="281">
        <v>-29457</v>
      </c>
      <c r="BH157" s="281">
        <v>-9399</v>
      </c>
      <c r="BI157" s="281">
        <f>BL157-BH157</f>
        <v>-17080</v>
      </c>
      <c r="BJ157" s="281">
        <f>BM157-BL157</f>
        <v>-18813</v>
      </c>
      <c r="BK157" s="281">
        <f>BN157-BM157</f>
        <v>-15486</v>
      </c>
      <c r="BL157" s="281">
        <v>-26479</v>
      </c>
      <c r="BM157" s="281">
        <v>-45292</v>
      </c>
      <c r="BN157" s="281">
        <v>-60778</v>
      </c>
      <c r="BO157" s="281">
        <v>-12811</v>
      </c>
      <c r="BP157" s="281">
        <f t="shared" ref="BP157:BP160" si="804">BS157-BO157</f>
        <v>-15560</v>
      </c>
      <c r="BQ157" s="281">
        <f t="shared" ref="BQ157:BQ160" si="805">BT157-BS157</f>
        <v>-16023</v>
      </c>
      <c r="BR157" s="281">
        <f t="shared" ref="BR157:BR160" si="806">BU157-BT157</f>
        <v>-16430</v>
      </c>
      <c r="BS157" s="281">
        <v>-28371</v>
      </c>
      <c r="BT157" s="281">
        <v>-44394</v>
      </c>
      <c r="BU157" s="281">
        <v>-60824</v>
      </c>
      <c r="BV157" s="281">
        <v>-8908</v>
      </c>
      <c r="BW157" s="281">
        <f t="shared" ref="BW157:BW160" si="807">BZ157-BV157</f>
        <v>-10158</v>
      </c>
      <c r="BX157" s="281">
        <f t="shared" ref="BX157:BX160" si="808">CA157-BZ157</f>
        <v>-11129</v>
      </c>
      <c r="BY157" s="281">
        <f>CB157-CA157</f>
        <v>-11993</v>
      </c>
      <c r="BZ157" s="281">
        <v>-19066</v>
      </c>
      <c r="CA157" s="281">
        <v>-30195</v>
      </c>
      <c r="CB157" s="281">
        <v>-42188</v>
      </c>
      <c r="CC157" s="281">
        <v>-11499</v>
      </c>
      <c r="CD157" s="281">
        <f t="shared" ref="CD157:CD160" si="809">CG157-CC157</f>
        <v>-14466</v>
      </c>
      <c r="CE157" s="281">
        <f t="shared" ref="CE157:CE160" si="810">CH157-CG157</f>
        <v>-12961</v>
      </c>
      <c r="CF157" s="281">
        <f t="shared" ref="CF157:CF160" si="811">CI157-CH157</f>
        <v>-14400</v>
      </c>
      <c r="CG157" s="281">
        <v>-25965</v>
      </c>
      <c r="CH157" s="281">
        <v>-38926</v>
      </c>
      <c r="CI157" s="281">
        <v>-53326</v>
      </c>
      <c r="CJ157" s="281">
        <v>-11726</v>
      </c>
      <c r="CK157" s="281">
        <f t="shared" ref="CK157:CK160" si="812">CN157-CJ157</f>
        <v>-13243</v>
      </c>
      <c r="CL157" s="281"/>
      <c r="CM157" s="281"/>
      <c r="CN157" s="281">
        <v>-24969</v>
      </c>
      <c r="CO157" s="281"/>
    </row>
    <row r="158" spans="1:93" s="289" customFormat="1" x14ac:dyDescent="0.25">
      <c r="A158" s="455" t="str">
        <f>Language!C127</f>
        <v>Econorte</v>
      </c>
      <c r="B158" s="280">
        <v>-9461</v>
      </c>
      <c r="C158" s="280">
        <v>-9738</v>
      </c>
      <c r="D158" s="280">
        <v>-8311</v>
      </c>
      <c r="E158" s="280">
        <v>-8458</v>
      </c>
      <c r="F158" s="279">
        <v>-7465</v>
      </c>
      <c r="G158" s="280">
        <v>-3942</v>
      </c>
      <c r="H158" s="280">
        <v>-5242</v>
      </c>
      <c r="I158" s="280">
        <v>-4865</v>
      </c>
      <c r="J158" s="279">
        <v>-6091</v>
      </c>
      <c r="K158" s="280">
        <v>-6682</v>
      </c>
      <c r="L158" s="280">
        <v>-7029</v>
      </c>
      <c r="M158" s="280">
        <v>-9331</v>
      </c>
      <c r="N158" s="279">
        <v>-5187</v>
      </c>
      <c r="O158" s="280">
        <v>-4192</v>
      </c>
      <c r="P158" s="280">
        <v>-5073</v>
      </c>
      <c r="Q158" s="280">
        <v>-1450</v>
      </c>
      <c r="R158" s="279">
        <v>-5781</v>
      </c>
      <c r="S158" s="280">
        <v>-8055</v>
      </c>
      <c r="T158" s="280">
        <f t="shared" si="795"/>
        <v>-7028</v>
      </c>
      <c r="U158" s="280">
        <f>X158-W158</f>
        <v>-1594</v>
      </c>
      <c r="V158" s="280">
        <f t="shared" si="798"/>
        <v>-13836</v>
      </c>
      <c r="W158" s="281">
        <v>-20864</v>
      </c>
      <c r="X158" s="282">
        <v>-22458</v>
      </c>
      <c r="Y158" s="283">
        <v>-7450</v>
      </c>
      <c r="Z158" s="281">
        <f t="shared" si="796"/>
        <v>-8904</v>
      </c>
      <c r="AA158" s="280">
        <f t="shared" si="797"/>
        <v>-8190</v>
      </c>
      <c r="AB158" s="280">
        <f>AE158-AD158</f>
        <v>-8486</v>
      </c>
      <c r="AC158" s="281">
        <v>-16354</v>
      </c>
      <c r="AD158" s="281">
        <v>-24544</v>
      </c>
      <c r="AE158" s="282">
        <v>-33030</v>
      </c>
      <c r="AF158" s="281">
        <v>-5758</v>
      </c>
      <c r="AG158" s="281">
        <f t="shared" si="584"/>
        <v>-4870</v>
      </c>
      <c r="AH158" s="281">
        <f t="shared" si="320"/>
        <v>-4926</v>
      </c>
      <c r="AI158" s="281">
        <f t="shared" si="321"/>
        <v>-4966</v>
      </c>
      <c r="AJ158" s="281">
        <v>-10628</v>
      </c>
      <c r="AK158" s="281">
        <v>-15554</v>
      </c>
      <c r="AL158" s="282">
        <v>-20520</v>
      </c>
      <c r="AM158" s="281">
        <v>-5336.0502064944531</v>
      </c>
      <c r="AN158" s="281">
        <f t="shared" si="323"/>
        <v>-6539.5808091619938</v>
      </c>
      <c r="AO158" s="281">
        <f t="shared" si="324"/>
        <v>-2914.7248337119836</v>
      </c>
      <c r="AP158" s="281">
        <f t="shared" si="324"/>
        <v>-13325.423163620939</v>
      </c>
      <c r="AQ158" s="281">
        <v>-11875.631015656447</v>
      </c>
      <c r="AR158" s="281">
        <v>-14790.35584936843</v>
      </c>
      <c r="AS158" s="282">
        <v>-28115.779012989369</v>
      </c>
      <c r="AT158" s="281">
        <v>-4287</v>
      </c>
      <c r="AU158" s="281">
        <f t="shared" si="799"/>
        <v>-3446</v>
      </c>
      <c r="AV158" s="281">
        <f t="shared" si="800"/>
        <v>-3551</v>
      </c>
      <c r="AW158" s="281">
        <f t="shared" si="419"/>
        <v>-4439</v>
      </c>
      <c r="AX158" s="281">
        <v>-7733</v>
      </c>
      <c r="AY158" s="281">
        <v>-11284</v>
      </c>
      <c r="AZ158" s="281">
        <v>-15723</v>
      </c>
      <c r="BA158" s="281">
        <v>-4153</v>
      </c>
      <c r="BB158" s="281">
        <f t="shared" si="801"/>
        <v>-3799</v>
      </c>
      <c r="BC158" s="281">
        <f t="shared" si="802"/>
        <v>-3572</v>
      </c>
      <c r="BD158" s="281">
        <f t="shared" si="803"/>
        <v>-3026</v>
      </c>
      <c r="BE158" s="281">
        <v>-7952</v>
      </c>
      <c r="BF158" s="281">
        <v>-11524</v>
      </c>
      <c r="BG158" s="281">
        <v>-14550</v>
      </c>
      <c r="BH158" s="281">
        <v>-12717</v>
      </c>
      <c r="BI158" s="281">
        <f t="shared" ref="BI158:BI160" si="813">BL158-BH158</f>
        <v>-13533</v>
      </c>
      <c r="BJ158" s="281">
        <f t="shared" ref="BJ158:BJ160" si="814">BM158-BL158</f>
        <v>23395</v>
      </c>
      <c r="BK158" s="281">
        <f t="shared" ref="BK158:BK160" si="815">BN158-BM158</f>
        <v>-6704</v>
      </c>
      <c r="BL158" s="281">
        <v>-26250</v>
      </c>
      <c r="BM158" s="281">
        <v>-2855</v>
      </c>
      <c r="BN158" s="281">
        <v>-9559</v>
      </c>
      <c r="BO158" s="281">
        <v>0</v>
      </c>
      <c r="BP158" s="281">
        <f t="shared" si="804"/>
        <v>0</v>
      </c>
      <c r="BQ158" s="281">
        <f t="shared" si="805"/>
        <v>0</v>
      </c>
      <c r="BR158" s="281">
        <f t="shared" si="806"/>
        <v>0</v>
      </c>
      <c r="BS158" s="281">
        <v>0</v>
      </c>
      <c r="BT158" s="281">
        <v>0</v>
      </c>
      <c r="BU158" s="281">
        <v>0</v>
      </c>
      <c r="BV158" s="281">
        <v>0</v>
      </c>
      <c r="BW158" s="281">
        <f t="shared" si="807"/>
        <v>0</v>
      </c>
      <c r="BX158" s="281">
        <f t="shared" si="808"/>
        <v>0</v>
      </c>
      <c r="BY158" s="281">
        <f t="shared" ref="BY158:BY160" si="816">CB158-CA158</f>
        <v>0</v>
      </c>
      <c r="BZ158" s="281">
        <v>0</v>
      </c>
      <c r="CA158" s="281">
        <v>0</v>
      </c>
      <c r="CB158" s="281">
        <v>0</v>
      </c>
      <c r="CC158" s="281">
        <v>0</v>
      </c>
      <c r="CD158" s="281">
        <f t="shared" si="809"/>
        <v>0</v>
      </c>
      <c r="CE158" s="281">
        <f t="shared" si="810"/>
        <v>0</v>
      </c>
      <c r="CF158" s="281">
        <f t="shared" si="811"/>
        <v>0</v>
      </c>
      <c r="CG158" s="281">
        <v>0</v>
      </c>
      <c r="CH158" s="281">
        <v>0</v>
      </c>
      <c r="CI158" s="281">
        <v>0</v>
      </c>
      <c r="CJ158" s="281">
        <v>0</v>
      </c>
      <c r="CK158" s="281">
        <f t="shared" si="812"/>
        <v>0</v>
      </c>
      <c r="CL158" s="281"/>
      <c r="CM158" s="281"/>
      <c r="CN158" s="281">
        <v>0</v>
      </c>
      <c r="CO158" s="281"/>
    </row>
    <row r="159" spans="1:93" s="289" customFormat="1" x14ac:dyDescent="0.25">
      <c r="A159" s="455" t="str">
        <f>Language!C128</f>
        <v>Concebra</v>
      </c>
      <c r="B159" s="280">
        <v>0</v>
      </c>
      <c r="C159" s="280">
        <v>0</v>
      </c>
      <c r="D159" s="280">
        <v>0</v>
      </c>
      <c r="E159" s="280">
        <v>0</v>
      </c>
      <c r="F159" s="279">
        <v>0</v>
      </c>
      <c r="G159" s="280">
        <v>0</v>
      </c>
      <c r="H159" s="280">
        <v>0</v>
      </c>
      <c r="I159" s="280">
        <v>0</v>
      </c>
      <c r="J159" s="279">
        <v>0</v>
      </c>
      <c r="K159" s="280">
        <v>0</v>
      </c>
      <c r="L159" s="280">
        <v>0</v>
      </c>
      <c r="M159" s="280">
        <v>0</v>
      </c>
      <c r="N159" s="279">
        <v>0</v>
      </c>
      <c r="O159" s="280">
        <v>0</v>
      </c>
      <c r="P159" s="280">
        <v>0</v>
      </c>
      <c r="Q159" s="280">
        <v>0</v>
      </c>
      <c r="R159" s="279">
        <v>0</v>
      </c>
      <c r="S159" s="280">
        <v>-555</v>
      </c>
      <c r="T159" s="280">
        <f t="shared" si="795"/>
        <v>-20990</v>
      </c>
      <c r="U159" s="280">
        <f>X159-W159</f>
        <v>-40806</v>
      </c>
      <c r="V159" s="280">
        <f t="shared" si="798"/>
        <v>-555</v>
      </c>
      <c r="W159" s="281">
        <v>-21545</v>
      </c>
      <c r="X159" s="282">
        <v>-62351</v>
      </c>
      <c r="Y159" s="283">
        <v>-30622</v>
      </c>
      <c r="Z159" s="281">
        <f t="shared" si="796"/>
        <v>-24523</v>
      </c>
      <c r="AA159" s="280">
        <f t="shared" si="797"/>
        <v>-25806</v>
      </c>
      <c r="AB159" s="280">
        <f>AE159-AD159</f>
        <v>-20921</v>
      </c>
      <c r="AC159" s="281">
        <v>-55145</v>
      </c>
      <c r="AD159" s="281">
        <v>-80951</v>
      </c>
      <c r="AE159" s="282">
        <v>-101872</v>
      </c>
      <c r="AF159" s="281">
        <v>-27002</v>
      </c>
      <c r="AG159" s="281">
        <f t="shared" si="584"/>
        <v>-33798</v>
      </c>
      <c r="AH159" s="281">
        <f t="shared" si="320"/>
        <v>-24703</v>
      </c>
      <c r="AI159" s="281">
        <f t="shared" si="321"/>
        <v>-37241</v>
      </c>
      <c r="AJ159" s="281">
        <v>-60800</v>
      </c>
      <c r="AK159" s="281">
        <v>-85503</v>
      </c>
      <c r="AL159" s="282">
        <v>-122744</v>
      </c>
      <c r="AM159" s="281">
        <v>-23476.43400275326</v>
      </c>
      <c r="AN159" s="281">
        <f t="shared" si="323"/>
        <v>-20061.976511938206</v>
      </c>
      <c r="AO159" s="281">
        <f t="shared" si="324"/>
        <v>-3967.449466420534</v>
      </c>
      <c r="AP159" s="281">
        <f t="shared" si="324"/>
        <v>-18544.436521052899</v>
      </c>
      <c r="AQ159" s="281">
        <v>-43538.410514691466</v>
      </c>
      <c r="AR159" s="281">
        <v>-47505.859981112</v>
      </c>
      <c r="AS159" s="282">
        <v>-66050.2965021649</v>
      </c>
      <c r="AT159" s="281">
        <v>-26592</v>
      </c>
      <c r="AU159" s="281">
        <f t="shared" si="799"/>
        <v>-29147</v>
      </c>
      <c r="AV159" s="281">
        <f t="shared" si="800"/>
        <v>-31136</v>
      </c>
      <c r="AW159" s="281">
        <f t="shared" si="419"/>
        <v>-24170</v>
      </c>
      <c r="AX159" s="281">
        <v>-55739</v>
      </c>
      <c r="AY159" s="281">
        <v>-86875</v>
      </c>
      <c r="AZ159" s="281">
        <v>-111045</v>
      </c>
      <c r="BA159" s="281">
        <v>-29513</v>
      </c>
      <c r="BB159" s="281">
        <f t="shared" si="801"/>
        <v>-39040</v>
      </c>
      <c r="BC159" s="281">
        <f t="shared" si="802"/>
        <v>-37564</v>
      </c>
      <c r="BD159" s="281">
        <f t="shared" si="803"/>
        <v>-25225</v>
      </c>
      <c r="BE159" s="281">
        <v>-68553</v>
      </c>
      <c r="BF159" s="281">
        <v>-106117</v>
      </c>
      <c r="BG159" s="281">
        <v>-131342</v>
      </c>
      <c r="BH159" s="281">
        <v>-25681</v>
      </c>
      <c r="BI159" s="281">
        <f t="shared" si="813"/>
        <v>-30876</v>
      </c>
      <c r="BJ159" s="281">
        <f t="shared" si="814"/>
        <v>-22718</v>
      </c>
      <c r="BK159" s="281">
        <f t="shared" si="815"/>
        <v>-25868</v>
      </c>
      <c r="BL159" s="281">
        <v>-56557</v>
      </c>
      <c r="BM159" s="281">
        <v>-79275</v>
      </c>
      <c r="BN159" s="281">
        <v>-105143</v>
      </c>
      <c r="BO159" s="281">
        <v>-30858</v>
      </c>
      <c r="BP159" s="281">
        <f t="shared" si="804"/>
        <v>-55848</v>
      </c>
      <c r="BQ159" s="281">
        <f t="shared" si="805"/>
        <v>-70495</v>
      </c>
      <c r="BR159" s="281">
        <f t="shared" si="806"/>
        <v>-95593</v>
      </c>
      <c r="BS159" s="281">
        <v>-86706</v>
      </c>
      <c r="BT159" s="281">
        <v>-157201</v>
      </c>
      <c r="BU159" s="281">
        <v>-252794</v>
      </c>
      <c r="BV159" s="281">
        <v>-78974</v>
      </c>
      <c r="BW159" s="281">
        <f t="shared" si="807"/>
        <v>-59169</v>
      </c>
      <c r="BX159" s="281">
        <f t="shared" si="808"/>
        <v>3528</v>
      </c>
      <c r="BY159" s="281">
        <f t="shared" si="816"/>
        <v>-32129</v>
      </c>
      <c r="BZ159" s="281">
        <v>-138143</v>
      </c>
      <c r="CA159" s="281">
        <v>-134615</v>
      </c>
      <c r="CB159" s="281">
        <v>-166744</v>
      </c>
      <c r="CC159" s="281">
        <v>-79984</v>
      </c>
      <c r="CD159" s="281">
        <f t="shared" si="809"/>
        <v>-54900</v>
      </c>
      <c r="CE159" s="281">
        <f t="shared" si="810"/>
        <v>-84840</v>
      </c>
      <c r="CF159" s="281">
        <f t="shared" si="811"/>
        <v>-54375</v>
      </c>
      <c r="CG159" s="281">
        <v>-134884</v>
      </c>
      <c r="CH159" s="281">
        <v>-219724</v>
      </c>
      <c r="CI159" s="281">
        <v>-274099</v>
      </c>
      <c r="CJ159" s="281">
        <v>-59449</v>
      </c>
      <c r="CK159" s="281">
        <f t="shared" si="812"/>
        <v>-48798</v>
      </c>
      <c r="CL159" s="281"/>
      <c r="CM159" s="281"/>
      <c r="CN159" s="281">
        <v>-108247</v>
      </c>
      <c r="CO159" s="281"/>
    </row>
    <row r="160" spans="1:93" s="289" customFormat="1" x14ac:dyDescent="0.25">
      <c r="A160" s="455" t="str">
        <f>Language!C129</f>
        <v>Transbrasiliana</v>
      </c>
      <c r="B160" s="280">
        <v>0</v>
      </c>
      <c r="C160" s="280">
        <v>0</v>
      </c>
      <c r="D160" s="280">
        <v>0</v>
      </c>
      <c r="E160" s="280">
        <v>0</v>
      </c>
      <c r="F160" s="279">
        <v>0</v>
      </c>
      <c r="G160" s="280">
        <v>0</v>
      </c>
      <c r="H160" s="280">
        <v>0</v>
      </c>
      <c r="I160" s="280">
        <v>0</v>
      </c>
      <c r="J160" s="279">
        <v>0</v>
      </c>
      <c r="K160" s="280">
        <v>0</v>
      </c>
      <c r="L160" s="280">
        <v>0</v>
      </c>
      <c r="M160" s="280">
        <v>0</v>
      </c>
      <c r="N160" s="279">
        <v>0</v>
      </c>
      <c r="O160" s="280">
        <v>0</v>
      </c>
      <c r="P160" s="280">
        <v>0</v>
      </c>
      <c r="Q160" s="280">
        <v>0</v>
      </c>
      <c r="R160" s="279">
        <v>-5957</v>
      </c>
      <c r="S160" s="280">
        <v>-5869</v>
      </c>
      <c r="T160" s="280">
        <f t="shared" si="795"/>
        <v>-5469</v>
      </c>
      <c r="U160" s="280">
        <f>X160-W160</f>
        <v>-9181</v>
      </c>
      <c r="V160" s="280">
        <f t="shared" si="798"/>
        <v>-11826</v>
      </c>
      <c r="W160" s="281">
        <v>-17295</v>
      </c>
      <c r="X160" s="282">
        <v>-26476</v>
      </c>
      <c r="Y160" s="283">
        <v>-6304</v>
      </c>
      <c r="Z160" s="281">
        <f t="shared" si="796"/>
        <v>-6534</v>
      </c>
      <c r="AA160" s="280">
        <f t="shared" si="797"/>
        <v>-5864</v>
      </c>
      <c r="AB160" s="280">
        <f>AE160-AD160</f>
        <v>4209</v>
      </c>
      <c r="AC160" s="281">
        <v>-12838</v>
      </c>
      <c r="AD160" s="281">
        <v>-18702</v>
      </c>
      <c r="AE160" s="282">
        <v>-14493</v>
      </c>
      <c r="AF160" s="281">
        <v>-4047.7175193440398</v>
      </c>
      <c r="AG160" s="281">
        <f t="shared" si="584"/>
        <v>-3464.1357187746507</v>
      </c>
      <c r="AH160" s="281">
        <f t="shared" si="320"/>
        <v>-4297.1679577575997</v>
      </c>
      <c r="AI160" s="281">
        <f t="shared" si="321"/>
        <v>-5185.365378082819</v>
      </c>
      <c r="AJ160" s="281">
        <v>-7511.8532381186906</v>
      </c>
      <c r="AK160" s="281">
        <v>-11809.02119587629</v>
      </c>
      <c r="AL160" s="282">
        <v>-16994.386573959109</v>
      </c>
      <c r="AM160" s="281">
        <v>-4924.5142926552753</v>
      </c>
      <c r="AN160" s="281">
        <f t="shared" si="323"/>
        <v>-4979.3806017127381</v>
      </c>
      <c r="AO160" s="281">
        <f t="shared" si="324"/>
        <v>-2173.3718037786075</v>
      </c>
      <c r="AP160" s="281">
        <f t="shared" si="324"/>
        <v>-5010.376350387829</v>
      </c>
      <c r="AQ160" s="281">
        <v>-9903.8948943680134</v>
      </c>
      <c r="AR160" s="281">
        <v>-12077.266698146621</v>
      </c>
      <c r="AS160" s="282">
        <v>-17087.64304853445</v>
      </c>
      <c r="AT160" s="281">
        <v>-6186</v>
      </c>
      <c r="AU160" s="281">
        <f t="shared" si="799"/>
        <v>-6373</v>
      </c>
      <c r="AV160" s="281">
        <f t="shared" si="800"/>
        <v>-7112</v>
      </c>
      <c r="AW160" s="281">
        <f t="shared" si="419"/>
        <v>-5848</v>
      </c>
      <c r="AX160" s="281">
        <v>-12559</v>
      </c>
      <c r="AY160" s="281">
        <v>-19671</v>
      </c>
      <c r="AZ160" s="281">
        <v>-25519</v>
      </c>
      <c r="BA160" s="281">
        <v>-7189</v>
      </c>
      <c r="BB160" s="281">
        <f t="shared" si="801"/>
        <v>-6042</v>
      </c>
      <c r="BC160" s="281">
        <f t="shared" si="802"/>
        <v>-6321</v>
      </c>
      <c r="BD160" s="281">
        <f t="shared" si="803"/>
        <v>-7666</v>
      </c>
      <c r="BE160" s="281">
        <v>-13231</v>
      </c>
      <c r="BF160" s="281">
        <v>-19552</v>
      </c>
      <c r="BG160" s="281">
        <v>-27218</v>
      </c>
      <c r="BH160" s="281">
        <v>-7546</v>
      </c>
      <c r="BI160" s="281">
        <f t="shared" si="813"/>
        <v>-8101</v>
      </c>
      <c r="BJ160" s="281">
        <f t="shared" si="814"/>
        <v>-7508</v>
      </c>
      <c r="BK160" s="281">
        <f t="shared" si="815"/>
        <v>-7726</v>
      </c>
      <c r="BL160" s="281">
        <v>-15647</v>
      </c>
      <c r="BM160" s="281">
        <v>-23155</v>
      </c>
      <c r="BN160" s="281">
        <v>-30881</v>
      </c>
      <c r="BO160" s="281">
        <v>-10027</v>
      </c>
      <c r="BP160" s="281">
        <f t="shared" si="804"/>
        <v>-11106</v>
      </c>
      <c r="BQ160" s="281">
        <f t="shared" si="805"/>
        <v>-8976</v>
      </c>
      <c r="BR160" s="281">
        <f t="shared" si="806"/>
        <v>-10447</v>
      </c>
      <c r="BS160" s="281">
        <v>-21133</v>
      </c>
      <c r="BT160" s="281">
        <v>-30109</v>
      </c>
      <c r="BU160" s="281">
        <v>-40556</v>
      </c>
      <c r="BV160" s="281">
        <v>-11324</v>
      </c>
      <c r="BW160" s="281">
        <f t="shared" si="807"/>
        <v>-10944</v>
      </c>
      <c r="BX160" s="281">
        <f t="shared" si="808"/>
        <v>-9105</v>
      </c>
      <c r="BY160" s="281">
        <f t="shared" si="816"/>
        <v>-10528</v>
      </c>
      <c r="BZ160" s="281">
        <v>-22268</v>
      </c>
      <c r="CA160" s="281">
        <v>-31373</v>
      </c>
      <c r="CB160" s="281">
        <v>-41901</v>
      </c>
      <c r="CC160" s="281">
        <v>-9956</v>
      </c>
      <c r="CD160" s="281">
        <f t="shared" si="809"/>
        <v>-9938</v>
      </c>
      <c r="CE160" s="281">
        <f t="shared" si="810"/>
        <v>-8546</v>
      </c>
      <c r="CF160" s="281">
        <f t="shared" si="811"/>
        <v>-10805</v>
      </c>
      <c r="CG160" s="281">
        <v>-19894</v>
      </c>
      <c r="CH160" s="281">
        <v>-28440</v>
      </c>
      <c r="CI160" s="281">
        <v>-39245</v>
      </c>
      <c r="CJ160" s="281">
        <v>-8463</v>
      </c>
      <c r="CK160" s="281">
        <f t="shared" si="812"/>
        <v>-9832</v>
      </c>
      <c r="CL160" s="281"/>
      <c r="CM160" s="281"/>
      <c r="CN160" s="281">
        <v>-18295</v>
      </c>
      <c r="CO160" s="281"/>
    </row>
    <row r="161" spans="1:93" s="289" customFormat="1" x14ac:dyDescent="0.25">
      <c r="A161" s="713" t="s">
        <v>670</v>
      </c>
      <c r="B161" s="280"/>
      <c r="C161" s="280"/>
      <c r="D161" s="280"/>
      <c r="E161" s="280"/>
      <c r="F161" s="280"/>
      <c r="G161" s="280"/>
      <c r="H161" s="280"/>
      <c r="I161" s="280"/>
      <c r="J161" s="280"/>
      <c r="K161" s="280"/>
      <c r="L161" s="280"/>
      <c r="M161" s="280"/>
      <c r="N161" s="280"/>
      <c r="O161" s="280"/>
      <c r="P161" s="280"/>
      <c r="Q161" s="280"/>
      <c r="R161" s="280"/>
      <c r="S161" s="280"/>
      <c r="T161" s="280"/>
      <c r="U161" s="280"/>
      <c r="V161" s="280"/>
      <c r="W161" s="281"/>
      <c r="X161" s="281"/>
      <c r="Y161" s="281"/>
      <c r="Z161" s="281"/>
      <c r="AA161" s="280"/>
      <c r="AB161" s="280"/>
      <c r="AC161" s="281"/>
      <c r="AD161" s="281"/>
      <c r="AE161" s="281"/>
      <c r="AF161" s="281"/>
      <c r="AG161" s="281"/>
      <c r="AH161" s="281"/>
      <c r="AI161" s="281"/>
      <c r="AJ161" s="281"/>
      <c r="AK161" s="281"/>
      <c r="AL161" s="281"/>
      <c r="AM161" s="281"/>
      <c r="AN161" s="281"/>
      <c r="AO161" s="281"/>
      <c r="AP161" s="281"/>
      <c r="AQ161" s="281"/>
      <c r="AR161" s="281"/>
      <c r="AS161" s="281"/>
      <c r="AT161" s="281"/>
      <c r="AU161" s="281">
        <f t="shared" si="799"/>
        <v>-139</v>
      </c>
      <c r="AV161" s="281"/>
      <c r="AW161" s="281"/>
      <c r="AX161" s="281">
        <v>-139</v>
      </c>
      <c r="AY161" s="281">
        <v>-140</v>
      </c>
      <c r="AZ161" s="281"/>
      <c r="BA161" s="281"/>
      <c r="BB161" s="281"/>
      <c r="BC161" s="281"/>
      <c r="BD161" s="281"/>
      <c r="BE161" s="281"/>
      <c r="BF161" s="281"/>
      <c r="BG161" s="281"/>
      <c r="BH161" s="281"/>
      <c r="BI161" s="281"/>
      <c r="BJ161" s="281"/>
      <c r="BK161" s="281"/>
      <c r="BL161" s="281"/>
      <c r="BM161" s="281"/>
      <c r="BN161" s="281"/>
      <c r="BO161" s="281"/>
      <c r="BP161" s="281"/>
      <c r="BQ161" s="281"/>
      <c r="BR161" s="281"/>
      <c r="BS161" s="281"/>
      <c r="BT161" s="281"/>
      <c r="BU161" s="281"/>
      <c r="BV161" s="281"/>
      <c r="BW161" s="281"/>
      <c r="BX161" s="281"/>
      <c r="BY161" s="281"/>
      <c r="BZ161" s="281"/>
      <c r="CA161" s="281"/>
      <c r="CB161" s="281"/>
      <c r="CC161" s="281"/>
      <c r="CD161" s="281"/>
      <c r="CE161" s="281"/>
      <c r="CF161" s="281"/>
      <c r="CG161" s="281"/>
      <c r="CH161" s="281"/>
      <c r="CI161" s="281"/>
      <c r="CJ161" s="281"/>
      <c r="CK161" s="281"/>
      <c r="CL161" s="281"/>
      <c r="CM161" s="281"/>
      <c r="CN161" s="281"/>
      <c r="CO161" s="281"/>
    </row>
    <row r="162" spans="1:93" s="289" customFormat="1" x14ac:dyDescent="0.25">
      <c r="A162" s="713" t="s">
        <v>695</v>
      </c>
      <c r="B162" s="280"/>
      <c r="C162" s="280"/>
      <c r="D162" s="280"/>
      <c r="E162" s="280"/>
      <c r="F162" s="280"/>
      <c r="G162" s="280"/>
      <c r="H162" s="280"/>
      <c r="I162" s="280"/>
      <c r="J162" s="280"/>
      <c r="K162" s="280"/>
      <c r="L162" s="280"/>
      <c r="M162" s="280"/>
      <c r="N162" s="280"/>
      <c r="O162" s="280"/>
      <c r="P162" s="280"/>
      <c r="Q162" s="280"/>
      <c r="R162" s="280"/>
      <c r="S162" s="280"/>
      <c r="T162" s="280"/>
      <c r="U162" s="280"/>
      <c r="V162" s="280"/>
      <c r="W162" s="281"/>
      <c r="X162" s="281"/>
      <c r="Y162" s="281"/>
      <c r="Z162" s="281"/>
      <c r="AA162" s="280"/>
      <c r="AB162" s="280"/>
      <c r="AC162" s="281"/>
      <c r="AD162" s="281"/>
      <c r="AE162" s="281"/>
      <c r="AF162" s="281"/>
      <c r="AG162" s="281"/>
      <c r="AH162" s="281"/>
      <c r="AI162" s="281"/>
      <c r="AJ162" s="281"/>
      <c r="AK162" s="281"/>
      <c r="AL162" s="281"/>
      <c r="AM162" s="281"/>
      <c r="AN162" s="281"/>
      <c r="AO162" s="281"/>
      <c r="AP162" s="281"/>
      <c r="AQ162" s="281"/>
      <c r="AR162" s="281"/>
      <c r="AS162" s="281"/>
      <c r="AT162" s="281"/>
      <c r="AU162" s="281">
        <f t="shared" si="799"/>
        <v>142</v>
      </c>
      <c r="AV162" s="281"/>
      <c r="AW162" s="281"/>
      <c r="AX162" s="281">
        <v>142</v>
      </c>
      <c r="AY162" s="281">
        <v>701</v>
      </c>
      <c r="AZ162" s="281"/>
      <c r="BA162" s="281"/>
      <c r="BB162" s="281"/>
      <c r="BC162" s="281"/>
      <c r="BD162" s="281"/>
      <c r="BE162" s="281"/>
      <c r="BF162" s="281"/>
      <c r="BG162" s="281"/>
      <c r="BH162" s="281"/>
      <c r="BI162" s="281"/>
      <c r="BJ162" s="281"/>
      <c r="BK162" s="281"/>
      <c r="BL162" s="281"/>
      <c r="BM162" s="281"/>
      <c r="BN162" s="281"/>
      <c r="BO162" s="281"/>
      <c r="BP162" s="281"/>
      <c r="BQ162" s="281"/>
      <c r="BR162" s="281"/>
      <c r="BS162" s="281"/>
      <c r="BT162" s="281"/>
      <c r="BU162" s="281"/>
      <c r="BV162" s="281"/>
      <c r="BW162" s="281"/>
      <c r="BX162" s="281"/>
      <c r="BY162" s="281"/>
      <c r="BZ162" s="281"/>
      <c r="CA162" s="281"/>
      <c r="CB162" s="281"/>
      <c r="CC162" s="281"/>
      <c r="CD162" s="281"/>
      <c r="CE162" s="281"/>
      <c r="CF162" s="281"/>
      <c r="CG162" s="281"/>
      <c r="CH162" s="281"/>
      <c r="CI162" s="281"/>
      <c r="CJ162" s="281"/>
      <c r="CK162" s="281"/>
      <c r="CL162" s="281"/>
      <c r="CM162" s="281"/>
      <c r="CN162" s="281"/>
      <c r="CO162" s="281"/>
    </row>
    <row r="163" spans="1:93" s="289" customFormat="1" x14ac:dyDescent="0.25">
      <c r="A163" s="484" t="s">
        <v>671</v>
      </c>
      <c r="B163" s="487">
        <f t="shared" ref="B163" si="817">SUM(B164:B168)</f>
        <v>521</v>
      </c>
      <c r="C163" s="487">
        <f t="shared" ref="C163" si="818">SUM(C164:C168)</f>
        <v>2852</v>
      </c>
      <c r="D163" s="487">
        <f t="shared" ref="D163" si="819">SUM(D164:D168)</f>
        <v>2207</v>
      </c>
      <c r="E163" s="487">
        <f t="shared" ref="E163" si="820">SUM(E164:E168)</f>
        <v>2641</v>
      </c>
      <c r="F163" s="487">
        <f t="shared" ref="F163" si="821">SUM(F164:F168)</f>
        <v>1665</v>
      </c>
      <c r="G163" s="487">
        <f t="shared" ref="G163" si="822">SUM(G164:G168)</f>
        <v>0</v>
      </c>
      <c r="H163" s="487">
        <f t="shared" ref="H163" si="823">SUM(H164:H168)</f>
        <v>0</v>
      </c>
      <c r="I163" s="487">
        <f t="shared" ref="I163" si="824">SUM(I164:I168)</f>
        <v>0</v>
      </c>
      <c r="J163" s="487">
        <f t="shared" ref="J163" si="825">SUM(J164:J168)</f>
        <v>0</v>
      </c>
      <c r="K163" s="487">
        <f t="shared" ref="K163" si="826">SUM(K164:K168)</f>
        <v>0</v>
      </c>
      <c r="L163" s="487">
        <f t="shared" ref="L163" si="827">SUM(L164:L168)</f>
        <v>0</v>
      </c>
      <c r="M163" s="487">
        <f t="shared" ref="M163" si="828">SUM(M164:M168)</f>
        <v>0</v>
      </c>
      <c r="N163" s="487">
        <f t="shared" ref="N163" si="829">SUM(N164:N168)</f>
        <v>0</v>
      </c>
      <c r="O163" s="487">
        <f t="shared" ref="O163" si="830">SUM(O164:O168)</f>
        <v>-3388</v>
      </c>
      <c r="P163" s="487">
        <f t="shared" ref="P163" si="831">SUM(P164:P168)</f>
        <v>-3246</v>
      </c>
      <c r="Q163" s="487">
        <f t="shared" ref="Q163" si="832">SUM(Q164:Q168)</f>
        <v>-3764</v>
      </c>
      <c r="R163" s="487">
        <f t="shared" ref="R163" si="833">SUM(R164:R168)</f>
        <v>0</v>
      </c>
      <c r="S163" s="487">
        <f t="shared" ref="S163" si="834">SUM(S164:S168)</f>
        <v>0</v>
      </c>
      <c r="T163" s="487">
        <f t="shared" ref="T163" si="835">SUM(T164:T168)</f>
        <v>0</v>
      </c>
      <c r="U163" s="487">
        <f t="shared" ref="U163" si="836">SUM(U164:U168)</f>
        <v>21894</v>
      </c>
      <c r="V163" s="487">
        <f t="shared" ref="V163" si="837">SUM(V164:V168)</f>
        <v>0</v>
      </c>
      <c r="W163" s="487">
        <f t="shared" ref="W163" si="838">SUM(W164:W168)</f>
        <v>0</v>
      </c>
      <c r="X163" s="487">
        <f t="shared" ref="X163" si="839">SUM(X164:X168)</f>
        <v>21894</v>
      </c>
      <c r="Y163" s="487">
        <f t="shared" ref="Y163" si="840">SUM(Y164:Y168)</f>
        <v>12828</v>
      </c>
      <c r="Z163" s="487">
        <f t="shared" ref="Z163" si="841">SUM(Z164:Z168)</f>
        <v>12893</v>
      </c>
      <c r="AA163" s="487">
        <f t="shared" ref="AA163" si="842">SUM(AA164:AA168)</f>
        <v>10267</v>
      </c>
      <c r="AB163" s="487">
        <f t="shared" ref="AB163" si="843">SUM(AB164:AB168)</f>
        <v>6406</v>
      </c>
      <c r="AC163" s="487">
        <f t="shared" ref="AC163" si="844">SUM(AC164:AC168)</f>
        <v>25721</v>
      </c>
      <c r="AD163" s="487">
        <f t="shared" ref="AD163" si="845">SUM(AD164:AD168)</f>
        <v>35988</v>
      </c>
      <c r="AE163" s="487">
        <f t="shared" ref="AE163" si="846">SUM(AE164:AE168)</f>
        <v>42394</v>
      </c>
      <c r="AF163" s="487">
        <f t="shared" ref="AF163:AK163" si="847">SUM(AF164:AF168)</f>
        <v>-10778</v>
      </c>
      <c r="AG163" s="487">
        <f t="shared" si="584"/>
        <v>-10862</v>
      </c>
      <c r="AH163" s="487">
        <f t="shared" si="320"/>
        <v>-10905</v>
      </c>
      <c r="AI163" s="487">
        <f t="shared" si="321"/>
        <v>-20668</v>
      </c>
      <c r="AJ163" s="487">
        <f t="shared" si="847"/>
        <v>-21640</v>
      </c>
      <c r="AK163" s="487">
        <f t="shared" si="847"/>
        <v>-32545</v>
      </c>
      <c r="AL163" s="487">
        <f>SUM(AL164:AL168)</f>
        <v>-53213</v>
      </c>
      <c r="AM163" s="487">
        <f>SUM(AM164:AM168)</f>
        <v>-12050</v>
      </c>
      <c r="AN163" s="487">
        <f t="shared" si="323"/>
        <v>-10486</v>
      </c>
      <c r="AO163" s="487">
        <f t="shared" si="324"/>
        <v>-11399</v>
      </c>
      <c r="AP163" s="487">
        <f t="shared" si="324"/>
        <v>-3063</v>
      </c>
      <c r="AQ163" s="487">
        <f>SUM(AQ164:AQ168)</f>
        <v>-22536</v>
      </c>
      <c r="AR163" s="487">
        <f>SUM(AR164:AR168)</f>
        <v>-33935</v>
      </c>
      <c r="AS163" s="487">
        <f>SUM(AS164:AS168)</f>
        <v>-36998</v>
      </c>
      <c r="AT163" s="487">
        <f>SUM(AT164:AT168)</f>
        <v>-11193</v>
      </c>
      <c r="AU163" s="487">
        <f t="shared" ref="AU163" si="848">SUM(AU164:AU168)</f>
        <v>-11225</v>
      </c>
      <c r="AV163" s="487">
        <f>SUM(AV164:AV168)</f>
        <v>-11150</v>
      </c>
      <c r="AW163" s="487">
        <f t="shared" si="419"/>
        <v>-11455</v>
      </c>
      <c r="AX163" s="487">
        <f t="shared" ref="AX163:BE163" si="849">SUM(AX164:AX168)</f>
        <v>-22418</v>
      </c>
      <c r="AY163" s="487">
        <f t="shared" si="849"/>
        <v>-33568</v>
      </c>
      <c r="AZ163" s="487">
        <f t="shared" si="849"/>
        <v>-45023</v>
      </c>
      <c r="BA163" s="487">
        <f t="shared" si="849"/>
        <v>-3705</v>
      </c>
      <c r="BB163" s="487">
        <f t="shared" si="849"/>
        <v>-3729</v>
      </c>
      <c r="BC163" s="487">
        <f t="shared" si="849"/>
        <v>-3798</v>
      </c>
      <c r="BD163" s="487">
        <f t="shared" si="849"/>
        <v>-3484</v>
      </c>
      <c r="BE163" s="487">
        <f t="shared" si="849"/>
        <v>-7434</v>
      </c>
      <c r="BF163" s="487">
        <f t="shared" ref="BF163:BG163" si="850">SUM(BF164:BF168)</f>
        <v>-11232</v>
      </c>
      <c r="BG163" s="487">
        <f t="shared" si="850"/>
        <v>-14716</v>
      </c>
      <c r="BH163" s="487">
        <f t="shared" ref="BH163:BL163" si="851">SUM(BH164:BH168)</f>
        <v>8637</v>
      </c>
      <c r="BI163" s="487">
        <f t="shared" si="851"/>
        <v>9731</v>
      </c>
      <c r="BJ163" s="487">
        <f t="shared" si="851"/>
        <v>-27428</v>
      </c>
      <c r="BK163" s="487">
        <f t="shared" si="851"/>
        <v>-3122</v>
      </c>
      <c r="BL163" s="487">
        <f t="shared" si="851"/>
        <v>18368</v>
      </c>
      <c r="BM163" s="487">
        <f t="shared" ref="BM163:BN163" si="852">SUM(BM164:BM168)</f>
        <v>-9060</v>
      </c>
      <c r="BN163" s="487">
        <f t="shared" si="852"/>
        <v>-12182</v>
      </c>
      <c r="BO163" s="487">
        <f t="shared" ref="BO163:BS163" si="853">SUM(BO164:BO168)</f>
        <v>-210</v>
      </c>
      <c r="BP163" s="487">
        <f t="shared" si="853"/>
        <v>-210</v>
      </c>
      <c r="BQ163" s="487">
        <f t="shared" si="853"/>
        <v>-210</v>
      </c>
      <c r="BR163" s="487">
        <f t="shared" si="853"/>
        <v>-210</v>
      </c>
      <c r="BS163" s="487">
        <f t="shared" si="853"/>
        <v>-420</v>
      </c>
      <c r="BT163" s="487">
        <f t="shared" ref="BT163:BU163" si="854">SUM(BT164:BT168)</f>
        <v>-630</v>
      </c>
      <c r="BU163" s="487">
        <f t="shared" si="854"/>
        <v>-840</v>
      </c>
      <c r="BV163" s="487">
        <f t="shared" ref="BV163:BY163" si="855">SUM(BV164:BV168)</f>
        <v>-170</v>
      </c>
      <c r="BW163" s="487">
        <f t="shared" si="855"/>
        <v>-169</v>
      </c>
      <c r="BX163" s="487">
        <f t="shared" si="855"/>
        <v>-170</v>
      </c>
      <c r="BY163" s="487">
        <f t="shared" si="855"/>
        <v>-169</v>
      </c>
      <c r="BZ163" s="487">
        <f t="shared" ref="BZ163:CA163" si="856">SUM(BZ164:BZ168)</f>
        <v>-339</v>
      </c>
      <c r="CA163" s="487">
        <f t="shared" si="856"/>
        <v>-509</v>
      </c>
      <c r="CB163" s="487">
        <f t="shared" ref="CB163:CC163" si="857">SUM(CB164:CB168)</f>
        <v>-678</v>
      </c>
      <c r="CC163" s="487">
        <f t="shared" si="857"/>
        <v>-89</v>
      </c>
      <c r="CD163" s="487">
        <f t="shared" ref="CD163" si="858">SUM(CD164:CD168)</f>
        <v>2211</v>
      </c>
      <c r="CE163" s="487">
        <f t="shared" ref="CE163:CG163" si="859">SUM(CE164:CE168)</f>
        <v>-114</v>
      </c>
      <c r="CF163" s="487">
        <f t="shared" si="859"/>
        <v>-258</v>
      </c>
      <c r="CG163" s="487">
        <f t="shared" si="859"/>
        <v>2122</v>
      </c>
      <c r="CH163" s="487">
        <f t="shared" ref="CH163:CI163" si="860">SUM(CH164:CH168)</f>
        <v>2008</v>
      </c>
      <c r="CI163" s="487">
        <f t="shared" si="860"/>
        <v>1750</v>
      </c>
      <c r="CJ163" s="487">
        <v>-24</v>
      </c>
      <c r="CK163" s="487">
        <f t="shared" ref="CK163" si="861">SUM(CK164:CK168)</f>
        <v>-25</v>
      </c>
      <c r="CL163" s="487">
        <f t="shared" ref="CL163:CO163" si="862">SUM(CL164:CL168)</f>
        <v>0</v>
      </c>
      <c r="CM163" s="487">
        <f t="shared" si="862"/>
        <v>0</v>
      </c>
      <c r="CN163" s="487">
        <f t="shared" si="862"/>
        <v>-49</v>
      </c>
      <c r="CO163" s="487">
        <f t="shared" si="862"/>
        <v>0</v>
      </c>
    </row>
    <row r="164" spans="1:93" s="289" customFormat="1" x14ac:dyDescent="0.25">
      <c r="A164" s="455" t="str">
        <f>Language!C131</f>
        <v>Concepa</v>
      </c>
      <c r="B164" s="282">
        <f t="shared" ref="B164:AE164" si="863">B343</f>
        <v>0</v>
      </c>
      <c r="C164" s="282">
        <f t="shared" si="863"/>
        <v>0</v>
      </c>
      <c r="D164" s="282">
        <f t="shared" si="863"/>
        <v>0</v>
      </c>
      <c r="E164" s="282">
        <f t="shared" si="863"/>
        <v>0</v>
      </c>
      <c r="F164" s="282">
        <f t="shared" si="863"/>
        <v>0</v>
      </c>
      <c r="G164" s="282">
        <f t="shared" si="863"/>
        <v>0</v>
      </c>
      <c r="H164" s="282">
        <f t="shared" si="863"/>
        <v>0</v>
      </c>
      <c r="I164" s="282">
        <f t="shared" si="863"/>
        <v>0</v>
      </c>
      <c r="J164" s="282">
        <f t="shared" si="863"/>
        <v>0</v>
      </c>
      <c r="K164" s="282">
        <f t="shared" si="863"/>
        <v>0</v>
      </c>
      <c r="L164" s="282">
        <f t="shared" si="863"/>
        <v>0</v>
      </c>
      <c r="M164" s="282">
        <f t="shared" si="863"/>
        <v>0</v>
      </c>
      <c r="N164" s="282">
        <f t="shared" si="863"/>
        <v>0</v>
      </c>
      <c r="O164" s="282">
        <f t="shared" si="863"/>
        <v>0</v>
      </c>
      <c r="P164" s="282">
        <f t="shared" si="863"/>
        <v>0</v>
      </c>
      <c r="Q164" s="282">
        <f t="shared" si="863"/>
        <v>0</v>
      </c>
      <c r="R164" s="282">
        <f t="shared" si="863"/>
        <v>0</v>
      </c>
      <c r="S164" s="282">
        <f t="shared" si="863"/>
        <v>0</v>
      </c>
      <c r="T164" s="282">
        <f t="shared" si="863"/>
        <v>0</v>
      </c>
      <c r="U164" s="282">
        <f t="shared" si="863"/>
        <v>0</v>
      </c>
      <c r="V164" s="282">
        <f t="shared" si="863"/>
        <v>0</v>
      </c>
      <c r="W164" s="282">
        <f t="shared" si="863"/>
        <v>0</v>
      </c>
      <c r="X164" s="282">
        <f t="shared" si="863"/>
        <v>0</v>
      </c>
      <c r="Y164" s="282">
        <f t="shared" si="863"/>
        <v>0</v>
      </c>
      <c r="Z164" s="282">
        <f t="shared" si="863"/>
        <v>0</v>
      </c>
      <c r="AA164" s="282">
        <f t="shared" si="863"/>
        <v>0</v>
      </c>
      <c r="AB164" s="282">
        <f t="shared" si="863"/>
        <v>0</v>
      </c>
      <c r="AC164" s="282">
        <f t="shared" si="863"/>
        <v>0</v>
      </c>
      <c r="AD164" s="282">
        <f t="shared" si="863"/>
        <v>0</v>
      </c>
      <c r="AE164" s="282">
        <f t="shared" si="863"/>
        <v>0</v>
      </c>
      <c r="AF164" s="282">
        <f>-AF343</f>
        <v>0</v>
      </c>
      <c r="AG164" s="282">
        <f t="shared" si="584"/>
        <v>0</v>
      </c>
      <c r="AH164" s="282">
        <f t="shared" si="320"/>
        <v>0</v>
      </c>
      <c r="AI164" s="282">
        <f t="shared" si="321"/>
        <v>0</v>
      </c>
      <c r="AJ164" s="282">
        <f>-AJ343</f>
        <v>0</v>
      </c>
      <c r="AK164" s="282">
        <v>0</v>
      </c>
      <c r="AL164" s="282">
        <f>-AL343</f>
        <v>0</v>
      </c>
      <c r="AM164" s="281">
        <v>0</v>
      </c>
      <c r="AN164" s="281">
        <f t="shared" si="323"/>
        <v>0</v>
      </c>
      <c r="AO164" s="281">
        <f t="shared" si="324"/>
        <v>0</v>
      </c>
      <c r="AP164" s="281">
        <f t="shared" si="324"/>
        <v>0</v>
      </c>
      <c r="AQ164" s="281">
        <v>0</v>
      </c>
      <c r="AR164" s="281"/>
      <c r="AS164" s="282"/>
      <c r="AT164" s="281"/>
      <c r="AU164" s="281"/>
      <c r="AV164" s="281"/>
      <c r="AW164" s="281">
        <f t="shared" si="419"/>
        <v>0</v>
      </c>
      <c r="AX164" s="281"/>
      <c r="AY164" s="281">
        <v>0</v>
      </c>
      <c r="AZ164" s="732">
        <v>0</v>
      </c>
      <c r="BA164" s="732">
        <v>0</v>
      </c>
      <c r="BB164" s="732">
        <f>BE164-BA164</f>
        <v>0</v>
      </c>
      <c r="BC164" s="732">
        <f>BF164-BE164</f>
        <v>0</v>
      </c>
      <c r="BD164" s="732">
        <f>BG164-BF164</f>
        <v>0</v>
      </c>
      <c r="BE164" s="732">
        <v>0</v>
      </c>
      <c r="BF164" s="732">
        <v>0</v>
      </c>
      <c r="BG164" s="732">
        <v>0</v>
      </c>
      <c r="BH164" s="732">
        <v>0</v>
      </c>
      <c r="BI164" s="732">
        <v>0</v>
      </c>
      <c r="BJ164" s="732">
        <v>0</v>
      </c>
      <c r="BK164" s="732">
        <v>0</v>
      </c>
      <c r="BL164" s="732">
        <v>0</v>
      </c>
      <c r="BM164" s="732">
        <v>0</v>
      </c>
      <c r="BN164" s="732">
        <v>0</v>
      </c>
      <c r="BO164" s="732"/>
      <c r="BP164" s="732"/>
      <c r="BQ164" s="732"/>
      <c r="BR164" s="732"/>
      <c r="BS164" s="732"/>
      <c r="BT164" s="732"/>
      <c r="BU164" s="732"/>
      <c r="BV164" s="732"/>
      <c r="BW164" s="732"/>
      <c r="BX164" s="732"/>
      <c r="BY164" s="732"/>
      <c r="BZ164" s="732"/>
      <c r="CA164" s="732"/>
      <c r="CB164" s="732"/>
      <c r="CC164" s="732"/>
      <c r="CD164" s="732"/>
      <c r="CE164" s="732"/>
      <c r="CF164" s="732"/>
      <c r="CG164" s="732"/>
      <c r="CH164" s="732"/>
      <c r="CI164" s="732"/>
      <c r="CJ164" s="732"/>
      <c r="CK164" s="732"/>
      <c r="CL164" s="732"/>
      <c r="CM164" s="732"/>
      <c r="CN164" s="732"/>
      <c r="CO164" s="732"/>
    </row>
    <row r="165" spans="1:93" s="289" customFormat="1" x14ac:dyDescent="0.25">
      <c r="A165" s="455" t="str">
        <f>Language!C132</f>
        <v>Concer</v>
      </c>
      <c r="B165" s="282">
        <f t="shared" ref="B165:AE165" si="864">B344</f>
        <v>0</v>
      </c>
      <c r="C165" s="282">
        <f t="shared" si="864"/>
        <v>0</v>
      </c>
      <c r="D165" s="282">
        <f t="shared" si="864"/>
        <v>0</v>
      </c>
      <c r="E165" s="282">
        <f t="shared" si="864"/>
        <v>0</v>
      </c>
      <c r="F165" s="282">
        <f t="shared" si="864"/>
        <v>0</v>
      </c>
      <c r="G165" s="282">
        <f t="shared" si="864"/>
        <v>0</v>
      </c>
      <c r="H165" s="282">
        <f t="shared" si="864"/>
        <v>0</v>
      </c>
      <c r="I165" s="282">
        <f t="shared" si="864"/>
        <v>0</v>
      </c>
      <c r="J165" s="282">
        <f t="shared" si="864"/>
        <v>0</v>
      </c>
      <c r="K165" s="282">
        <f t="shared" si="864"/>
        <v>0</v>
      </c>
      <c r="L165" s="282">
        <f t="shared" si="864"/>
        <v>0</v>
      </c>
      <c r="M165" s="282">
        <f t="shared" si="864"/>
        <v>0</v>
      </c>
      <c r="N165" s="282">
        <f t="shared" si="864"/>
        <v>0</v>
      </c>
      <c r="O165" s="282">
        <f t="shared" si="864"/>
        <v>0</v>
      </c>
      <c r="P165" s="282">
        <f t="shared" si="864"/>
        <v>0</v>
      </c>
      <c r="Q165" s="282">
        <f t="shared" si="864"/>
        <v>0</v>
      </c>
      <c r="R165" s="282">
        <f t="shared" si="864"/>
        <v>0</v>
      </c>
      <c r="S165" s="282">
        <f t="shared" si="864"/>
        <v>0</v>
      </c>
      <c r="T165" s="282">
        <f t="shared" si="864"/>
        <v>0</v>
      </c>
      <c r="U165" s="282">
        <f t="shared" si="864"/>
        <v>0</v>
      </c>
      <c r="V165" s="282">
        <f t="shared" si="864"/>
        <v>0</v>
      </c>
      <c r="W165" s="282">
        <f t="shared" si="864"/>
        <v>0</v>
      </c>
      <c r="X165" s="282">
        <f t="shared" si="864"/>
        <v>0</v>
      </c>
      <c r="Y165" s="282">
        <f t="shared" si="864"/>
        <v>0</v>
      </c>
      <c r="Z165" s="282">
        <f t="shared" si="864"/>
        <v>0</v>
      </c>
      <c r="AA165" s="282">
        <f t="shared" si="864"/>
        <v>0</v>
      </c>
      <c r="AB165" s="282">
        <f t="shared" si="864"/>
        <v>0</v>
      </c>
      <c r="AC165" s="282">
        <f t="shared" si="864"/>
        <v>0</v>
      </c>
      <c r="AD165" s="282">
        <f t="shared" si="864"/>
        <v>0</v>
      </c>
      <c r="AE165" s="282">
        <f t="shared" si="864"/>
        <v>0</v>
      </c>
      <c r="AF165" s="282">
        <f>-AF344</f>
        <v>0</v>
      </c>
      <c r="AG165" s="282">
        <f t="shared" si="584"/>
        <v>0</v>
      </c>
      <c r="AH165" s="282">
        <f t="shared" si="320"/>
        <v>0</v>
      </c>
      <c r="AI165" s="282">
        <f t="shared" si="321"/>
        <v>0</v>
      </c>
      <c r="AJ165" s="282">
        <f>-AJ344</f>
        <v>0</v>
      </c>
      <c r="AK165" s="282">
        <v>0</v>
      </c>
      <c r="AL165" s="282">
        <f t="shared" ref="AL165:AL168" si="865">-AL344</f>
        <v>0</v>
      </c>
      <c r="AM165" s="281">
        <v>0</v>
      </c>
      <c r="AN165" s="281">
        <f t="shared" si="323"/>
        <v>0</v>
      </c>
      <c r="AO165" s="281">
        <f t="shared" si="324"/>
        <v>0</v>
      </c>
      <c r="AP165" s="281">
        <f t="shared" si="324"/>
        <v>0</v>
      </c>
      <c r="AQ165" s="281">
        <v>0</v>
      </c>
      <c r="AR165" s="281"/>
      <c r="AS165" s="282"/>
      <c r="AT165" s="281"/>
      <c r="AU165" s="281"/>
      <c r="AV165" s="281"/>
      <c r="AW165" s="281">
        <f t="shared" si="419"/>
        <v>0</v>
      </c>
      <c r="AX165" s="281"/>
      <c r="AY165" s="281">
        <v>0</v>
      </c>
      <c r="AZ165" s="732">
        <v>0</v>
      </c>
      <c r="BA165" s="732">
        <v>0</v>
      </c>
      <c r="BB165" s="732">
        <f t="shared" ref="BB165:BB168" si="866">BE165-BA165</f>
        <v>0</v>
      </c>
      <c r="BC165" s="732">
        <f t="shared" ref="BC165:BC168" si="867">BF165-BE165</f>
        <v>0</v>
      </c>
      <c r="BD165" s="732">
        <f t="shared" ref="BD165:BD168" si="868">BG165-BF165</f>
        <v>489</v>
      </c>
      <c r="BE165" s="732">
        <v>0</v>
      </c>
      <c r="BF165" s="732">
        <v>0</v>
      </c>
      <c r="BG165" s="281">
        <v>489</v>
      </c>
      <c r="BH165" s="281">
        <v>0</v>
      </c>
      <c r="BI165" s="281">
        <v>0</v>
      </c>
      <c r="BJ165" s="281">
        <v>0</v>
      </c>
      <c r="BK165" s="281">
        <f>BN165-BM165</f>
        <v>0</v>
      </c>
      <c r="BL165" s="281">
        <v>0</v>
      </c>
      <c r="BM165" s="281">
        <v>0</v>
      </c>
      <c r="BN165" s="281">
        <v>0</v>
      </c>
      <c r="BO165" s="281">
        <v>0</v>
      </c>
      <c r="BP165" s="281">
        <f>BS165-BO165</f>
        <v>0</v>
      </c>
      <c r="BQ165" s="281">
        <f>BT165-BS165</f>
        <v>0</v>
      </c>
      <c r="BR165" s="281">
        <f>BU165-BT165</f>
        <v>0</v>
      </c>
      <c r="BS165" s="281">
        <v>0</v>
      </c>
      <c r="BT165" s="281">
        <v>0</v>
      </c>
      <c r="BU165" s="281">
        <v>0</v>
      </c>
      <c r="BV165" s="281">
        <v>0</v>
      </c>
      <c r="BW165" s="281">
        <v>0</v>
      </c>
      <c r="BX165" s="281">
        <v>0</v>
      </c>
      <c r="BY165" s="281">
        <v>0</v>
      </c>
      <c r="BZ165" s="281">
        <v>0</v>
      </c>
      <c r="CA165" s="281">
        <v>0</v>
      </c>
      <c r="CB165" s="281">
        <v>0</v>
      </c>
      <c r="CC165" s="281">
        <v>0</v>
      </c>
      <c r="CD165" s="281">
        <v>0</v>
      </c>
      <c r="CE165" s="281">
        <v>0</v>
      </c>
      <c r="CF165" s="281">
        <v>0</v>
      </c>
      <c r="CG165" s="281">
        <v>0</v>
      </c>
      <c r="CH165" s="281">
        <v>0</v>
      </c>
      <c r="CI165" s="281">
        <v>0</v>
      </c>
      <c r="CJ165" s="281">
        <v>0</v>
      </c>
      <c r="CK165" s="281">
        <f>CN165-CJ165</f>
        <v>0</v>
      </c>
      <c r="CL165" s="281">
        <v>0</v>
      </c>
      <c r="CM165" s="281">
        <v>0</v>
      </c>
      <c r="CN165" s="281">
        <v>0</v>
      </c>
      <c r="CO165" s="281">
        <v>0</v>
      </c>
    </row>
    <row r="166" spans="1:93" s="289" customFormat="1" x14ac:dyDescent="0.25">
      <c r="A166" s="455" t="str">
        <f>Language!C133</f>
        <v>Econorte</v>
      </c>
      <c r="B166" s="282">
        <f t="shared" ref="B166:AE166" si="869">B345</f>
        <v>521</v>
      </c>
      <c r="C166" s="282">
        <f t="shared" si="869"/>
        <v>2852</v>
      </c>
      <c r="D166" s="282">
        <f t="shared" si="869"/>
        <v>2207</v>
      </c>
      <c r="E166" s="282">
        <f t="shared" si="869"/>
        <v>2641</v>
      </c>
      <c r="F166" s="282">
        <f t="shared" si="869"/>
        <v>1665</v>
      </c>
      <c r="G166" s="282">
        <f t="shared" si="869"/>
        <v>0</v>
      </c>
      <c r="H166" s="282">
        <f t="shared" si="869"/>
        <v>0</v>
      </c>
      <c r="I166" s="282">
        <f t="shared" si="869"/>
        <v>0</v>
      </c>
      <c r="J166" s="282">
        <f t="shared" si="869"/>
        <v>0</v>
      </c>
      <c r="K166" s="282">
        <f t="shared" si="869"/>
        <v>0</v>
      </c>
      <c r="L166" s="282">
        <f t="shared" si="869"/>
        <v>0</v>
      </c>
      <c r="M166" s="282">
        <f t="shared" si="869"/>
        <v>0</v>
      </c>
      <c r="N166" s="282">
        <f t="shared" si="869"/>
        <v>0</v>
      </c>
      <c r="O166" s="282">
        <f t="shared" si="869"/>
        <v>-3388</v>
      </c>
      <c r="P166" s="282">
        <f t="shared" si="869"/>
        <v>-3246</v>
      </c>
      <c r="Q166" s="282">
        <f t="shared" si="869"/>
        <v>-3764</v>
      </c>
      <c r="R166" s="282">
        <f t="shared" si="869"/>
        <v>0</v>
      </c>
      <c r="S166" s="282">
        <f t="shared" si="869"/>
        <v>0</v>
      </c>
      <c r="T166" s="282">
        <f t="shared" si="869"/>
        <v>0</v>
      </c>
      <c r="U166" s="282">
        <f t="shared" si="869"/>
        <v>0</v>
      </c>
      <c r="V166" s="282">
        <f t="shared" si="869"/>
        <v>0</v>
      </c>
      <c r="W166" s="282">
        <f t="shared" si="869"/>
        <v>0</v>
      </c>
      <c r="X166" s="282">
        <f t="shared" si="869"/>
        <v>0</v>
      </c>
      <c r="Y166" s="282">
        <f t="shared" si="869"/>
        <v>3526</v>
      </c>
      <c r="Z166" s="282">
        <f t="shared" si="869"/>
        <v>3592</v>
      </c>
      <c r="AA166" s="282">
        <f t="shared" si="869"/>
        <v>3685</v>
      </c>
      <c r="AB166" s="282">
        <f t="shared" si="869"/>
        <v>3754</v>
      </c>
      <c r="AC166" s="282">
        <f t="shared" si="869"/>
        <v>7118</v>
      </c>
      <c r="AD166" s="282">
        <f t="shared" si="869"/>
        <v>10803</v>
      </c>
      <c r="AE166" s="282">
        <f t="shared" si="869"/>
        <v>14557</v>
      </c>
      <c r="AF166" s="282">
        <f>-AF345</f>
        <v>-3569</v>
      </c>
      <c r="AG166" s="282">
        <f t="shared" si="584"/>
        <v>-3655</v>
      </c>
      <c r="AH166" s="282">
        <f t="shared" si="320"/>
        <v>-3665</v>
      </c>
      <c r="AI166" s="282">
        <f t="shared" si="321"/>
        <v>-3702</v>
      </c>
      <c r="AJ166" s="282">
        <f>-AJ345</f>
        <v>-7224</v>
      </c>
      <c r="AK166" s="282">
        <v>-10889</v>
      </c>
      <c r="AL166" s="282">
        <f t="shared" si="865"/>
        <v>-14591</v>
      </c>
      <c r="AM166" s="281">
        <v>-3179</v>
      </c>
      <c r="AN166" s="281">
        <f t="shared" si="323"/>
        <v>-1614</v>
      </c>
      <c r="AO166" s="281">
        <f t="shared" si="324"/>
        <v>-2527</v>
      </c>
      <c r="AP166" s="281">
        <f t="shared" si="324"/>
        <v>6223</v>
      </c>
      <c r="AQ166" s="281">
        <v>-4793</v>
      </c>
      <c r="AR166" s="281">
        <v>-7320</v>
      </c>
      <c r="AS166" s="282">
        <v>-1097</v>
      </c>
      <c r="AT166" s="281">
        <v>-2830</v>
      </c>
      <c r="AU166" s="281">
        <f>AX166-AT166</f>
        <v>-2863</v>
      </c>
      <c r="AV166" s="281">
        <f>AY166-AX166</f>
        <v>-2788</v>
      </c>
      <c r="AW166" s="281">
        <f t="shared" si="419"/>
        <v>-2854</v>
      </c>
      <c r="AX166" s="281">
        <v>-5693</v>
      </c>
      <c r="AY166" s="281">
        <v>-8481</v>
      </c>
      <c r="AZ166" s="281">
        <v>-11335</v>
      </c>
      <c r="BA166" s="281">
        <v>-3381</v>
      </c>
      <c r="BB166" s="281">
        <f t="shared" si="866"/>
        <v>-3406</v>
      </c>
      <c r="BC166" s="281">
        <f t="shared" si="867"/>
        <v>-3474</v>
      </c>
      <c r="BD166" s="732">
        <f t="shared" si="868"/>
        <v>-4313</v>
      </c>
      <c r="BE166" s="281">
        <v>-6787</v>
      </c>
      <c r="BF166" s="281">
        <v>-10261</v>
      </c>
      <c r="BG166" s="281">
        <v>-14574</v>
      </c>
      <c r="BH166" s="281">
        <v>8991</v>
      </c>
      <c r="BI166" s="281">
        <f>BL166-BH166</f>
        <v>10085</v>
      </c>
      <c r="BJ166" s="281">
        <f>BM166-BL166</f>
        <v>-27073</v>
      </c>
      <c r="BK166" s="281">
        <f t="shared" ref="BK166:BK168" si="870">BN166-BM166</f>
        <v>-2768</v>
      </c>
      <c r="BL166" s="281">
        <v>19076</v>
      </c>
      <c r="BM166" s="281">
        <v>-7997</v>
      </c>
      <c r="BN166" s="281">
        <v>-10765</v>
      </c>
      <c r="BO166" s="281">
        <v>0</v>
      </c>
      <c r="BP166" s="281">
        <f t="shared" ref="BP166:BP168" si="871">BS166-BO166</f>
        <v>0</v>
      </c>
      <c r="BQ166" s="281">
        <f t="shared" ref="BQ166:BQ168" si="872">BT166-BS166</f>
        <v>0</v>
      </c>
      <c r="BR166" s="281">
        <f t="shared" ref="BR166:BR168" si="873">BU166-BT166</f>
        <v>0</v>
      </c>
      <c r="BS166" s="281">
        <v>0</v>
      </c>
      <c r="BT166" s="281">
        <v>0</v>
      </c>
      <c r="BU166" s="281">
        <v>0</v>
      </c>
      <c r="BV166" s="281">
        <v>0</v>
      </c>
      <c r="BW166" s="281">
        <v>0</v>
      </c>
      <c r="BX166" s="281">
        <v>0</v>
      </c>
      <c r="BY166" s="281">
        <v>0</v>
      </c>
      <c r="BZ166" s="281">
        <v>0</v>
      </c>
      <c r="CA166" s="281">
        <v>0</v>
      </c>
      <c r="CB166" s="281">
        <v>0</v>
      </c>
      <c r="CC166" s="281">
        <v>0</v>
      </c>
      <c r="CD166" s="281">
        <v>0</v>
      </c>
      <c r="CE166" s="281">
        <v>0</v>
      </c>
      <c r="CF166" s="281">
        <v>0</v>
      </c>
      <c r="CG166" s="281">
        <v>0</v>
      </c>
      <c r="CH166" s="281">
        <v>0</v>
      </c>
      <c r="CI166" s="281">
        <v>0</v>
      </c>
      <c r="CJ166" s="281">
        <v>0</v>
      </c>
      <c r="CK166" s="281">
        <f t="shared" ref="CK166:CK168" si="874">CN166-CJ166</f>
        <v>0</v>
      </c>
      <c r="CL166" s="281">
        <v>0</v>
      </c>
      <c r="CM166" s="281">
        <v>0</v>
      </c>
      <c r="CN166" s="281">
        <v>0</v>
      </c>
      <c r="CO166" s="281">
        <v>0</v>
      </c>
    </row>
    <row r="167" spans="1:93" s="289" customFormat="1" x14ac:dyDescent="0.25">
      <c r="A167" s="455" t="str">
        <f>Language!C134</f>
        <v>Concebra</v>
      </c>
      <c r="B167" s="282">
        <f t="shared" ref="B167:AE167" si="875">B346</f>
        <v>0</v>
      </c>
      <c r="C167" s="282">
        <f t="shared" si="875"/>
        <v>0</v>
      </c>
      <c r="D167" s="282">
        <f t="shared" si="875"/>
        <v>0</v>
      </c>
      <c r="E167" s="282">
        <f t="shared" si="875"/>
        <v>0</v>
      </c>
      <c r="F167" s="282">
        <f t="shared" si="875"/>
        <v>0</v>
      </c>
      <c r="G167" s="282">
        <f t="shared" si="875"/>
        <v>0</v>
      </c>
      <c r="H167" s="282">
        <f t="shared" si="875"/>
        <v>0</v>
      </c>
      <c r="I167" s="282">
        <f t="shared" si="875"/>
        <v>0</v>
      </c>
      <c r="J167" s="282">
        <f t="shared" si="875"/>
        <v>0</v>
      </c>
      <c r="K167" s="282">
        <f t="shared" si="875"/>
        <v>0</v>
      </c>
      <c r="L167" s="282">
        <f t="shared" si="875"/>
        <v>0</v>
      </c>
      <c r="M167" s="282">
        <f t="shared" si="875"/>
        <v>0</v>
      </c>
      <c r="N167" s="282">
        <f t="shared" si="875"/>
        <v>0</v>
      </c>
      <c r="O167" s="282">
        <f t="shared" si="875"/>
        <v>0</v>
      </c>
      <c r="P167" s="282">
        <f t="shared" si="875"/>
        <v>0</v>
      </c>
      <c r="Q167" s="282">
        <f t="shared" si="875"/>
        <v>0</v>
      </c>
      <c r="R167" s="282">
        <f t="shared" si="875"/>
        <v>0</v>
      </c>
      <c r="S167" s="282">
        <f t="shared" si="875"/>
        <v>0</v>
      </c>
      <c r="T167" s="282">
        <f t="shared" si="875"/>
        <v>0</v>
      </c>
      <c r="U167" s="282">
        <f t="shared" si="875"/>
        <v>18628</v>
      </c>
      <c r="V167" s="282">
        <f t="shared" si="875"/>
        <v>0</v>
      </c>
      <c r="W167" s="282">
        <f t="shared" si="875"/>
        <v>0</v>
      </c>
      <c r="X167" s="282">
        <f t="shared" si="875"/>
        <v>18628</v>
      </c>
      <c r="Y167" s="282">
        <f t="shared" si="875"/>
        <v>8162</v>
      </c>
      <c r="Z167" s="282">
        <f t="shared" si="875"/>
        <v>8161</v>
      </c>
      <c r="AA167" s="282">
        <f t="shared" si="875"/>
        <v>5442</v>
      </c>
      <c r="AB167" s="282">
        <f t="shared" si="875"/>
        <v>11089</v>
      </c>
      <c r="AC167" s="282">
        <f t="shared" si="875"/>
        <v>16323</v>
      </c>
      <c r="AD167" s="282">
        <f t="shared" si="875"/>
        <v>21765</v>
      </c>
      <c r="AE167" s="282">
        <f t="shared" si="875"/>
        <v>32854</v>
      </c>
      <c r="AF167" s="282">
        <f>-AF346</f>
        <v>-7179</v>
      </c>
      <c r="AG167" s="282">
        <f t="shared" si="584"/>
        <v>-7180</v>
      </c>
      <c r="AH167" s="282">
        <f t="shared" si="320"/>
        <v>-7197</v>
      </c>
      <c r="AI167" s="282">
        <f t="shared" si="321"/>
        <v>-16924</v>
      </c>
      <c r="AJ167" s="282">
        <f>-AJ346</f>
        <v>-14359</v>
      </c>
      <c r="AK167" s="282">
        <v>-21556</v>
      </c>
      <c r="AL167" s="282">
        <f t="shared" si="865"/>
        <v>-38480</v>
      </c>
      <c r="AM167" s="281">
        <v>-8748</v>
      </c>
      <c r="AN167" s="281">
        <f t="shared" si="323"/>
        <v>-8749</v>
      </c>
      <c r="AO167" s="281">
        <f t="shared" si="324"/>
        <v>-8749</v>
      </c>
      <c r="AP167" s="281">
        <f t="shared" si="324"/>
        <v>-9163</v>
      </c>
      <c r="AQ167" s="281">
        <v>-17497</v>
      </c>
      <c r="AR167" s="281">
        <v>-26246</v>
      </c>
      <c r="AS167" s="282">
        <v>-35409</v>
      </c>
      <c r="AT167" s="281">
        <v>-8126</v>
      </c>
      <c r="AU167" s="281">
        <f t="shared" ref="AU167:AU168" si="876">AX167-AT167</f>
        <v>-8125</v>
      </c>
      <c r="AV167" s="281">
        <f t="shared" ref="AV167:AV168" si="877">AY167-AX167</f>
        <v>-8126</v>
      </c>
      <c r="AW167" s="281">
        <f t="shared" si="419"/>
        <v>-8126</v>
      </c>
      <c r="AX167" s="281">
        <v>-16251</v>
      </c>
      <c r="AY167" s="281">
        <v>-24377</v>
      </c>
      <c r="AZ167" s="281">
        <v>-32503</v>
      </c>
      <c r="BA167" s="281">
        <v>0</v>
      </c>
      <c r="BB167" s="281">
        <f t="shared" si="866"/>
        <v>0</v>
      </c>
      <c r="BC167" s="281">
        <f t="shared" si="867"/>
        <v>0</v>
      </c>
      <c r="BD167" s="732">
        <f t="shared" si="868"/>
        <v>0</v>
      </c>
      <c r="BE167" s="281">
        <v>0</v>
      </c>
      <c r="BF167" s="281">
        <v>0</v>
      </c>
      <c r="BG167" s="281">
        <v>0</v>
      </c>
      <c r="BH167" s="281">
        <v>0</v>
      </c>
      <c r="BI167" s="281">
        <f t="shared" ref="BI167:BI168" si="878">BL167-BH167</f>
        <v>0</v>
      </c>
      <c r="BJ167" s="281">
        <f t="shared" ref="BJ167:BJ168" si="879">BM167-BL167</f>
        <v>0</v>
      </c>
      <c r="BK167" s="281">
        <f t="shared" si="870"/>
        <v>0</v>
      </c>
      <c r="BL167" s="281">
        <v>0</v>
      </c>
      <c r="BM167" s="281">
        <v>0</v>
      </c>
      <c r="BN167" s="281">
        <v>0</v>
      </c>
      <c r="BO167" s="281">
        <v>0</v>
      </c>
      <c r="BP167" s="281">
        <f t="shared" si="871"/>
        <v>0</v>
      </c>
      <c r="BQ167" s="281">
        <f t="shared" si="872"/>
        <v>0</v>
      </c>
      <c r="BR167" s="281">
        <f t="shared" si="873"/>
        <v>0</v>
      </c>
      <c r="BS167" s="281">
        <v>0</v>
      </c>
      <c r="BT167" s="281">
        <v>0</v>
      </c>
      <c r="BU167" s="281">
        <v>0</v>
      </c>
      <c r="BV167" s="281">
        <v>0</v>
      </c>
      <c r="BW167" s="281">
        <v>0</v>
      </c>
      <c r="BX167" s="281">
        <v>0</v>
      </c>
      <c r="BY167" s="281">
        <v>0</v>
      </c>
      <c r="BZ167" s="281">
        <v>0</v>
      </c>
      <c r="CA167" s="281">
        <v>0</v>
      </c>
      <c r="CB167" s="281">
        <v>0</v>
      </c>
      <c r="CC167" s="281">
        <v>0</v>
      </c>
      <c r="CD167" s="281">
        <v>0</v>
      </c>
      <c r="CE167" s="281">
        <v>0</v>
      </c>
      <c r="CF167" s="281">
        <v>0</v>
      </c>
      <c r="CG167" s="281">
        <v>0</v>
      </c>
      <c r="CH167" s="281">
        <v>0</v>
      </c>
      <c r="CI167" s="281">
        <v>0</v>
      </c>
      <c r="CJ167" s="281">
        <v>0</v>
      </c>
      <c r="CK167" s="281">
        <f t="shared" si="874"/>
        <v>0</v>
      </c>
      <c r="CL167" s="281">
        <v>0</v>
      </c>
      <c r="CM167" s="281">
        <v>0</v>
      </c>
      <c r="CN167" s="281">
        <v>0</v>
      </c>
      <c r="CO167" s="281">
        <v>0</v>
      </c>
    </row>
    <row r="168" spans="1:93" s="289" customFormat="1" x14ac:dyDescent="0.25">
      <c r="A168" s="455" t="str">
        <f>Language!C135</f>
        <v>Transbrasiliana</v>
      </c>
      <c r="B168" s="282">
        <f t="shared" ref="B168:AE168" si="880">B347</f>
        <v>0</v>
      </c>
      <c r="C168" s="282">
        <f t="shared" si="880"/>
        <v>0</v>
      </c>
      <c r="D168" s="282">
        <f t="shared" si="880"/>
        <v>0</v>
      </c>
      <c r="E168" s="282">
        <f t="shared" si="880"/>
        <v>0</v>
      </c>
      <c r="F168" s="282">
        <f t="shared" si="880"/>
        <v>0</v>
      </c>
      <c r="G168" s="282">
        <f t="shared" si="880"/>
        <v>0</v>
      </c>
      <c r="H168" s="282">
        <f t="shared" si="880"/>
        <v>0</v>
      </c>
      <c r="I168" s="282">
        <f t="shared" si="880"/>
        <v>0</v>
      </c>
      <c r="J168" s="282">
        <f t="shared" si="880"/>
        <v>0</v>
      </c>
      <c r="K168" s="282">
        <f t="shared" si="880"/>
        <v>0</v>
      </c>
      <c r="L168" s="282">
        <f t="shared" si="880"/>
        <v>0</v>
      </c>
      <c r="M168" s="282">
        <f t="shared" si="880"/>
        <v>0</v>
      </c>
      <c r="N168" s="282">
        <f t="shared" si="880"/>
        <v>0</v>
      </c>
      <c r="O168" s="282">
        <f t="shared" si="880"/>
        <v>0</v>
      </c>
      <c r="P168" s="282">
        <f t="shared" si="880"/>
        <v>0</v>
      </c>
      <c r="Q168" s="282">
        <f t="shared" si="880"/>
        <v>0</v>
      </c>
      <c r="R168" s="282">
        <f t="shared" si="880"/>
        <v>0</v>
      </c>
      <c r="S168" s="282">
        <f t="shared" si="880"/>
        <v>0</v>
      </c>
      <c r="T168" s="282">
        <f t="shared" si="880"/>
        <v>0</v>
      </c>
      <c r="U168" s="282">
        <f t="shared" si="880"/>
        <v>3266</v>
      </c>
      <c r="V168" s="282">
        <f t="shared" si="880"/>
        <v>0</v>
      </c>
      <c r="W168" s="282">
        <f t="shared" si="880"/>
        <v>0</v>
      </c>
      <c r="X168" s="282">
        <f t="shared" si="880"/>
        <v>3266</v>
      </c>
      <c r="Y168" s="282">
        <f t="shared" si="880"/>
        <v>1140</v>
      </c>
      <c r="Z168" s="282">
        <f t="shared" si="880"/>
        <v>1140</v>
      </c>
      <c r="AA168" s="282">
        <f t="shared" si="880"/>
        <v>1140</v>
      </c>
      <c r="AB168" s="282">
        <f t="shared" si="880"/>
        <v>-8437</v>
      </c>
      <c r="AC168" s="282">
        <f t="shared" si="880"/>
        <v>2280</v>
      </c>
      <c r="AD168" s="282">
        <f t="shared" si="880"/>
        <v>3420</v>
      </c>
      <c r="AE168" s="282">
        <f t="shared" si="880"/>
        <v>-5017</v>
      </c>
      <c r="AF168" s="282">
        <f>-AF347</f>
        <v>-30</v>
      </c>
      <c r="AG168" s="282">
        <f t="shared" si="584"/>
        <v>-27</v>
      </c>
      <c r="AH168" s="282">
        <f t="shared" si="320"/>
        <v>-43</v>
      </c>
      <c r="AI168" s="282">
        <f t="shared" si="321"/>
        <v>-42</v>
      </c>
      <c r="AJ168" s="282">
        <f>-AJ347</f>
        <v>-57</v>
      </c>
      <c r="AK168" s="282">
        <v>-100</v>
      </c>
      <c r="AL168" s="282">
        <f t="shared" si="865"/>
        <v>-142</v>
      </c>
      <c r="AM168" s="281">
        <v>-123</v>
      </c>
      <c r="AN168" s="281">
        <f t="shared" si="323"/>
        <v>-123</v>
      </c>
      <c r="AO168" s="281">
        <f t="shared" si="324"/>
        <v>-123</v>
      </c>
      <c r="AP168" s="281">
        <f t="shared" si="324"/>
        <v>-123</v>
      </c>
      <c r="AQ168" s="281">
        <v>-246</v>
      </c>
      <c r="AR168" s="281">
        <v>-369</v>
      </c>
      <c r="AS168" s="282">
        <v>-492</v>
      </c>
      <c r="AT168" s="281">
        <v>-237</v>
      </c>
      <c r="AU168" s="281">
        <f t="shared" si="876"/>
        <v>-237</v>
      </c>
      <c r="AV168" s="281">
        <f t="shared" si="877"/>
        <v>-236</v>
      </c>
      <c r="AW168" s="281">
        <f t="shared" si="419"/>
        <v>-475</v>
      </c>
      <c r="AX168" s="281">
        <v>-474</v>
      </c>
      <c r="AY168" s="281">
        <v>-710</v>
      </c>
      <c r="AZ168" s="281">
        <v>-1185</v>
      </c>
      <c r="BA168" s="281">
        <v>-324</v>
      </c>
      <c r="BB168" s="281">
        <f t="shared" si="866"/>
        <v>-323</v>
      </c>
      <c r="BC168" s="281">
        <f t="shared" si="867"/>
        <v>-324</v>
      </c>
      <c r="BD168" s="732">
        <f t="shared" si="868"/>
        <v>340</v>
      </c>
      <c r="BE168" s="281">
        <v>-647</v>
      </c>
      <c r="BF168" s="281">
        <v>-971</v>
      </c>
      <c r="BG168" s="281">
        <v>-631</v>
      </c>
      <c r="BH168" s="281">
        <v>-354</v>
      </c>
      <c r="BI168" s="281">
        <f t="shared" si="878"/>
        <v>-354</v>
      </c>
      <c r="BJ168" s="281">
        <f t="shared" si="879"/>
        <v>-355</v>
      </c>
      <c r="BK168" s="281">
        <f t="shared" si="870"/>
        <v>-354</v>
      </c>
      <c r="BL168" s="281">
        <v>-708</v>
      </c>
      <c r="BM168" s="281">
        <v>-1063</v>
      </c>
      <c r="BN168" s="281">
        <v>-1417</v>
      </c>
      <c r="BO168" s="281">
        <v>-210</v>
      </c>
      <c r="BP168" s="281">
        <f t="shared" si="871"/>
        <v>-210</v>
      </c>
      <c r="BQ168" s="281">
        <f t="shared" si="872"/>
        <v>-210</v>
      </c>
      <c r="BR168" s="281">
        <f t="shared" si="873"/>
        <v>-210</v>
      </c>
      <c r="BS168" s="281">
        <v>-420</v>
      </c>
      <c r="BT168" s="281">
        <v>-630</v>
      </c>
      <c r="BU168" s="281">
        <v>-840</v>
      </c>
      <c r="BV168" s="281">
        <v>-170</v>
      </c>
      <c r="BW168" s="281">
        <f>BZ168-BV168</f>
        <v>-169</v>
      </c>
      <c r="BX168" s="281">
        <f>CA168-BZ168</f>
        <v>-170</v>
      </c>
      <c r="BY168" s="281">
        <f>CB168-CA168</f>
        <v>-169</v>
      </c>
      <c r="BZ168" s="281">
        <v>-339</v>
      </c>
      <c r="CA168" s="281">
        <v>-509</v>
      </c>
      <c r="CB168" s="281">
        <v>-678</v>
      </c>
      <c r="CC168" s="281">
        <v>-89</v>
      </c>
      <c r="CD168" s="281">
        <f>CG168-CC168</f>
        <v>2211</v>
      </c>
      <c r="CE168" s="281">
        <f>CH168-CG168</f>
        <v>-114</v>
      </c>
      <c r="CF168" s="281">
        <f>CI168-CH168</f>
        <v>-258</v>
      </c>
      <c r="CG168" s="281">
        <v>2122</v>
      </c>
      <c r="CH168" s="281">
        <v>2008</v>
      </c>
      <c r="CI168" s="281">
        <v>1750</v>
      </c>
      <c r="CJ168" s="281">
        <v>-24</v>
      </c>
      <c r="CK168" s="281">
        <f t="shared" si="874"/>
        <v>-25</v>
      </c>
      <c r="CL168" s="281"/>
      <c r="CM168" s="281"/>
      <c r="CN168" s="281">
        <v>-49</v>
      </c>
      <c r="CO168" s="281"/>
    </row>
    <row r="169" spans="1:93" s="289" customFormat="1" x14ac:dyDescent="0.25">
      <c r="A169" s="713" t="s">
        <v>670</v>
      </c>
      <c r="B169" s="281"/>
      <c r="C169" s="281"/>
      <c r="D169" s="281"/>
      <c r="E169" s="281"/>
      <c r="F169" s="281"/>
      <c r="G169" s="281"/>
      <c r="H169" s="281"/>
      <c r="I169" s="281"/>
      <c r="J169" s="281"/>
      <c r="K169" s="281"/>
      <c r="L169" s="281"/>
      <c r="M169" s="281"/>
      <c r="N169" s="281"/>
      <c r="O169" s="281"/>
      <c r="P169" s="281"/>
      <c r="Q169" s="281"/>
      <c r="R169" s="281"/>
      <c r="S169" s="281"/>
      <c r="T169" s="281"/>
      <c r="U169" s="281"/>
      <c r="V169" s="281"/>
      <c r="W169" s="281"/>
      <c r="X169" s="282"/>
      <c r="Y169" s="281"/>
      <c r="Z169" s="281"/>
      <c r="AA169" s="281"/>
      <c r="AB169" s="281"/>
      <c r="AC169" s="281"/>
      <c r="AD169" s="281"/>
      <c r="AE169" s="282"/>
      <c r="AF169" s="281"/>
      <c r="AG169" s="281"/>
      <c r="AH169" s="281"/>
      <c r="AI169" s="281"/>
      <c r="AJ169" s="281"/>
      <c r="AK169" s="281"/>
      <c r="AL169" s="282"/>
      <c r="AM169" s="281"/>
      <c r="AN169" s="281"/>
      <c r="AO169" s="281"/>
      <c r="AP169" s="281"/>
      <c r="AQ169" s="281"/>
      <c r="AR169" s="281"/>
      <c r="AS169" s="282"/>
      <c r="AT169" s="281"/>
      <c r="AU169" s="281"/>
      <c r="AV169" s="281"/>
      <c r="AW169" s="281"/>
      <c r="AX169" s="281"/>
      <c r="AY169" s="281"/>
      <c r="AZ169" s="281"/>
      <c r="BA169" s="281"/>
      <c r="BB169" s="281"/>
      <c r="BC169" s="281"/>
      <c r="BD169" s="281"/>
      <c r="BE169" s="281"/>
      <c r="BF169" s="281"/>
      <c r="BG169" s="281"/>
      <c r="BH169" s="281"/>
      <c r="BI169" s="281"/>
      <c r="BJ169" s="281"/>
      <c r="BK169" s="281"/>
      <c r="BL169" s="281"/>
      <c r="BM169" s="281"/>
      <c r="BN169" s="281"/>
      <c r="BO169" s="281"/>
      <c r="BP169" s="281"/>
      <c r="BQ169" s="281"/>
      <c r="BR169" s="281"/>
      <c r="BS169" s="281"/>
      <c r="BT169" s="281"/>
      <c r="BU169" s="281"/>
      <c r="BV169" s="281"/>
      <c r="BW169" s="281"/>
      <c r="BX169" s="281"/>
      <c r="BY169" s="281"/>
      <c r="BZ169" s="281"/>
      <c r="CA169" s="281"/>
      <c r="CB169" s="281"/>
      <c r="CC169" s="281"/>
      <c r="CD169" s="281"/>
      <c r="CE169" s="281"/>
      <c r="CF169" s="281"/>
      <c r="CG169" s="281"/>
      <c r="CH169" s="281"/>
      <c r="CI169" s="281"/>
      <c r="CJ169" s="281"/>
      <c r="CK169" s="281"/>
      <c r="CL169" s="281"/>
      <c r="CM169" s="281"/>
      <c r="CN169" s="281"/>
      <c r="CO169" s="281"/>
    </row>
    <row r="170" spans="1:93" s="289" customFormat="1" x14ac:dyDescent="0.25">
      <c r="A170" s="484" t="str">
        <f>Language!C130</f>
        <v>Custos de Construção</v>
      </c>
      <c r="B170" s="485">
        <f t="shared" ref="B170:N170" si="881">SUM(B171,B172,B173,B174,B175)</f>
        <v>-28536</v>
      </c>
      <c r="C170" s="485">
        <f t="shared" si="881"/>
        <v>-5469</v>
      </c>
      <c r="D170" s="485">
        <f t="shared" si="881"/>
        <v>-23849</v>
      </c>
      <c r="E170" s="485">
        <f t="shared" si="881"/>
        <v>-36801</v>
      </c>
      <c r="F170" s="486">
        <f t="shared" si="881"/>
        <v>-28720</v>
      </c>
      <c r="G170" s="485">
        <f t="shared" si="881"/>
        <v>-34265</v>
      </c>
      <c r="H170" s="485">
        <f t="shared" si="881"/>
        <v>-32810</v>
      </c>
      <c r="I170" s="485">
        <f t="shared" si="881"/>
        <v>-52435</v>
      </c>
      <c r="J170" s="486">
        <f t="shared" si="881"/>
        <v>-32616</v>
      </c>
      <c r="K170" s="485">
        <f t="shared" si="881"/>
        <v>-33329</v>
      </c>
      <c r="L170" s="485">
        <f t="shared" si="881"/>
        <v>-33110</v>
      </c>
      <c r="M170" s="485">
        <f t="shared" si="881"/>
        <v>-69580</v>
      </c>
      <c r="N170" s="486">
        <f t="shared" si="881"/>
        <v>-62625</v>
      </c>
      <c r="O170" s="485">
        <f>SUM(O171,O172,O173,O174,O175)</f>
        <v>-189310</v>
      </c>
      <c r="P170" s="485">
        <f t="shared" ref="P170:R170" si="882">SUM(P171,P172,P173,P174,P175)</f>
        <v>-224244</v>
      </c>
      <c r="Q170" s="485">
        <f t="shared" si="882"/>
        <v>-352893</v>
      </c>
      <c r="R170" s="486">
        <f t="shared" si="882"/>
        <v>-307478</v>
      </c>
      <c r="S170" s="485">
        <f t="shared" ref="S170" si="883">SUM(S171,S172,S173,S174,S175)</f>
        <v>-322801</v>
      </c>
      <c r="T170" s="485">
        <f t="shared" ref="T170:Y170" si="884">SUM(T171,T172,T173,T174,T175)</f>
        <v>-231312</v>
      </c>
      <c r="U170" s="485">
        <f t="shared" si="884"/>
        <v>-234158</v>
      </c>
      <c r="V170" s="485">
        <f t="shared" si="884"/>
        <v>-630279</v>
      </c>
      <c r="W170" s="487">
        <f t="shared" si="884"/>
        <v>-861591</v>
      </c>
      <c r="X170" s="488">
        <f t="shared" si="884"/>
        <v>-1095749</v>
      </c>
      <c r="Y170" s="489">
        <f t="shared" si="884"/>
        <v>-91358</v>
      </c>
      <c r="Z170" s="487">
        <f t="shared" ref="Z170:AC170" si="885">SUM(Z171,Z172,Z173,Z174,Z175)</f>
        <v>-85299</v>
      </c>
      <c r="AA170" s="485">
        <f t="shared" si="885"/>
        <v>-51241</v>
      </c>
      <c r="AB170" s="485">
        <f t="shared" si="885"/>
        <v>-86251</v>
      </c>
      <c r="AC170" s="487">
        <f t="shared" si="885"/>
        <v>-176657</v>
      </c>
      <c r="AD170" s="487">
        <f t="shared" ref="AD170:AE170" si="886">SUM(AD171,AD172,AD173,AD174,AD175)</f>
        <v>-227898</v>
      </c>
      <c r="AE170" s="488">
        <f t="shared" si="886"/>
        <v>-314149</v>
      </c>
      <c r="AF170" s="487">
        <f t="shared" ref="AF170:AJ170" si="887">SUM(AF171,AF172,AF173,AF174,AF175)</f>
        <v>-34035</v>
      </c>
      <c r="AG170" s="487">
        <f t="shared" si="584"/>
        <v>-87761</v>
      </c>
      <c r="AH170" s="487">
        <f t="shared" si="320"/>
        <v>-69815</v>
      </c>
      <c r="AI170" s="487">
        <f t="shared" si="321"/>
        <v>-55528</v>
      </c>
      <c r="AJ170" s="487">
        <f t="shared" si="887"/>
        <v>-121796</v>
      </c>
      <c r="AK170" s="487">
        <f t="shared" ref="AK170" si="888">SUM(AK171,AK172,AK173,AK174,AK175)</f>
        <v>-191611</v>
      </c>
      <c r="AL170" s="488">
        <f t="shared" ref="AL170:AQ170" si="889">SUM(AL171,AL172,AL173,AL174,AL175)</f>
        <v>-247139</v>
      </c>
      <c r="AM170" s="487">
        <f t="shared" si="889"/>
        <v>-32271</v>
      </c>
      <c r="AN170" s="487">
        <f t="shared" si="323"/>
        <v>-41368</v>
      </c>
      <c r="AO170" s="487">
        <f t="shared" si="324"/>
        <v>-50682</v>
      </c>
      <c r="AP170" s="487">
        <f t="shared" si="324"/>
        <v>-48675</v>
      </c>
      <c r="AQ170" s="487">
        <f t="shared" si="889"/>
        <v>-73639</v>
      </c>
      <c r="AR170" s="487">
        <f t="shared" ref="AR170:AS170" si="890">SUM(AR171,AR172,AR173,AR174,AR175)</f>
        <v>-124321</v>
      </c>
      <c r="AS170" s="488">
        <f t="shared" si="890"/>
        <v>-172996</v>
      </c>
      <c r="AT170" s="487">
        <f t="shared" ref="AT170:AU170" si="891">SUM(AT171,AT172,AT173,AT174,AT175)</f>
        <v>-22816.270199999999</v>
      </c>
      <c r="AU170" s="487">
        <f t="shared" si="891"/>
        <v>-14183.766</v>
      </c>
      <c r="AV170" s="487">
        <f t="shared" ref="AV170:AZ170" si="892">SUM(AV171,AV172,AV173,AV174,AV175)</f>
        <v>-27236.833999999999</v>
      </c>
      <c r="AW170" s="487">
        <f t="shared" si="419"/>
        <v>-30468.11280000001</v>
      </c>
      <c r="AX170" s="487">
        <f t="shared" ref="AX170" si="893">SUM(AX171,AX172,AX173,AX174,AX175)</f>
        <v>-37000.036200000002</v>
      </c>
      <c r="AY170" s="487">
        <f t="shared" si="892"/>
        <v>-64236.870199999998</v>
      </c>
      <c r="AZ170" s="487">
        <f t="shared" si="892"/>
        <v>-94704.983000000007</v>
      </c>
      <c r="BA170" s="487">
        <f t="shared" ref="BA170:BD170" si="894">SUM(BA171,BA172,BA173,BA174,BA175)</f>
        <v>-25852</v>
      </c>
      <c r="BB170" s="487">
        <f t="shared" si="894"/>
        <v>-23408</v>
      </c>
      <c r="BC170" s="487">
        <f t="shared" si="894"/>
        <v>-27016</v>
      </c>
      <c r="BD170" s="487">
        <f t="shared" si="894"/>
        <v>-34626</v>
      </c>
      <c r="BE170" s="487">
        <f t="shared" ref="BE170:BF170" si="895">SUM(BE171,BE172,BE173,BE174,BE175)</f>
        <v>-49260</v>
      </c>
      <c r="BF170" s="487">
        <f t="shared" si="895"/>
        <v>-76276</v>
      </c>
      <c r="BG170" s="487">
        <f t="shared" ref="BG170:BH170" si="896">SUM(BG171,BG172,BG173,BG174,BG175)</f>
        <v>-110902</v>
      </c>
      <c r="BH170" s="487">
        <f t="shared" si="896"/>
        <v>-33216</v>
      </c>
      <c r="BI170" s="487">
        <f t="shared" ref="BI170:BL170" si="897">SUM(BI171,BI172,BI173,BI174,BI175)</f>
        <v>-37161</v>
      </c>
      <c r="BJ170" s="493">
        <f t="shared" si="897"/>
        <v>-46434</v>
      </c>
      <c r="BK170" s="487">
        <f t="shared" si="897"/>
        <v>-41547</v>
      </c>
      <c r="BL170" s="487">
        <f t="shared" si="897"/>
        <v>-70377</v>
      </c>
      <c r="BM170" s="487">
        <f t="shared" ref="BM170:BN170" si="898">SUM(BM171,BM172,BM173,BM174,BM175)</f>
        <v>-116811</v>
      </c>
      <c r="BN170" s="487">
        <f t="shared" si="898"/>
        <v>-158358</v>
      </c>
      <c r="BO170" s="487">
        <f t="shared" ref="BO170:BS170" si="899">SUM(BO171,BO172,BO173,BO174,BO175)</f>
        <v>-22075</v>
      </c>
      <c r="BP170" s="487">
        <f t="shared" si="899"/>
        <v>-27196</v>
      </c>
      <c r="BQ170" s="487">
        <f t="shared" si="899"/>
        <v>-37942</v>
      </c>
      <c r="BR170" s="487">
        <f t="shared" si="899"/>
        <v>-28048</v>
      </c>
      <c r="BS170" s="487">
        <f t="shared" si="899"/>
        <v>-49271</v>
      </c>
      <c r="BT170" s="487">
        <f t="shared" ref="BT170:BU170" si="900">SUM(BT171,BT172,BT173,BT174,BT175)</f>
        <v>-87213</v>
      </c>
      <c r="BU170" s="487">
        <f t="shared" si="900"/>
        <v>-115261</v>
      </c>
      <c r="BV170" s="487">
        <f t="shared" ref="BV170:BY170" si="901">SUM(BV171,BV172,BV173,BV174,BV175)</f>
        <v>-35075</v>
      </c>
      <c r="BW170" s="487">
        <f t="shared" si="901"/>
        <v>-44246</v>
      </c>
      <c r="BX170" s="487">
        <f t="shared" si="901"/>
        <v>-120645</v>
      </c>
      <c r="BY170" s="487">
        <f t="shared" si="901"/>
        <v>-41877</v>
      </c>
      <c r="BZ170" s="487">
        <f t="shared" ref="BZ170:CA170" si="902">SUM(BZ171,BZ172,BZ173,BZ174,BZ175)</f>
        <v>-79321</v>
      </c>
      <c r="CA170" s="487">
        <f t="shared" si="902"/>
        <v>-199966</v>
      </c>
      <c r="CB170" s="487">
        <f t="shared" ref="CB170:CC170" si="903">SUM(CB171,CB172,CB173,CB174,CB175)</f>
        <v>-241843</v>
      </c>
      <c r="CC170" s="487">
        <f t="shared" si="903"/>
        <v>-16820</v>
      </c>
      <c r="CD170" s="487">
        <f t="shared" ref="CD170" si="904">SUM(CD171,CD172,CD173,CD174,CD175)</f>
        <v>-71451</v>
      </c>
      <c r="CE170" s="487">
        <f t="shared" ref="CE170:CG170" si="905">SUM(CE171,CE172,CE173,CE174,CE175)</f>
        <v>-41100</v>
      </c>
      <c r="CF170" s="487">
        <f t="shared" si="905"/>
        <v>-21843</v>
      </c>
      <c r="CG170" s="487">
        <f t="shared" si="905"/>
        <v>-88271</v>
      </c>
      <c r="CH170" s="487">
        <f t="shared" ref="CH170:CI170" si="906">SUM(CH171,CH172,CH173,CH174,CH175)</f>
        <v>-129371</v>
      </c>
      <c r="CI170" s="487">
        <f t="shared" si="906"/>
        <v>-151214</v>
      </c>
      <c r="CJ170" s="487">
        <v>-16223</v>
      </c>
      <c r="CK170" s="487">
        <f t="shared" ref="CK170" si="907">SUM(CK171,CK172,CK173,CK174,CK175)</f>
        <v>-9872</v>
      </c>
      <c r="CL170" s="487">
        <f t="shared" ref="CL170:CO170" si="908">SUM(CL171,CL172,CL173,CL174,CL175)</f>
        <v>0</v>
      </c>
      <c r="CM170" s="487">
        <f t="shared" si="908"/>
        <v>0</v>
      </c>
      <c r="CN170" s="487">
        <f t="shared" si="908"/>
        <v>-26095</v>
      </c>
      <c r="CO170" s="487">
        <f t="shared" si="908"/>
        <v>0</v>
      </c>
    </row>
    <row r="171" spans="1:93" s="289" customFormat="1" x14ac:dyDescent="0.25">
      <c r="A171" s="455" t="str">
        <f>Language!C131</f>
        <v>Concepa</v>
      </c>
      <c r="B171" s="280">
        <v>-21796</v>
      </c>
      <c r="C171" s="280">
        <v>4100</v>
      </c>
      <c r="D171" s="280">
        <v>-9959</v>
      </c>
      <c r="E171" s="280">
        <v>-16742</v>
      </c>
      <c r="F171" s="279">
        <v>-16194</v>
      </c>
      <c r="G171" s="280">
        <v>-15425</v>
      </c>
      <c r="H171" s="280">
        <v>-13554</v>
      </c>
      <c r="I171" s="280">
        <v>-18364</v>
      </c>
      <c r="J171" s="279">
        <v>-11315</v>
      </c>
      <c r="K171" s="280">
        <v>-10284</v>
      </c>
      <c r="L171" s="280">
        <v>-3846</v>
      </c>
      <c r="M171" s="280">
        <v>-12005</v>
      </c>
      <c r="N171" s="279">
        <v>-11307</v>
      </c>
      <c r="O171" s="280">
        <v>-15009</v>
      </c>
      <c r="P171" s="280">
        <v>-31292</v>
      </c>
      <c r="Q171" s="280">
        <v>-49137</v>
      </c>
      <c r="R171" s="279">
        <v>-42611</v>
      </c>
      <c r="S171" s="280">
        <v>-46694</v>
      </c>
      <c r="T171" s="280">
        <f t="shared" ref="T171:T175" si="909">W171-S171-R171</f>
        <v>-41684</v>
      </c>
      <c r="U171" s="280">
        <f>X171-W171</f>
        <v>-29312</v>
      </c>
      <c r="V171" s="280">
        <f t="shared" ref="V171:V175" si="910">R171+S171</f>
        <v>-89305</v>
      </c>
      <c r="W171" s="281">
        <v>-130989</v>
      </c>
      <c r="X171" s="282">
        <v>-160301</v>
      </c>
      <c r="Y171" s="283">
        <v>-5948</v>
      </c>
      <c r="Z171" s="281">
        <f t="shared" ref="Z171:Z175" si="911">AC171-Y171</f>
        <v>-9125</v>
      </c>
      <c r="AA171" s="280">
        <f t="shared" ref="AA171:AA175" si="912">AD171-Z171-Y171</f>
        <v>442</v>
      </c>
      <c r="AB171" s="280">
        <f>AE171-AD171</f>
        <v>-876</v>
      </c>
      <c r="AC171" s="281">
        <v>-15073</v>
      </c>
      <c r="AD171" s="281">
        <v>-14631</v>
      </c>
      <c r="AE171" s="282">
        <v>-15507</v>
      </c>
      <c r="AF171" s="281">
        <v>-11019</v>
      </c>
      <c r="AG171" s="281">
        <f t="shared" si="584"/>
        <v>-26406</v>
      </c>
      <c r="AH171" s="281">
        <f t="shared" si="320"/>
        <v>0</v>
      </c>
      <c r="AI171" s="281">
        <f t="shared" si="321"/>
        <v>0</v>
      </c>
      <c r="AJ171" s="281">
        <v>-37425</v>
      </c>
      <c r="AK171" s="281">
        <v>-37425</v>
      </c>
      <c r="AL171" s="282">
        <v>-37425</v>
      </c>
      <c r="AM171" s="281">
        <v>0</v>
      </c>
      <c r="AN171" s="281">
        <f t="shared" si="323"/>
        <v>0</v>
      </c>
      <c r="AO171" s="281">
        <f t="shared" si="324"/>
        <v>0</v>
      </c>
      <c r="AP171" s="281">
        <f t="shared" si="324"/>
        <v>0</v>
      </c>
      <c r="AQ171" s="281">
        <v>0</v>
      </c>
      <c r="AR171" s="281"/>
      <c r="AS171" s="282"/>
      <c r="AT171" s="281"/>
      <c r="AU171" s="281"/>
      <c r="AV171" s="281"/>
      <c r="AW171" s="281">
        <f t="shared" si="419"/>
        <v>0</v>
      </c>
      <c r="AX171" s="281"/>
      <c r="AY171" s="281"/>
      <c r="AZ171" s="732">
        <v>0</v>
      </c>
      <c r="BA171" s="732">
        <v>0</v>
      </c>
      <c r="BB171" s="732">
        <f>BE171-BA171</f>
        <v>0</v>
      </c>
      <c r="BC171" s="732">
        <f>BF171-BE171</f>
        <v>0</v>
      </c>
      <c r="BD171" s="732">
        <f>BG171-BF171</f>
        <v>0</v>
      </c>
      <c r="BE171" s="732">
        <v>0</v>
      </c>
      <c r="BF171" s="732">
        <v>0</v>
      </c>
      <c r="BG171" s="732">
        <v>0</v>
      </c>
      <c r="BH171" s="732">
        <v>0</v>
      </c>
      <c r="BI171" s="732">
        <v>0</v>
      </c>
      <c r="BJ171" s="732">
        <v>0</v>
      </c>
      <c r="BK171" s="732">
        <v>0</v>
      </c>
      <c r="BL171" s="732">
        <v>0</v>
      </c>
      <c r="BM171" s="732">
        <v>0</v>
      </c>
      <c r="BN171" s="732">
        <v>0</v>
      </c>
      <c r="BO171" s="732"/>
      <c r="BP171" s="732"/>
      <c r="BQ171" s="732"/>
      <c r="BR171" s="732"/>
      <c r="BS171" s="732"/>
      <c r="BT171" s="732"/>
      <c r="BU171" s="732"/>
      <c r="BV171" s="732"/>
      <c r="BW171" s="732"/>
      <c r="BX171" s="732"/>
      <c r="BY171" s="732"/>
      <c r="BZ171" s="732"/>
      <c r="CA171" s="732"/>
      <c r="CB171" s="732"/>
      <c r="CC171" s="732"/>
      <c r="CD171" s="732"/>
      <c r="CE171" s="732"/>
      <c r="CF171" s="732"/>
      <c r="CG171" s="732"/>
      <c r="CH171" s="732"/>
      <c r="CI171" s="732"/>
      <c r="CJ171" s="732"/>
      <c r="CK171" s="732"/>
      <c r="CL171" s="732"/>
      <c r="CM171" s="732"/>
      <c r="CN171" s="732"/>
      <c r="CO171" s="732"/>
    </row>
    <row r="172" spans="1:93" s="289" customFormat="1" x14ac:dyDescent="0.25">
      <c r="A172" s="455" t="str">
        <f>Language!C132</f>
        <v>Concer</v>
      </c>
      <c r="B172" s="280">
        <v>-5220</v>
      </c>
      <c r="C172" s="280">
        <v>-4812</v>
      </c>
      <c r="D172" s="280">
        <v>-9925</v>
      </c>
      <c r="E172" s="280">
        <v>-14801</v>
      </c>
      <c r="F172" s="279">
        <v>-7174</v>
      </c>
      <c r="G172" s="280">
        <v>-7265</v>
      </c>
      <c r="H172" s="280">
        <v>-10697</v>
      </c>
      <c r="I172" s="280">
        <v>-17062</v>
      </c>
      <c r="J172" s="279">
        <v>-13309</v>
      </c>
      <c r="K172" s="280">
        <v>-13105</v>
      </c>
      <c r="L172" s="280">
        <v>-13052</v>
      </c>
      <c r="M172" s="280">
        <v>-24337</v>
      </c>
      <c r="N172" s="279">
        <v>-24501</v>
      </c>
      <c r="O172" s="280">
        <v>-62418</v>
      </c>
      <c r="P172" s="280">
        <v>-76082</v>
      </c>
      <c r="Q172" s="280">
        <v>-52052</v>
      </c>
      <c r="R172" s="279">
        <v>-112205</v>
      </c>
      <c r="S172" s="280">
        <v>-34652</v>
      </c>
      <c r="T172" s="280">
        <f t="shared" si="909"/>
        <v>-21115</v>
      </c>
      <c r="U172" s="280">
        <f>X172-W172</f>
        <v>-17301</v>
      </c>
      <c r="V172" s="280">
        <f t="shared" si="910"/>
        <v>-146857</v>
      </c>
      <c r="W172" s="281">
        <v>-167972</v>
      </c>
      <c r="X172" s="282">
        <v>-185273</v>
      </c>
      <c r="Y172" s="283">
        <v>-21117</v>
      </c>
      <c r="Z172" s="281">
        <f t="shared" si="911"/>
        <v>-13519</v>
      </c>
      <c r="AA172" s="280">
        <f t="shared" si="912"/>
        <v>-4483</v>
      </c>
      <c r="AB172" s="280">
        <f>AE172-AD172</f>
        <v>598</v>
      </c>
      <c r="AC172" s="281">
        <v>-34636</v>
      </c>
      <c r="AD172" s="281">
        <v>-39119</v>
      </c>
      <c r="AE172" s="282">
        <v>-38521</v>
      </c>
      <c r="AF172" s="281">
        <v>-2283</v>
      </c>
      <c r="AG172" s="281">
        <f t="shared" si="584"/>
        <v>-46600</v>
      </c>
      <c r="AH172" s="281">
        <f t="shared" si="320"/>
        <v>-4411</v>
      </c>
      <c r="AI172" s="281">
        <f t="shared" si="321"/>
        <v>-4272</v>
      </c>
      <c r="AJ172" s="281">
        <v>-48883</v>
      </c>
      <c r="AK172" s="281">
        <v>-53294</v>
      </c>
      <c r="AL172" s="282">
        <v>-57566</v>
      </c>
      <c r="AM172" s="281">
        <v>-1944</v>
      </c>
      <c r="AN172" s="281">
        <f t="shared" si="323"/>
        <v>-1666</v>
      </c>
      <c r="AO172" s="281">
        <f t="shared" si="324"/>
        <v>-1342</v>
      </c>
      <c r="AP172" s="281">
        <f t="shared" si="324"/>
        <v>-2211</v>
      </c>
      <c r="AQ172" s="281">
        <v>-3610</v>
      </c>
      <c r="AR172" s="281">
        <v>-4952</v>
      </c>
      <c r="AS172" s="282">
        <v>-7163</v>
      </c>
      <c r="AT172" s="281">
        <v>-1764.2701999999999</v>
      </c>
      <c r="AU172" s="281">
        <f>AX172-AT172</f>
        <v>-843.76600000000008</v>
      </c>
      <c r="AV172" s="281">
        <f>AY172-AX172</f>
        <v>-2429.8339999999994</v>
      </c>
      <c r="AW172" s="281">
        <f t="shared" si="419"/>
        <v>-1446.1128000000008</v>
      </c>
      <c r="AX172" s="281">
        <v>-2608.0362</v>
      </c>
      <c r="AY172" s="281">
        <v>-5037.8701999999994</v>
      </c>
      <c r="AZ172" s="281">
        <v>-6483.9830000000002</v>
      </c>
      <c r="BA172" s="281">
        <v>-1635</v>
      </c>
      <c r="BB172" s="281">
        <f t="shared" ref="BB172:BB175" si="913">BE172-BA172</f>
        <v>-639</v>
      </c>
      <c r="BC172" s="281">
        <f t="shared" ref="BC172:BC175" si="914">BF172-BE172</f>
        <v>-761</v>
      </c>
      <c r="BD172" s="732">
        <f t="shared" ref="BD172:BD175" si="915">BG172-BF172</f>
        <v>-799</v>
      </c>
      <c r="BE172" s="281">
        <v>-2274</v>
      </c>
      <c r="BF172" s="281">
        <v>-3035</v>
      </c>
      <c r="BG172" s="281">
        <v>-3834</v>
      </c>
      <c r="BH172" s="281">
        <v>-934</v>
      </c>
      <c r="BI172" s="281">
        <f>BL172-BH172</f>
        <v>-244</v>
      </c>
      <c r="BJ172" s="281">
        <f>BM172-BL172</f>
        <v>-492</v>
      </c>
      <c r="BK172" s="281">
        <f>BN172-BM172</f>
        <v>-811</v>
      </c>
      <c r="BL172" s="281">
        <v>-1178</v>
      </c>
      <c r="BM172" s="281">
        <v>-1670</v>
      </c>
      <c r="BN172" s="281">
        <v>-2481</v>
      </c>
      <c r="BO172" s="281">
        <v>-27</v>
      </c>
      <c r="BP172" s="281">
        <f>BS172-BO172</f>
        <v>-14</v>
      </c>
      <c r="BQ172" s="281">
        <f>BT172-BS172</f>
        <v>-94</v>
      </c>
      <c r="BR172" s="281">
        <f>BU172-BT172</f>
        <v>-44</v>
      </c>
      <c r="BS172" s="281">
        <v>-41</v>
      </c>
      <c r="BT172" s="281">
        <v>-135</v>
      </c>
      <c r="BU172" s="281">
        <v>-179</v>
      </c>
      <c r="BV172" s="281">
        <v>-5469</v>
      </c>
      <c r="BW172" s="281">
        <f>BZ172-BV172</f>
        <v>-6949</v>
      </c>
      <c r="BX172" s="281">
        <f>CA172-BZ172</f>
        <v>-4101</v>
      </c>
      <c r="BY172" s="281">
        <f>CB172-CA172</f>
        <v>-4544</v>
      </c>
      <c r="BZ172" s="281">
        <v>-12418</v>
      </c>
      <c r="CA172" s="281">
        <v>-16519</v>
      </c>
      <c r="CB172" s="281">
        <v>-21063</v>
      </c>
      <c r="CC172" s="281">
        <v>-4030</v>
      </c>
      <c r="CD172" s="281">
        <f>CG172-CC172</f>
        <v>-7932</v>
      </c>
      <c r="CE172" s="281">
        <f>CH172-CG172</f>
        <v>-5787</v>
      </c>
      <c r="CF172" s="281">
        <f>CI172-CH172</f>
        <v>-4808</v>
      </c>
      <c r="CG172" s="281">
        <v>-11962</v>
      </c>
      <c r="CH172" s="281">
        <v>-17749</v>
      </c>
      <c r="CI172" s="281">
        <v>-22557</v>
      </c>
      <c r="CJ172" s="281">
        <v>-2111</v>
      </c>
      <c r="CK172" s="281">
        <f>CN172-CJ172</f>
        <v>-243</v>
      </c>
      <c r="CL172" s="281"/>
      <c r="CM172" s="281"/>
      <c r="CN172" s="281">
        <v>-2354</v>
      </c>
      <c r="CO172" s="281"/>
    </row>
    <row r="173" spans="1:93" s="289" customFormat="1" x14ac:dyDescent="0.25">
      <c r="A173" s="455" t="str">
        <f>Language!C133</f>
        <v>Econorte</v>
      </c>
      <c r="B173" s="280">
        <v>-1520</v>
      </c>
      <c r="C173" s="280">
        <v>-4757</v>
      </c>
      <c r="D173" s="280">
        <v>-3965</v>
      </c>
      <c r="E173" s="280">
        <v>-5258</v>
      </c>
      <c r="F173" s="279">
        <v>-5352</v>
      </c>
      <c r="G173" s="280">
        <v>-11575</v>
      </c>
      <c r="H173" s="280">
        <v>-8559</v>
      </c>
      <c r="I173" s="280">
        <v>-17009</v>
      </c>
      <c r="J173" s="279">
        <v>-7992</v>
      </c>
      <c r="K173" s="280">
        <v>-9940</v>
      </c>
      <c r="L173" s="280">
        <v>-16212</v>
      </c>
      <c r="M173" s="280">
        <v>-33238</v>
      </c>
      <c r="N173" s="279">
        <v>-26817</v>
      </c>
      <c r="O173" s="280">
        <v>-24360</v>
      </c>
      <c r="P173" s="280">
        <v>-23759</v>
      </c>
      <c r="Q173" s="280">
        <v>-14844</v>
      </c>
      <c r="R173" s="279">
        <v>-4140</v>
      </c>
      <c r="S173" s="280">
        <v>-8340</v>
      </c>
      <c r="T173" s="280">
        <f t="shared" si="909"/>
        <v>-9233</v>
      </c>
      <c r="U173" s="280">
        <f>X173-W173</f>
        <v>-12435</v>
      </c>
      <c r="V173" s="280">
        <f t="shared" si="910"/>
        <v>-12480</v>
      </c>
      <c r="W173" s="281">
        <v>-21713</v>
      </c>
      <c r="X173" s="282">
        <v>-34148</v>
      </c>
      <c r="Y173" s="283">
        <v>-5599</v>
      </c>
      <c r="Z173" s="281">
        <f t="shared" si="911"/>
        <v>-5535</v>
      </c>
      <c r="AA173" s="280">
        <f t="shared" si="912"/>
        <v>-9463</v>
      </c>
      <c r="AB173" s="280">
        <f>AE173-AD173</f>
        <v>-6732</v>
      </c>
      <c r="AC173" s="281">
        <v>-11134</v>
      </c>
      <c r="AD173" s="281">
        <v>-20597</v>
      </c>
      <c r="AE173" s="282">
        <v>-27329</v>
      </c>
      <c r="AF173" s="281">
        <v>-6834</v>
      </c>
      <c r="AG173" s="281">
        <f t="shared" si="584"/>
        <v>-8444</v>
      </c>
      <c r="AH173" s="281">
        <f t="shared" si="320"/>
        <v>-17488</v>
      </c>
      <c r="AI173" s="281">
        <f t="shared" si="321"/>
        <v>-11952</v>
      </c>
      <c r="AJ173" s="281">
        <v>-15278</v>
      </c>
      <c r="AK173" s="281">
        <v>-32766</v>
      </c>
      <c r="AL173" s="282">
        <v>-44718</v>
      </c>
      <c r="AM173" s="281">
        <v>-1001</v>
      </c>
      <c r="AN173" s="281">
        <f t="shared" si="323"/>
        <v>-876</v>
      </c>
      <c r="AO173" s="281">
        <f t="shared" si="324"/>
        <v>-7664</v>
      </c>
      <c r="AP173" s="281">
        <f t="shared" si="324"/>
        <v>-16533</v>
      </c>
      <c r="AQ173" s="281">
        <v>-1877</v>
      </c>
      <c r="AR173" s="281">
        <v>-9541</v>
      </c>
      <c r="AS173" s="282">
        <v>-26074</v>
      </c>
      <c r="AT173" s="281">
        <v>-13610</v>
      </c>
      <c r="AU173" s="281">
        <f t="shared" ref="AU173:AU183" si="916">AX173-AT173</f>
        <v>-5710</v>
      </c>
      <c r="AV173" s="281">
        <f t="shared" ref="AV173:AV175" si="917">AY173-AX173</f>
        <v>-9358</v>
      </c>
      <c r="AW173" s="281">
        <f t="shared" si="419"/>
        <v>-14599</v>
      </c>
      <c r="AX173" s="281">
        <v>-19320</v>
      </c>
      <c r="AY173" s="281">
        <v>-28678</v>
      </c>
      <c r="AZ173" s="281">
        <v>-43277</v>
      </c>
      <c r="BA173" s="281">
        <v>-16467</v>
      </c>
      <c r="BB173" s="281">
        <f t="shared" si="913"/>
        <v>-16429</v>
      </c>
      <c r="BC173" s="281">
        <f t="shared" si="914"/>
        <v>-13670</v>
      </c>
      <c r="BD173" s="732">
        <f t="shared" si="915"/>
        <v>-21510</v>
      </c>
      <c r="BE173" s="281">
        <v>-32896</v>
      </c>
      <c r="BF173" s="281">
        <v>-46566</v>
      </c>
      <c r="BG173" s="281">
        <v>-68076</v>
      </c>
      <c r="BH173" s="281">
        <v>-24662</v>
      </c>
      <c r="BI173" s="281">
        <f t="shared" ref="BI173:BI175" si="918">BL173-BH173</f>
        <v>-30560</v>
      </c>
      <c r="BJ173" s="281">
        <f t="shared" ref="BJ173:BJ175" si="919">BM173-BL173</f>
        <v>-29495</v>
      </c>
      <c r="BK173" s="281">
        <f t="shared" ref="BK173:BK175" si="920">BN173-BM173</f>
        <v>-21952</v>
      </c>
      <c r="BL173" s="281">
        <v>-55222</v>
      </c>
      <c r="BM173" s="281">
        <v>-84717</v>
      </c>
      <c r="BN173" s="281">
        <v>-106669</v>
      </c>
      <c r="BO173" s="281">
        <v>0</v>
      </c>
      <c r="BP173" s="281">
        <f t="shared" ref="BP173:BP175" si="921">BS173-BO173</f>
        <v>0</v>
      </c>
      <c r="BQ173" s="281">
        <f t="shared" ref="BQ173:BQ175" si="922">BT173-BS173</f>
        <v>0</v>
      </c>
      <c r="BR173" s="281">
        <f t="shared" ref="BR173:BR175" si="923">BU173-BT173</f>
        <v>0</v>
      </c>
      <c r="BS173" s="281">
        <v>0</v>
      </c>
      <c r="BT173" s="281">
        <v>0</v>
      </c>
      <c r="BU173" s="281">
        <v>0</v>
      </c>
      <c r="BV173" s="281">
        <v>0</v>
      </c>
      <c r="BW173" s="281">
        <f t="shared" ref="BW173:BW175" si="924">BZ173-BV173</f>
        <v>0</v>
      </c>
      <c r="BX173" s="281">
        <f t="shared" ref="BX173:BX175" si="925">CA173-BZ173</f>
        <v>0</v>
      </c>
      <c r="BY173" s="281">
        <f t="shared" ref="BY173:BY175" si="926">CB173-CA173</f>
        <v>0</v>
      </c>
      <c r="BZ173" s="281">
        <v>0</v>
      </c>
      <c r="CA173" s="281">
        <v>0</v>
      </c>
      <c r="CB173" s="281">
        <v>0</v>
      </c>
      <c r="CC173" s="281">
        <v>0</v>
      </c>
      <c r="CD173" s="281">
        <f t="shared" ref="CD173:CD175" si="927">CG173-CC173</f>
        <v>0</v>
      </c>
      <c r="CE173" s="281">
        <f t="shared" ref="CE173:CE175" si="928">CH173-CG173</f>
        <v>0</v>
      </c>
      <c r="CF173" s="281">
        <f t="shared" ref="CF173:CF175" si="929">CI173-CH173</f>
        <v>0</v>
      </c>
      <c r="CG173" s="281">
        <v>0</v>
      </c>
      <c r="CH173" s="281">
        <v>0</v>
      </c>
      <c r="CI173" s="281">
        <v>0</v>
      </c>
      <c r="CJ173" s="281">
        <v>0</v>
      </c>
      <c r="CK173" s="281">
        <f t="shared" ref="CK173:CK175" si="930">CN173-CJ173</f>
        <v>0</v>
      </c>
      <c r="CL173" s="281"/>
      <c r="CM173" s="281"/>
      <c r="CN173" s="281">
        <v>0</v>
      </c>
      <c r="CO173" s="281"/>
    </row>
    <row r="174" spans="1:93" s="289" customFormat="1" x14ac:dyDescent="0.25">
      <c r="A174" s="455" t="str">
        <f>Language!C134</f>
        <v>Concebra</v>
      </c>
      <c r="B174" s="280">
        <v>0</v>
      </c>
      <c r="C174" s="280">
        <v>0</v>
      </c>
      <c r="D174" s="280">
        <v>0</v>
      </c>
      <c r="E174" s="280">
        <v>0</v>
      </c>
      <c r="F174" s="279">
        <v>0</v>
      </c>
      <c r="G174" s="280">
        <v>0</v>
      </c>
      <c r="H174" s="280">
        <v>0</v>
      </c>
      <c r="I174" s="280">
        <v>0</v>
      </c>
      <c r="J174" s="279">
        <v>0</v>
      </c>
      <c r="K174" s="280">
        <v>0</v>
      </c>
      <c r="L174" s="280">
        <v>0</v>
      </c>
      <c r="M174" s="280">
        <v>0</v>
      </c>
      <c r="N174" s="279">
        <v>0</v>
      </c>
      <c r="O174" s="280">
        <v>-87523</v>
      </c>
      <c r="P174" s="280">
        <v>-93111</v>
      </c>
      <c r="Q174" s="280">
        <v>-236860</v>
      </c>
      <c r="R174" s="279">
        <v>-134175</v>
      </c>
      <c r="S174" s="280">
        <v>-219333</v>
      </c>
      <c r="T174" s="280">
        <f t="shared" si="909"/>
        <v>-143955</v>
      </c>
      <c r="U174" s="280">
        <f>X174-W174</f>
        <v>-124931</v>
      </c>
      <c r="V174" s="280">
        <f t="shared" si="910"/>
        <v>-353508</v>
      </c>
      <c r="W174" s="281">
        <v>-497463</v>
      </c>
      <c r="X174" s="282">
        <v>-622394</v>
      </c>
      <c r="Y174" s="283">
        <v>-44131</v>
      </c>
      <c r="Z174" s="281">
        <f t="shared" si="911"/>
        <v>-44399</v>
      </c>
      <c r="AA174" s="280">
        <f t="shared" si="912"/>
        <v>-28941</v>
      </c>
      <c r="AB174" s="280">
        <f>AE174-AD174</f>
        <v>-77505</v>
      </c>
      <c r="AC174" s="281">
        <v>-88530</v>
      </c>
      <c r="AD174" s="281">
        <v>-117471</v>
      </c>
      <c r="AE174" s="282">
        <v>-194976</v>
      </c>
      <c r="AF174" s="281">
        <v>-11140</v>
      </c>
      <c r="AG174" s="281">
        <f t="shared" si="584"/>
        <v>-3535</v>
      </c>
      <c r="AH174" s="281">
        <f t="shared" si="320"/>
        <v>-44367</v>
      </c>
      <c r="AI174" s="281">
        <f t="shared" si="321"/>
        <v>-31650</v>
      </c>
      <c r="AJ174" s="281">
        <v>-14675</v>
      </c>
      <c r="AK174" s="281">
        <v>-59042</v>
      </c>
      <c r="AL174" s="282">
        <v>-90692</v>
      </c>
      <c r="AM174" s="281">
        <v>-22649</v>
      </c>
      <c r="AN174" s="281">
        <f t="shared" si="323"/>
        <v>-24904</v>
      </c>
      <c r="AO174" s="281">
        <f t="shared" si="324"/>
        <v>-30721</v>
      </c>
      <c r="AP174" s="281">
        <f t="shared" si="324"/>
        <v>-16296</v>
      </c>
      <c r="AQ174" s="281">
        <v>-47553</v>
      </c>
      <c r="AR174" s="281">
        <v>-78274</v>
      </c>
      <c r="AS174" s="282">
        <v>-94570</v>
      </c>
      <c r="AT174" s="281">
        <v>-2133</v>
      </c>
      <c r="AU174" s="281">
        <f t="shared" si="916"/>
        <v>-1531</v>
      </c>
      <c r="AV174" s="281">
        <f t="shared" si="917"/>
        <v>-9128</v>
      </c>
      <c r="AW174" s="281">
        <f t="shared" si="419"/>
        <v>-7864</v>
      </c>
      <c r="AX174" s="281">
        <v>-3664</v>
      </c>
      <c r="AY174" s="281">
        <v>-12792</v>
      </c>
      <c r="AZ174" s="281">
        <v>-20656</v>
      </c>
      <c r="BA174" s="281">
        <v>-2393</v>
      </c>
      <c r="BB174" s="281">
        <f t="shared" si="913"/>
        <v>-3761</v>
      </c>
      <c r="BC174" s="281">
        <f t="shared" si="914"/>
        <v>-8746</v>
      </c>
      <c r="BD174" s="732">
        <f t="shared" si="915"/>
        <v>-6873</v>
      </c>
      <c r="BE174" s="281">
        <v>-6154</v>
      </c>
      <c r="BF174" s="281">
        <v>-14900</v>
      </c>
      <c r="BG174" s="281">
        <v>-21773</v>
      </c>
      <c r="BH174" s="281">
        <v>-2981</v>
      </c>
      <c r="BI174" s="281">
        <f t="shared" si="918"/>
        <v>-1250</v>
      </c>
      <c r="BJ174" s="281">
        <f t="shared" si="919"/>
        <v>-589</v>
      </c>
      <c r="BK174" s="281">
        <f t="shared" si="920"/>
        <v>-600</v>
      </c>
      <c r="BL174" s="281">
        <v>-4231</v>
      </c>
      <c r="BM174" s="281">
        <v>-4820</v>
      </c>
      <c r="BN174" s="281">
        <v>-5420</v>
      </c>
      <c r="BO174" s="281">
        <v>-6293</v>
      </c>
      <c r="BP174" s="281">
        <f t="shared" si="921"/>
        <v>-6657</v>
      </c>
      <c r="BQ174" s="281">
        <f t="shared" si="922"/>
        <v>-11132</v>
      </c>
      <c r="BR174" s="281">
        <f t="shared" si="923"/>
        <v>-11623</v>
      </c>
      <c r="BS174" s="281">
        <v>-12950</v>
      </c>
      <c r="BT174" s="281">
        <v>-24082</v>
      </c>
      <c r="BU174" s="281">
        <v>-35705</v>
      </c>
      <c r="BV174" s="281">
        <v>-14636</v>
      </c>
      <c r="BW174" s="281">
        <f t="shared" si="924"/>
        <v>-21477</v>
      </c>
      <c r="BX174" s="281">
        <f t="shared" si="925"/>
        <v>-96579</v>
      </c>
      <c r="BY174" s="281">
        <f t="shared" si="926"/>
        <v>-23617</v>
      </c>
      <c r="BZ174" s="281">
        <v>-36113</v>
      </c>
      <c r="CA174" s="281">
        <v>-132692</v>
      </c>
      <c r="CB174" s="281">
        <v>-156309</v>
      </c>
      <c r="CC174" s="281">
        <v>-4581</v>
      </c>
      <c r="CD174" s="281">
        <f t="shared" si="927"/>
        <v>-53388</v>
      </c>
      <c r="CE174" s="281">
        <f t="shared" si="928"/>
        <v>-20175</v>
      </c>
      <c r="CF174" s="281">
        <f t="shared" si="929"/>
        <v>-12109</v>
      </c>
      <c r="CG174" s="281">
        <v>-57969</v>
      </c>
      <c r="CH174" s="281">
        <v>-78144</v>
      </c>
      <c r="CI174" s="281">
        <v>-90253</v>
      </c>
      <c r="CJ174" s="281">
        <v>-3876</v>
      </c>
      <c r="CK174" s="281">
        <f t="shared" si="930"/>
        <v>-3573</v>
      </c>
      <c r="CL174" s="281"/>
      <c r="CM174" s="281"/>
      <c r="CN174" s="281">
        <v>-7449</v>
      </c>
      <c r="CO174" s="281"/>
    </row>
    <row r="175" spans="1:93" s="289" customFormat="1" x14ac:dyDescent="0.25">
      <c r="A175" s="455" t="str">
        <f>Language!C135</f>
        <v>Transbrasiliana</v>
      </c>
      <c r="B175" s="280">
        <v>0</v>
      </c>
      <c r="C175" s="280">
        <v>0</v>
      </c>
      <c r="D175" s="280">
        <v>0</v>
      </c>
      <c r="E175" s="280">
        <v>0</v>
      </c>
      <c r="F175" s="279">
        <v>0</v>
      </c>
      <c r="G175" s="280">
        <v>0</v>
      </c>
      <c r="H175" s="280">
        <v>0</v>
      </c>
      <c r="I175" s="280">
        <v>0</v>
      </c>
      <c r="J175" s="279">
        <v>0</v>
      </c>
      <c r="K175" s="280">
        <v>0</v>
      </c>
      <c r="L175" s="280">
        <v>0</v>
      </c>
      <c r="M175" s="280">
        <v>0</v>
      </c>
      <c r="N175" s="279">
        <v>0</v>
      </c>
      <c r="O175" s="280">
        <v>0</v>
      </c>
      <c r="P175" s="280">
        <v>0</v>
      </c>
      <c r="Q175" s="280">
        <v>0</v>
      </c>
      <c r="R175" s="279">
        <v>-14347</v>
      </c>
      <c r="S175" s="280">
        <v>-13782</v>
      </c>
      <c r="T175" s="280">
        <f t="shared" si="909"/>
        <v>-15325</v>
      </c>
      <c r="U175" s="280">
        <f>X175-W175</f>
        <v>-50179</v>
      </c>
      <c r="V175" s="280">
        <f t="shared" si="910"/>
        <v>-28129</v>
      </c>
      <c r="W175" s="281">
        <v>-43454</v>
      </c>
      <c r="X175" s="282">
        <v>-93633</v>
      </c>
      <c r="Y175" s="283">
        <v>-14563</v>
      </c>
      <c r="Z175" s="281">
        <f t="shared" si="911"/>
        <v>-12721</v>
      </c>
      <c r="AA175" s="280">
        <f t="shared" si="912"/>
        <v>-8796</v>
      </c>
      <c r="AB175" s="280">
        <f>AE175-AD175</f>
        <v>-1736</v>
      </c>
      <c r="AC175" s="281">
        <v>-27284</v>
      </c>
      <c r="AD175" s="281">
        <v>-36080</v>
      </c>
      <c r="AE175" s="282">
        <v>-37816</v>
      </c>
      <c r="AF175" s="281">
        <v>-2759</v>
      </c>
      <c r="AG175" s="281">
        <f t="shared" si="584"/>
        <v>-2776</v>
      </c>
      <c r="AH175" s="281">
        <f t="shared" si="320"/>
        <v>-3549</v>
      </c>
      <c r="AI175" s="281">
        <f t="shared" si="321"/>
        <v>-7654</v>
      </c>
      <c r="AJ175" s="281">
        <v>-5535</v>
      </c>
      <c r="AK175" s="281">
        <v>-9084</v>
      </c>
      <c r="AL175" s="282">
        <v>-16738</v>
      </c>
      <c r="AM175" s="281">
        <v>-6677</v>
      </c>
      <c r="AN175" s="281">
        <f t="shared" si="323"/>
        <v>-13922</v>
      </c>
      <c r="AO175" s="281">
        <f t="shared" si="324"/>
        <v>-10955</v>
      </c>
      <c r="AP175" s="281">
        <f t="shared" si="324"/>
        <v>-13635</v>
      </c>
      <c r="AQ175" s="281">
        <v>-20599</v>
      </c>
      <c r="AR175" s="281">
        <v>-31554</v>
      </c>
      <c r="AS175" s="282">
        <v>-45189</v>
      </c>
      <c r="AT175" s="281">
        <v>-5309</v>
      </c>
      <c r="AU175" s="281">
        <f t="shared" si="916"/>
        <v>-6099</v>
      </c>
      <c r="AV175" s="281">
        <f t="shared" si="917"/>
        <v>-6321</v>
      </c>
      <c r="AW175" s="281">
        <f t="shared" si="419"/>
        <v>-6559</v>
      </c>
      <c r="AX175" s="281">
        <v>-11408</v>
      </c>
      <c r="AY175" s="281">
        <v>-17729</v>
      </c>
      <c r="AZ175" s="281">
        <v>-24288</v>
      </c>
      <c r="BA175" s="281">
        <v>-5357</v>
      </c>
      <c r="BB175" s="281">
        <f t="shared" si="913"/>
        <v>-2579</v>
      </c>
      <c r="BC175" s="281">
        <f t="shared" si="914"/>
        <v>-3839</v>
      </c>
      <c r="BD175" s="732">
        <f t="shared" si="915"/>
        <v>-5444</v>
      </c>
      <c r="BE175" s="281">
        <v>-7936</v>
      </c>
      <c r="BF175" s="281">
        <v>-11775</v>
      </c>
      <c r="BG175" s="281">
        <v>-17219</v>
      </c>
      <c r="BH175" s="281">
        <v>-4639</v>
      </c>
      <c r="BI175" s="281">
        <f t="shared" si="918"/>
        <v>-5107</v>
      </c>
      <c r="BJ175" s="281">
        <f t="shared" si="919"/>
        <v>-15858</v>
      </c>
      <c r="BK175" s="281">
        <f t="shared" si="920"/>
        <v>-18184</v>
      </c>
      <c r="BL175" s="281">
        <v>-9746</v>
      </c>
      <c r="BM175" s="281">
        <v>-25604</v>
      </c>
      <c r="BN175" s="281">
        <v>-43788</v>
      </c>
      <c r="BO175" s="281">
        <v>-15755</v>
      </c>
      <c r="BP175" s="281">
        <f t="shared" si="921"/>
        <v>-20525</v>
      </c>
      <c r="BQ175" s="281">
        <f t="shared" si="922"/>
        <v>-26716</v>
      </c>
      <c r="BR175" s="281">
        <f t="shared" si="923"/>
        <v>-16381</v>
      </c>
      <c r="BS175" s="281">
        <v>-36280</v>
      </c>
      <c r="BT175" s="281">
        <v>-62996</v>
      </c>
      <c r="BU175" s="281">
        <v>-79377</v>
      </c>
      <c r="BV175" s="281">
        <v>-14970</v>
      </c>
      <c r="BW175" s="281">
        <f t="shared" si="924"/>
        <v>-15820</v>
      </c>
      <c r="BX175" s="281">
        <f t="shared" si="925"/>
        <v>-19965</v>
      </c>
      <c r="BY175" s="281">
        <f t="shared" si="926"/>
        <v>-13716</v>
      </c>
      <c r="BZ175" s="281">
        <v>-30790</v>
      </c>
      <c r="CA175" s="281">
        <v>-50755</v>
      </c>
      <c r="CB175" s="281">
        <v>-64471</v>
      </c>
      <c r="CC175" s="281">
        <v>-8209</v>
      </c>
      <c r="CD175" s="281">
        <f t="shared" si="927"/>
        <v>-10131</v>
      </c>
      <c r="CE175" s="281">
        <f t="shared" si="928"/>
        <v>-15138</v>
      </c>
      <c r="CF175" s="281">
        <f t="shared" si="929"/>
        <v>-4926</v>
      </c>
      <c r="CG175" s="281">
        <v>-18340</v>
      </c>
      <c r="CH175" s="281">
        <v>-33478</v>
      </c>
      <c r="CI175" s="281">
        <v>-38404</v>
      </c>
      <c r="CJ175" s="281">
        <v>-10236</v>
      </c>
      <c r="CK175" s="281">
        <f t="shared" si="930"/>
        <v>-6056</v>
      </c>
      <c r="CL175" s="281"/>
      <c r="CM175" s="281"/>
      <c r="CN175" s="281">
        <v>-16292</v>
      </c>
      <c r="CO175" s="281"/>
    </row>
    <row r="176" spans="1:93" s="483" customFormat="1" x14ac:dyDescent="0.25">
      <c r="A176" s="490" t="str">
        <f>Language!C136</f>
        <v>Custos com Pessoal</v>
      </c>
      <c r="B176" s="491">
        <f>SUM(B177,B178,B179,B180,B181)</f>
        <v>-5064</v>
      </c>
      <c r="C176" s="491">
        <f t="shared" ref="C176:R176" si="931">SUM(C177,C178,C179,C180,C181)</f>
        <v>-6166</v>
      </c>
      <c r="D176" s="491">
        <f t="shared" si="931"/>
        <v>-5268</v>
      </c>
      <c r="E176" s="491">
        <f t="shared" si="931"/>
        <v>-5653</v>
      </c>
      <c r="F176" s="492">
        <f t="shared" si="931"/>
        <v>-6020</v>
      </c>
      <c r="G176" s="491">
        <f t="shared" si="931"/>
        <v>-6638</v>
      </c>
      <c r="H176" s="491">
        <f t="shared" si="931"/>
        <v>-5952</v>
      </c>
      <c r="I176" s="491">
        <f t="shared" si="931"/>
        <v>-6314</v>
      </c>
      <c r="J176" s="492">
        <f t="shared" si="931"/>
        <v>-6822</v>
      </c>
      <c r="K176" s="491">
        <f t="shared" si="931"/>
        <v>-7156</v>
      </c>
      <c r="L176" s="491">
        <f t="shared" si="931"/>
        <v>-6586</v>
      </c>
      <c r="M176" s="491">
        <f t="shared" si="931"/>
        <v>-6879</v>
      </c>
      <c r="N176" s="492">
        <f t="shared" si="931"/>
        <v>-6424</v>
      </c>
      <c r="O176" s="491">
        <f t="shared" si="931"/>
        <v>-9017</v>
      </c>
      <c r="P176" s="491">
        <f t="shared" si="931"/>
        <v>-7522</v>
      </c>
      <c r="Q176" s="491">
        <f t="shared" si="931"/>
        <v>-12050</v>
      </c>
      <c r="R176" s="492">
        <f t="shared" si="931"/>
        <v>-11277</v>
      </c>
      <c r="S176" s="491">
        <f t="shared" ref="S176:W176" si="932">SUM(S177,S178,S179,S180,S181)</f>
        <v>-12003</v>
      </c>
      <c r="T176" s="491">
        <f>SUM(T177,T178,T179,T180,T181)</f>
        <v>-21626</v>
      </c>
      <c r="U176" s="491">
        <f>SUM(U177,U178,U179,U180,U181)</f>
        <v>-23748</v>
      </c>
      <c r="V176" s="491">
        <f>SUM(V177,V178,V179,V180,V181)</f>
        <v>-23280</v>
      </c>
      <c r="W176" s="493">
        <f t="shared" si="932"/>
        <v>-44906</v>
      </c>
      <c r="X176" s="494">
        <f t="shared" ref="X176" si="933">SUM(X177,X178,X179,X180,X181)</f>
        <v>-68654</v>
      </c>
      <c r="Y176" s="495">
        <f>SUM(Y177,Y178,Y179,Y180,Y181)</f>
        <v>-21149</v>
      </c>
      <c r="Z176" s="493">
        <f t="shared" ref="Z176:AC176" si="934">SUM(Z177,Z178,Z179,Z180,Z181)</f>
        <v>-26766</v>
      </c>
      <c r="AA176" s="491">
        <f>SUM(AA177,AA178,AA179,AA180,AA181)</f>
        <v>-23056</v>
      </c>
      <c r="AB176" s="491">
        <f>SUM(AB177,AB178,AB179,AB180,AB181)</f>
        <v>-25181</v>
      </c>
      <c r="AC176" s="493">
        <f t="shared" si="934"/>
        <v>-47915</v>
      </c>
      <c r="AD176" s="493">
        <f t="shared" ref="AD176:AE176" si="935">SUM(AD177,AD178,AD179,AD180,AD181)</f>
        <v>-70971</v>
      </c>
      <c r="AE176" s="494">
        <f t="shared" si="935"/>
        <v>-96152</v>
      </c>
      <c r="AF176" s="493">
        <f t="shared" ref="AF176:AJ176" si="936">SUM(AF177,AF178,AF179,AF180,AF181)</f>
        <v>-23313</v>
      </c>
      <c r="AG176" s="493">
        <f t="shared" si="584"/>
        <v>-23411</v>
      </c>
      <c r="AH176" s="493">
        <f t="shared" si="320"/>
        <v>-22183</v>
      </c>
      <c r="AI176" s="493">
        <f t="shared" si="321"/>
        <v>-22506</v>
      </c>
      <c r="AJ176" s="493">
        <f t="shared" si="936"/>
        <v>-46724</v>
      </c>
      <c r="AK176" s="487">
        <f t="shared" ref="AK176" si="937">SUM(AK177,AK178,AK179,AK180,AK181)</f>
        <v>-68907</v>
      </c>
      <c r="AL176" s="494">
        <f t="shared" ref="AL176" si="938">SUM(AL177,AL178,AL179,AL180,AL181)</f>
        <v>-91413</v>
      </c>
      <c r="AM176" s="493">
        <f>SUM(AM177:AM182)</f>
        <v>-27029</v>
      </c>
      <c r="AN176" s="493">
        <f t="shared" si="323"/>
        <v>-29872</v>
      </c>
      <c r="AO176" s="493">
        <f t="shared" si="324"/>
        <v>-25820</v>
      </c>
      <c r="AP176" s="493">
        <f t="shared" si="324"/>
        <v>-25244</v>
      </c>
      <c r="AQ176" s="493">
        <f>SUM(AQ177:AQ182)</f>
        <v>-56901</v>
      </c>
      <c r="AR176" s="493">
        <f>SUM(AR177:AR182)</f>
        <v>-82721</v>
      </c>
      <c r="AS176" s="494">
        <f>SUM(AS177:AS182)</f>
        <v>-107965</v>
      </c>
      <c r="AT176" s="493">
        <f>SUM(AT177:AT182)</f>
        <v>-23374.0798</v>
      </c>
      <c r="AU176" s="493">
        <f>SUM(AU177:AU183)</f>
        <v>-23296.023400000002</v>
      </c>
      <c r="AV176" s="493">
        <f>SUM(AV177:AV182)</f>
        <v>-25532.914199999999</v>
      </c>
      <c r="AW176" s="493">
        <f t="shared" si="419"/>
        <v>-25779.903200000001</v>
      </c>
      <c r="AX176" s="493">
        <f>SUM(AX177:AX183)</f>
        <v>-46670.103199999998</v>
      </c>
      <c r="AY176" s="493">
        <f t="shared" ref="AY176:BE176" si="939">SUM(AY177:AY182)</f>
        <v>-72854.017399999997</v>
      </c>
      <c r="AZ176" s="493">
        <f t="shared" si="939"/>
        <v>-98633.920599999998</v>
      </c>
      <c r="BA176" s="493">
        <f t="shared" si="939"/>
        <v>-26745</v>
      </c>
      <c r="BB176" s="493">
        <f t="shared" si="939"/>
        <v>-23060</v>
      </c>
      <c r="BC176" s="493">
        <f t="shared" si="939"/>
        <v>-23694</v>
      </c>
      <c r="BD176" s="493">
        <f t="shared" si="939"/>
        <v>-22724</v>
      </c>
      <c r="BE176" s="493">
        <f t="shared" si="939"/>
        <v>-49805</v>
      </c>
      <c r="BF176" s="493">
        <f t="shared" ref="BF176:BG176" si="940">SUM(BF177:BF182)</f>
        <v>-73499</v>
      </c>
      <c r="BG176" s="493">
        <f t="shared" si="940"/>
        <v>-96223</v>
      </c>
      <c r="BH176" s="493">
        <f t="shared" ref="BH176:BL176" si="941">SUM(BH177:BH182)</f>
        <v>-23564</v>
      </c>
      <c r="BI176" s="493">
        <f t="shared" si="941"/>
        <v>-23696</v>
      </c>
      <c r="BJ176" s="493">
        <f t="shared" si="941"/>
        <v>-22201</v>
      </c>
      <c r="BK176" s="493">
        <f t="shared" si="941"/>
        <v>-23395</v>
      </c>
      <c r="BL176" s="493">
        <f t="shared" si="941"/>
        <v>-47260</v>
      </c>
      <c r="BM176" s="493">
        <f t="shared" ref="BM176:BN176" si="942">SUM(BM177:BM182)</f>
        <v>-69461</v>
      </c>
      <c r="BN176" s="493">
        <f t="shared" si="942"/>
        <v>-92856</v>
      </c>
      <c r="BO176" s="493">
        <f t="shared" ref="BO176:BS176" si="943">SUM(BO177:BO182)</f>
        <v>-19481</v>
      </c>
      <c r="BP176" s="493">
        <f t="shared" si="943"/>
        <v>-21308</v>
      </c>
      <c r="BQ176" s="493">
        <f t="shared" si="943"/>
        <v>-22967</v>
      </c>
      <c r="BR176" s="493">
        <f t="shared" si="943"/>
        <v>-24464</v>
      </c>
      <c r="BS176" s="493">
        <f t="shared" si="943"/>
        <v>-40789</v>
      </c>
      <c r="BT176" s="493">
        <f t="shared" ref="BT176:BU176" si="944">SUM(BT177:BT182)</f>
        <v>-63756</v>
      </c>
      <c r="BU176" s="493">
        <f t="shared" si="944"/>
        <v>-88220</v>
      </c>
      <c r="BV176" s="493">
        <f t="shared" ref="BV176:BY176" si="945">SUM(BV177:BV182)</f>
        <v>-23416</v>
      </c>
      <c r="BW176" s="493">
        <f t="shared" si="945"/>
        <v>-24495</v>
      </c>
      <c r="BX176" s="493">
        <f t="shared" si="945"/>
        <v>-24357</v>
      </c>
      <c r="BY176" s="493">
        <f t="shared" si="945"/>
        <v>-23780</v>
      </c>
      <c r="BZ176" s="493">
        <f t="shared" ref="BZ176:CA176" si="946">SUM(BZ177:BZ182)</f>
        <v>-47911</v>
      </c>
      <c r="CA176" s="493">
        <f t="shared" si="946"/>
        <v>-72268</v>
      </c>
      <c r="CB176" s="493">
        <f t="shared" ref="CB176:CC176" si="947">SUM(CB177:CB182)</f>
        <v>-96048</v>
      </c>
      <c r="CC176" s="493">
        <f t="shared" si="947"/>
        <v>-22026</v>
      </c>
      <c r="CD176" s="493">
        <f t="shared" ref="CD176" si="948">SUM(CD177:CD182)</f>
        <v>-30315</v>
      </c>
      <c r="CE176" s="493">
        <f t="shared" ref="CE176:CG176" si="949">SUM(CE177:CE182)</f>
        <v>-26118</v>
      </c>
      <c r="CF176" s="493">
        <f t="shared" si="949"/>
        <v>-29403</v>
      </c>
      <c r="CG176" s="493">
        <f t="shared" si="949"/>
        <v>-52341</v>
      </c>
      <c r="CH176" s="493">
        <f t="shared" ref="CH176:CI176" si="950">SUM(CH177:CH182)</f>
        <v>-78459</v>
      </c>
      <c r="CI176" s="493">
        <f t="shared" si="950"/>
        <v>-107862</v>
      </c>
      <c r="CJ176" s="493">
        <v>-22061</v>
      </c>
      <c r="CK176" s="493">
        <f t="shared" ref="CK176" si="951">SUM(CK177:CK182)</f>
        <v>-24977</v>
      </c>
      <c r="CL176" s="493">
        <f t="shared" ref="CL176:CO176" si="952">SUM(CL177:CL182)</f>
        <v>0</v>
      </c>
      <c r="CM176" s="493">
        <f t="shared" si="952"/>
        <v>0</v>
      </c>
      <c r="CN176" s="493">
        <f t="shared" si="952"/>
        <v>-47038</v>
      </c>
      <c r="CO176" s="493">
        <f t="shared" si="952"/>
        <v>0</v>
      </c>
    </row>
    <row r="177" spans="1:93" s="289" customFormat="1" x14ac:dyDescent="0.25">
      <c r="A177" s="455" t="str">
        <f>Language!C137</f>
        <v>Concepa</v>
      </c>
      <c r="B177" s="280">
        <v>-1800</v>
      </c>
      <c r="C177" s="280">
        <v>-2059</v>
      </c>
      <c r="D177" s="280">
        <v>-1767</v>
      </c>
      <c r="E177" s="280">
        <v>-2033</v>
      </c>
      <c r="F177" s="279">
        <v>-2427</v>
      </c>
      <c r="G177" s="280">
        <v>-2493</v>
      </c>
      <c r="H177" s="280">
        <v>-2306</v>
      </c>
      <c r="I177" s="280">
        <v>-2531</v>
      </c>
      <c r="J177" s="279">
        <v>-2834</v>
      </c>
      <c r="K177" s="280">
        <v>-2782</v>
      </c>
      <c r="L177" s="280">
        <v>-2584</v>
      </c>
      <c r="M177" s="280">
        <v>-2932</v>
      </c>
      <c r="N177" s="279">
        <v>-3381</v>
      </c>
      <c r="O177" s="280">
        <v>-3233</v>
      </c>
      <c r="P177" s="280">
        <v>-2752</v>
      </c>
      <c r="Q177" s="280">
        <v>-3674</v>
      </c>
      <c r="R177" s="279">
        <v>-3484</v>
      </c>
      <c r="S177" s="280">
        <v>-3266</v>
      </c>
      <c r="T177" s="280">
        <f t="shared" ref="T177:T181" si="953">W177-S177-R177</f>
        <v>-3087</v>
      </c>
      <c r="U177" s="280">
        <f>X177-W177</f>
        <v>-3476</v>
      </c>
      <c r="V177" s="280">
        <f t="shared" ref="V177:V181" si="954">R177+S177</f>
        <v>-6750</v>
      </c>
      <c r="W177" s="281">
        <v>-9837</v>
      </c>
      <c r="X177" s="282">
        <v>-13313</v>
      </c>
      <c r="Y177" s="283">
        <v>-4314</v>
      </c>
      <c r="Z177" s="281">
        <f t="shared" ref="Z177:Z181" si="955">AC177-Y177</f>
        <v>-3716</v>
      </c>
      <c r="AA177" s="280">
        <f t="shared" ref="AA177:AA181" si="956">AD177-Z177-Y177</f>
        <v>-3209</v>
      </c>
      <c r="AB177" s="280">
        <f>AE177-AD177</f>
        <v>-4060</v>
      </c>
      <c r="AC177" s="281">
        <v>-8030</v>
      </c>
      <c r="AD177" s="281">
        <v>-11239</v>
      </c>
      <c r="AE177" s="282">
        <v>-15299</v>
      </c>
      <c r="AF177" s="281">
        <v>-4441</v>
      </c>
      <c r="AG177" s="281">
        <f t="shared" si="584"/>
        <v>-3883</v>
      </c>
      <c r="AH177" s="281">
        <f t="shared" si="320"/>
        <v>-3451</v>
      </c>
      <c r="AI177" s="281">
        <f t="shared" si="321"/>
        <v>-4425</v>
      </c>
      <c r="AJ177" s="281">
        <v>-8324</v>
      </c>
      <c r="AK177" s="281">
        <v>-11775</v>
      </c>
      <c r="AL177" s="282">
        <v>-16200</v>
      </c>
      <c r="AM177" s="281">
        <v>-4696</v>
      </c>
      <c r="AN177" s="281">
        <f t="shared" si="323"/>
        <v>-5646</v>
      </c>
      <c r="AO177" s="281">
        <f t="shared" si="324"/>
        <v>-2927</v>
      </c>
      <c r="AP177" s="281">
        <f t="shared" si="324"/>
        <v>-521</v>
      </c>
      <c r="AQ177" s="281">
        <v>-10342</v>
      </c>
      <c r="AR177" s="281">
        <v>-13269</v>
      </c>
      <c r="AS177" s="282">
        <v>-13790</v>
      </c>
      <c r="AT177" s="281">
        <v>0</v>
      </c>
      <c r="AU177" s="281">
        <f t="shared" si="916"/>
        <v>-316</v>
      </c>
      <c r="AV177" s="281">
        <f>AY177-AX177</f>
        <v>-110</v>
      </c>
      <c r="AW177" s="281">
        <f t="shared" si="419"/>
        <v>426</v>
      </c>
      <c r="AX177" s="281">
        <v>-316</v>
      </c>
      <c r="AY177" s="281">
        <v>-426</v>
      </c>
      <c r="AZ177" s="281">
        <v>0</v>
      </c>
      <c r="BA177" s="281">
        <v>0</v>
      </c>
      <c r="BB177" s="281">
        <f>BE177-BA177</f>
        <v>0</v>
      </c>
      <c r="BC177" s="281">
        <f>BF177-BE177</f>
        <v>0</v>
      </c>
      <c r="BD177" s="281">
        <f>BG177-BF177</f>
        <v>0</v>
      </c>
      <c r="BE177" s="281">
        <v>0</v>
      </c>
      <c r="BF177" s="281">
        <v>0</v>
      </c>
      <c r="BG177" s="281">
        <v>0</v>
      </c>
      <c r="BH177" s="281">
        <v>0</v>
      </c>
      <c r="BI177" s="281">
        <v>0</v>
      </c>
      <c r="BJ177" s="281">
        <v>0</v>
      </c>
      <c r="BK177" s="281">
        <v>0</v>
      </c>
      <c r="BL177" s="281">
        <v>0</v>
      </c>
      <c r="BM177" s="281">
        <v>0</v>
      </c>
      <c r="BN177" s="281">
        <v>0</v>
      </c>
      <c r="BO177" s="281">
        <v>0</v>
      </c>
      <c r="BP177" s="281">
        <f>BS177-BO177</f>
        <v>0</v>
      </c>
      <c r="BQ177" s="281">
        <f>BT177-BS177</f>
        <v>0</v>
      </c>
      <c r="BR177" s="281">
        <f>BU177-BT177</f>
        <v>0</v>
      </c>
      <c r="BS177" s="281">
        <v>0</v>
      </c>
      <c r="BT177" s="281">
        <v>0</v>
      </c>
      <c r="BU177" s="281">
        <v>0</v>
      </c>
      <c r="BV177" s="281">
        <v>0</v>
      </c>
      <c r="BW177" s="281">
        <f>BZ177-BV177</f>
        <v>0</v>
      </c>
      <c r="BX177" s="281">
        <f>CA177-BZ177</f>
        <v>0</v>
      </c>
      <c r="BY177" s="281"/>
      <c r="BZ177" s="281">
        <v>0</v>
      </c>
      <c r="CA177" s="281">
        <v>0</v>
      </c>
      <c r="CB177" s="281"/>
      <c r="CC177" s="281"/>
      <c r="CD177" s="281"/>
      <c r="CE177" s="281"/>
      <c r="CF177" s="281"/>
      <c r="CG177" s="281"/>
      <c r="CH177" s="281"/>
      <c r="CI177" s="281"/>
      <c r="CJ177" s="281"/>
      <c r="CK177" s="281"/>
      <c r="CL177" s="281"/>
      <c r="CM177" s="281"/>
      <c r="CN177" s="281"/>
      <c r="CO177" s="281"/>
    </row>
    <row r="178" spans="1:93" s="289" customFormat="1" x14ac:dyDescent="0.25">
      <c r="A178" s="455" t="str">
        <f>Language!C138</f>
        <v>Concer</v>
      </c>
      <c r="B178" s="280">
        <v>-2678</v>
      </c>
      <c r="C178" s="280">
        <v>-3387</v>
      </c>
      <c r="D178" s="280">
        <v>-2780</v>
      </c>
      <c r="E178" s="280">
        <v>-2922</v>
      </c>
      <c r="F178" s="279">
        <v>-2712</v>
      </c>
      <c r="G178" s="280">
        <v>-3251</v>
      </c>
      <c r="H178" s="280">
        <v>-2804</v>
      </c>
      <c r="I178" s="280">
        <v>-2799</v>
      </c>
      <c r="J178" s="279">
        <v>-2900</v>
      </c>
      <c r="K178" s="280">
        <v>-3370</v>
      </c>
      <c r="L178" s="280">
        <v>-2992</v>
      </c>
      <c r="M178" s="280">
        <v>-2902</v>
      </c>
      <c r="N178" s="279">
        <v>-1894</v>
      </c>
      <c r="O178" s="280">
        <v>-4609</v>
      </c>
      <c r="P178" s="280">
        <v>-3572</v>
      </c>
      <c r="Q178" s="280">
        <v>-3300</v>
      </c>
      <c r="R178" s="279">
        <v>-3374</v>
      </c>
      <c r="S178" s="280">
        <v>-3503</v>
      </c>
      <c r="T178" s="280">
        <f t="shared" si="953"/>
        <v>-3200</v>
      </c>
      <c r="U178" s="280">
        <f>X178-W178</f>
        <v>-3480</v>
      </c>
      <c r="V178" s="280">
        <f t="shared" si="954"/>
        <v>-6877</v>
      </c>
      <c r="W178" s="281">
        <v>-10077</v>
      </c>
      <c r="X178" s="282">
        <v>-13557</v>
      </c>
      <c r="Y178" s="283">
        <v>-1072</v>
      </c>
      <c r="Z178" s="281">
        <f t="shared" si="955"/>
        <v>-5518</v>
      </c>
      <c r="AA178" s="280">
        <f t="shared" si="956"/>
        <v>-3459</v>
      </c>
      <c r="AB178" s="280">
        <f>AE178-AD178</f>
        <v>-2567</v>
      </c>
      <c r="AC178" s="281">
        <v>-6590</v>
      </c>
      <c r="AD178" s="281">
        <v>-10049</v>
      </c>
      <c r="AE178" s="282">
        <v>-12616</v>
      </c>
      <c r="AF178" s="281">
        <v>-3293</v>
      </c>
      <c r="AG178" s="281">
        <f t="shared" si="584"/>
        <v>-3618</v>
      </c>
      <c r="AH178" s="281">
        <f t="shared" si="320"/>
        <v>-3055</v>
      </c>
      <c r="AI178" s="281">
        <f t="shared" si="321"/>
        <v>-2941</v>
      </c>
      <c r="AJ178" s="281">
        <v>-6911</v>
      </c>
      <c r="AK178" s="281">
        <v>-9966</v>
      </c>
      <c r="AL178" s="282">
        <v>-12907</v>
      </c>
      <c r="AM178" s="281">
        <v>-3326</v>
      </c>
      <c r="AN178" s="281">
        <f t="shared" si="323"/>
        <v>-3421</v>
      </c>
      <c r="AO178" s="281">
        <f t="shared" si="324"/>
        <v>-3786</v>
      </c>
      <c r="AP178" s="281">
        <f t="shared" si="324"/>
        <v>-4576</v>
      </c>
      <c r="AQ178" s="281">
        <v>-6747</v>
      </c>
      <c r="AR178" s="281">
        <v>-10533</v>
      </c>
      <c r="AS178" s="282">
        <v>-15109</v>
      </c>
      <c r="AT178" s="281">
        <v>-4411.0797999999995</v>
      </c>
      <c r="AU178" s="281">
        <f t="shared" si="916"/>
        <v>-5090.0234000000019</v>
      </c>
      <c r="AV178" s="281">
        <f t="shared" ref="AV178:AV182" si="957">AY178-AX178</f>
        <v>-4905.9141999999974</v>
      </c>
      <c r="AW178" s="281">
        <f t="shared" si="419"/>
        <v>-5092.9031999999988</v>
      </c>
      <c r="AX178" s="281">
        <v>-9501.1032000000014</v>
      </c>
      <c r="AY178" s="281">
        <v>-14407.017399999999</v>
      </c>
      <c r="AZ178" s="281">
        <v>-19499.920599999998</v>
      </c>
      <c r="BA178" s="281">
        <v>-4946</v>
      </c>
      <c r="BB178" s="281">
        <f t="shared" ref="BB178:BB182" si="958">BE178-BA178</f>
        <v>-4472</v>
      </c>
      <c r="BC178" s="281">
        <f t="shared" ref="BC178:BC182" si="959">BF178-BE178</f>
        <v>-4688</v>
      </c>
      <c r="BD178" s="281">
        <f t="shared" ref="BD178:BD182" si="960">BG178-BF178</f>
        <v>-4300</v>
      </c>
      <c r="BE178" s="281">
        <v>-9418</v>
      </c>
      <c r="BF178" s="281">
        <v>-14106</v>
      </c>
      <c r="BG178" s="281">
        <v>-18406</v>
      </c>
      <c r="BH178" s="281">
        <v>-5058</v>
      </c>
      <c r="BI178" s="281">
        <f>BL178-BH178</f>
        <v>-5729</v>
      </c>
      <c r="BJ178" s="281">
        <f>BM178-BL178</f>
        <v>-5507</v>
      </c>
      <c r="BK178" s="281">
        <f>BN178-BM178</f>
        <v>-5789</v>
      </c>
      <c r="BL178" s="281">
        <v>-10787</v>
      </c>
      <c r="BM178" s="281">
        <v>-16294</v>
      </c>
      <c r="BN178" s="281">
        <v>-22083</v>
      </c>
      <c r="BO178" s="281">
        <v>-5830</v>
      </c>
      <c r="BP178" s="281">
        <f t="shared" ref="BP178:BP182" si="961">BS178-BO178</f>
        <v>-5465</v>
      </c>
      <c r="BQ178" s="281">
        <f t="shared" ref="BQ178:BQ182" si="962">BT178-BS178</f>
        <v>-5995</v>
      </c>
      <c r="BR178" s="281">
        <f t="shared" ref="BR178:BR182" si="963">BU178-BT178</f>
        <v>-6096</v>
      </c>
      <c r="BS178" s="281">
        <v>-11295</v>
      </c>
      <c r="BT178" s="281">
        <v>-17290</v>
      </c>
      <c r="BU178" s="281">
        <v>-23386</v>
      </c>
      <c r="BV178" s="281">
        <v>-6220</v>
      </c>
      <c r="BW178" s="281">
        <f t="shared" ref="BW178:BW182" si="964">BZ178-BV178</f>
        <v>-6506</v>
      </c>
      <c r="BX178" s="281">
        <f t="shared" ref="BX178:BX182" si="965">CA178-BZ178</f>
        <v>-7298</v>
      </c>
      <c r="BY178" s="281">
        <f>CB178-CA178</f>
        <v>-6981</v>
      </c>
      <c r="BZ178" s="281">
        <v>-12726</v>
      </c>
      <c r="CA178" s="281">
        <v>-20024</v>
      </c>
      <c r="CB178" s="281">
        <v>-27005</v>
      </c>
      <c r="CC178" s="281">
        <v>-7180</v>
      </c>
      <c r="CD178" s="281">
        <f>CG178-CC178</f>
        <v>-7224</v>
      </c>
      <c r="CE178" s="281">
        <f>CH178-CG178</f>
        <v>-7052</v>
      </c>
      <c r="CF178" s="281">
        <f>CI178-CH178</f>
        <v>-7105</v>
      </c>
      <c r="CG178" s="281">
        <v>-14404</v>
      </c>
      <c r="CH178" s="281">
        <v>-21456</v>
      </c>
      <c r="CI178" s="281">
        <v>-28561</v>
      </c>
      <c r="CJ178" s="281">
        <v>-6751</v>
      </c>
      <c r="CK178" s="281">
        <f>CN178-CJ178</f>
        <v>-7655</v>
      </c>
      <c r="CL178" s="281"/>
      <c r="CM178" s="281"/>
      <c r="CN178" s="281">
        <v>-14406</v>
      </c>
      <c r="CO178" s="281"/>
    </row>
    <row r="179" spans="1:93" s="289" customFormat="1" x14ac:dyDescent="0.25">
      <c r="A179" s="455" t="str">
        <f>Language!C139</f>
        <v>Econorte</v>
      </c>
      <c r="B179" s="280">
        <v>-586</v>
      </c>
      <c r="C179" s="280">
        <v>-720</v>
      </c>
      <c r="D179" s="280">
        <v>-721</v>
      </c>
      <c r="E179" s="280">
        <v>-698</v>
      </c>
      <c r="F179" s="279">
        <v>-881</v>
      </c>
      <c r="G179" s="280">
        <v>-894</v>
      </c>
      <c r="H179" s="280">
        <v>-842</v>
      </c>
      <c r="I179" s="280">
        <v>-984</v>
      </c>
      <c r="J179" s="279">
        <v>-1088</v>
      </c>
      <c r="K179" s="280">
        <v>-1004</v>
      </c>
      <c r="L179" s="280">
        <v>-1010</v>
      </c>
      <c r="M179" s="280">
        <v>-1045</v>
      </c>
      <c r="N179" s="279">
        <v>-1149</v>
      </c>
      <c r="O179" s="280">
        <v>-1175</v>
      </c>
      <c r="P179" s="280">
        <v>-1198</v>
      </c>
      <c r="Q179" s="280">
        <v>-5076</v>
      </c>
      <c r="R179" s="279">
        <v>-2256</v>
      </c>
      <c r="S179" s="280">
        <v>-2469</v>
      </c>
      <c r="T179" s="280">
        <f t="shared" si="953"/>
        <v>-2569</v>
      </c>
      <c r="U179" s="280">
        <f>X179-W179</f>
        <v>-2655</v>
      </c>
      <c r="V179" s="280">
        <f t="shared" si="954"/>
        <v>-4725</v>
      </c>
      <c r="W179" s="281">
        <v>-7294</v>
      </c>
      <c r="X179" s="282">
        <v>-9949</v>
      </c>
      <c r="Y179" s="283">
        <v>-2736</v>
      </c>
      <c r="Z179" s="281">
        <f t="shared" si="955"/>
        <v>-2776</v>
      </c>
      <c r="AA179" s="280">
        <f t="shared" si="956"/>
        <v>-2837</v>
      </c>
      <c r="AB179" s="280">
        <f>AE179-AD179</f>
        <v>-2916</v>
      </c>
      <c r="AC179" s="281">
        <v>-5512</v>
      </c>
      <c r="AD179" s="281">
        <v>-8349</v>
      </c>
      <c r="AE179" s="282">
        <v>-11265</v>
      </c>
      <c r="AF179" s="281">
        <v>-2830</v>
      </c>
      <c r="AG179" s="281">
        <f t="shared" si="584"/>
        <v>-3086</v>
      </c>
      <c r="AH179" s="281">
        <f t="shared" si="320"/>
        <v>-2777</v>
      </c>
      <c r="AI179" s="281">
        <f t="shared" si="321"/>
        <v>-3464</v>
      </c>
      <c r="AJ179" s="281">
        <v>-5916</v>
      </c>
      <c r="AK179" s="281">
        <v>-8693</v>
      </c>
      <c r="AL179" s="282">
        <v>-12157</v>
      </c>
      <c r="AM179" s="281">
        <v>-2956</v>
      </c>
      <c r="AN179" s="281">
        <f t="shared" si="323"/>
        <v>-2933</v>
      </c>
      <c r="AO179" s="281">
        <f t="shared" si="324"/>
        <v>-3514</v>
      </c>
      <c r="AP179" s="281">
        <f t="shared" si="324"/>
        <v>-3422</v>
      </c>
      <c r="AQ179" s="281">
        <v>-5889</v>
      </c>
      <c r="AR179" s="281">
        <v>-9403</v>
      </c>
      <c r="AS179" s="282">
        <v>-12825</v>
      </c>
      <c r="AT179" s="281">
        <v>-3466</v>
      </c>
      <c r="AU179" s="281">
        <f t="shared" si="916"/>
        <v>-3688</v>
      </c>
      <c r="AV179" s="281">
        <f t="shared" si="957"/>
        <v>-3550</v>
      </c>
      <c r="AW179" s="281">
        <f t="shared" si="419"/>
        <v>-4031</v>
      </c>
      <c r="AX179" s="281">
        <v>-7154</v>
      </c>
      <c r="AY179" s="281">
        <v>-10704</v>
      </c>
      <c r="AZ179" s="281">
        <v>-14735</v>
      </c>
      <c r="BA179" s="281">
        <v>-4183</v>
      </c>
      <c r="BB179" s="281">
        <f t="shared" si="958"/>
        <v>-3914</v>
      </c>
      <c r="BC179" s="281">
        <f t="shared" si="959"/>
        <v>-3647</v>
      </c>
      <c r="BD179" s="281">
        <f t="shared" si="960"/>
        <v>-3510</v>
      </c>
      <c r="BE179" s="281">
        <v>-8097</v>
      </c>
      <c r="BF179" s="281">
        <v>-11744</v>
      </c>
      <c r="BG179" s="281">
        <v>-15254</v>
      </c>
      <c r="BH179" s="281">
        <v>-3473</v>
      </c>
      <c r="BI179" s="281">
        <f t="shared" ref="BI179:BI181" si="966">BL179-BH179</f>
        <v>-3696</v>
      </c>
      <c r="BJ179" s="281">
        <f t="shared" ref="BJ179:BJ181" si="967">BM179-BL179</f>
        <v>-3818</v>
      </c>
      <c r="BK179" s="281">
        <f t="shared" ref="BK179:BK182" si="968">BN179-BM179</f>
        <v>-4079</v>
      </c>
      <c r="BL179" s="281">
        <v>-7169</v>
      </c>
      <c r="BM179" s="281">
        <v>-10987</v>
      </c>
      <c r="BN179" s="281">
        <v>-15066</v>
      </c>
      <c r="BO179" s="281">
        <v>0</v>
      </c>
      <c r="BP179" s="281">
        <f t="shared" si="961"/>
        <v>0</v>
      </c>
      <c r="BQ179" s="281">
        <f t="shared" si="962"/>
        <v>0</v>
      </c>
      <c r="BR179" s="281">
        <f t="shared" si="963"/>
        <v>0</v>
      </c>
      <c r="BS179" s="281">
        <v>0</v>
      </c>
      <c r="BT179" s="281">
        <v>0</v>
      </c>
      <c r="BU179" s="281">
        <v>0</v>
      </c>
      <c r="BV179" s="281">
        <v>0</v>
      </c>
      <c r="BW179" s="281">
        <f t="shared" si="964"/>
        <v>0</v>
      </c>
      <c r="BX179" s="281">
        <f t="shared" si="965"/>
        <v>0</v>
      </c>
      <c r="BY179" s="281">
        <f t="shared" ref="BY179:BY182" si="969">CB179-CA179</f>
        <v>0</v>
      </c>
      <c r="BZ179" s="281">
        <v>0</v>
      </c>
      <c r="CA179" s="281">
        <v>0</v>
      </c>
      <c r="CB179" s="281">
        <v>0</v>
      </c>
      <c r="CC179" s="281">
        <v>0</v>
      </c>
      <c r="CD179" s="281">
        <f t="shared" ref="CD179:CD182" si="970">CG179-CC179</f>
        <v>0</v>
      </c>
      <c r="CE179" s="281">
        <f t="shared" ref="CE179:CE182" si="971">CH179-CG179</f>
        <v>0</v>
      </c>
      <c r="CF179" s="281">
        <f t="shared" ref="CF179:CF182" si="972">CI179-CH179</f>
        <v>0</v>
      </c>
      <c r="CG179" s="281">
        <v>0</v>
      </c>
      <c r="CH179" s="281">
        <v>0</v>
      </c>
      <c r="CI179" s="281">
        <v>0</v>
      </c>
      <c r="CJ179" s="281">
        <v>0</v>
      </c>
      <c r="CK179" s="281">
        <f t="shared" ref="CK179:CK182" si="973">CN179-CJ179</f>
        <v>0</v>
      </c>
      <c r="CL179" s="281"/>
      <c r="CM179" s="281"/>
      <c r="CN179" s="281">
        <v>0</v>
      </c>
      <c r="CO179" s="281"/>
    </row>
    <row r="180" spans="1:93" s="289" customFormat="1" x14ac:dyDescent="0.25">
      <c r="A180" s="455" t="str">
        <f>Language!C140</f>
        <v>Concebra</v>
      </c>
      <c r="B180" s="280">
        <v>0</v>
      </c>
      <c r="C180" s="280">
        <v>0</v>
      </c>
      <c r="D180" s="280">
        <v>0</v>
      </c>
      <c r="E180" s="280">
        <v>0</v>
      </c>
      <c r="F180" s="279">
        <v>0</v>
      </c>
      <c r="G180" s="280">
        <v>0</v>
      </c>
      <c r="H180" s="280">
        <v>0</v>
      </c>
      <c r="I180" s="280">
        <v>0</v>
      </c>
      <c r="J180" s="279">
        <v>0</v>
      </c>
      <c r="K180" s="280">
        <v>0</v>
      </c>
      <c r="L180" s="280">
        <v>0</v>
      </c>
      <c r="M180" s="280">
        <v>0</v>
      </c>
      <c r="N180" s="279">
        <v>0</v>
      </c>
      <c r="O180" s="280">
        <v>0</v>
      </c>
      <c r="P180" s="280">
        <v>0</v>
      </c>
      <c r="Q180" s="280">
        <v>0</v>
      </c>
      <c r="R180" s="279">
        <v>0</v>
      </c>
      <c r="S180" s="280">
        <v>-384</v>
      </c>
      <c r="T180" s="280">
        <f t="shared" si="953"/>
        <v>-10414</v>
      </c>
      <c r="U180" s="280">
        <f>X180-W180</f>
        <v>-11661</v>
      </c>
      <c r="V180" s="280">
        <f t="shared" si="954"/>
        <v>-384</v>
      </c>
      <c r="W180" s="281">
        <v>-10798</v>
      </c>
      <c r="X180" s="282">
        <v>-22459</v>
      </c>
      <c r="Y180" s="283">
        <v>-9917</v>
      </c>
      <c r="Z180" s="281">
        <f t="shared" si="955"/>
        <v>-11064</v>
      </c>
      <c r="AA180" s="280">
        <f t="shared" si="956"/>
        <v>-10020</v>
      </c>
      <c r="AB180" s="280">
        <f>AE180-AD180</f>
        <v>-12575</v>
      </c>
      <c r="AC180" s="281">
        <v>-20981</v>
      </c>
      <c r="AD180" s="281">
        <v>-31001</v>
      </c>
      <c r="AE180" s="282">
        <v>-43576</v>
      </c>
      <c r="AF180" s="281">
        <v>-9233</v>
      </c>
      <c r="AG180" s="281">
        <f t="shared" si="584"/>
        <v>-9413</v>
      </c>
      <c r="AH180" s="281">
        <f t="shared" ref="AH180:AH261" si="974">AK180-AJ180</f>
        <v>-9044</v>
      </c>
      <c r="AI180" s="281">
        <f t="shared" ref="AI180:AI261" si="975">AL180-AK180</f>
        <v>-8835</v>
      </c>
      <c r="AJ180" s="281">
        <v>-18646</v>
      </c>
      <c r="AK180" s="281">
        <v>-27690</v>
      </c>
      <c r="AL180" s="282">
        <v>-36525</v>
      </c>
      <c r="AM180" s="281">
        <v>-11885</v>
      </c>
      <c r="AN180" s="281">
        <f t="shared" ref="AN180:AN261" si="976">AQ180-AM180</f>
        <v>-13410</v>
      </c>
      <c r="AO180" s="281">
        <f t="shared" ref="AO180:AP261" si="977">AR180-AQ180</f>
        <v>-11761</v>
      </c>
      <c r="AP180" s="281">
        <f t="shared" si="977"/>
        <v>-12138</v>
      </c>
      <c r="AQ180" s="281">
        <v>-25295</v>
      </c>
      <c r="AR180" s="281">
        <v>-37056</v>
      </c>
      <c r="AS180" s="282">
        <v>-49194</v>
      </c>
      <c r="AT180" s="281">
        <v>-11131</v>
      </c>
      <c r="AU180" s="281">
        <f t="shared" si="916"/>
        <v>-10155</v>
      </c>
      <c r="AV180" s="281">
        <f t="shared" si="957"/>
        <v>-12642</v>
      </c>
      <c r="AW180" s="281">
        <f t="shared" ref="AW180:AW261" si="978">AZ180-AY180</f>
        <v>-12762</v>
      </c>
      <c r="AX180" s="281">
        <v>-21286</v>
      </c>
      <c r="AY180" s="281">
        <v>-33928</v>
      </c>
      <c r="AZ180" s="281">
        <v>-46690</v>
      </c>
      <c r="BA180" s="281">
        <v>-12668</v>
      </c>
      <c r="BB180" s="281">
        <f t="shared" si="958"/>
        <v>-10397</v>
      </c>
      <c r="BC180" s="281">
        <f t="shared" si="959"/>
        <v>-10975</v>
      </c>
      <c r="BD180" s="281">
        <f t="shared" si="960"/>
        <v>-10434</v>
      </c>
      <c r="BE180" s="281">
        <v>-23065</v>
      </c>
      <c r="BF180" s="281">
        <v>-34040</v>
      </c>
      <c r="BG180" s="281">
        <v>-44474</v>
      </c>
      <c r="BH180" s="281">
        <v>-10556</v>
      </c>
      <c r="BI180" s="281">
        <f t="shared" si="966"/>
        <v>-9849</v>
      </c>
      <c r="BJ180" s="281">
        <f t="shared" si="967"/>
        <v>-8639</v>
      </c>
      <c r="BK180" s="281">
        <f t="shared" si="968"/>
        <v>-8972</v>
      </c>
      <c r="BL180" s="281">
        <v>-20405</v>
      </c>
      <c r="BM180" s="281">
        <v>-29044</v>
      </c>
      <c r="BN180" s="281">
        <v>-38016</v>
      </c>
      <c r="BO180" s="281">
        <v>-8947</v>
      </c>
      <c r="BP180" s="281">
        <f t="shared" si="961"/>
        <v>-11237</v>
      </c>
      <c r="BQ180" s="281">
        <f t="shared" si="962"/>
        <v>-12510</v>
      </c>
      <c r="BR180" s="281">
        <f t="shared" si="963"/>
        <v>-12882</v>
      </c>
      <c r="BS180" s="281">
        <v>-20184</v>
      </c>
      <c r="BT180" s="281">
        <v>-32694</v>
      </c>
      <c r="BU180" s="281">
        <v>-45576</v>
      </c>
      <c r="BV180" s="281">
        <v>-11999</v>
      </c>
      <c r="BW180" s="281">
        <f t="shared" si="964"/>
        <v>-12165</v>
      </c>
      <c r="BX180" s="281">
        <f t="shared" si="965"/>
        <v>-11661</v>
      </c>
      <c r="BY180" s="281">
        <f t="shared" si="969"/>
        <v>-11486</v>
      </c>
      <c r="BZ180" s="281">
        <v>-24164</v>
      </c>
      <c r="CA180" s="281">
        <v>-35825</v>
      </c>
      <c r="CB180" s="281">
        <v>-47311</v>
      </c>
      <c r="CC180" s="281">
        <v>-9228</v>
      </c>
      <c r="CD180" s="281">
        <f t="shared" si="970"/>
        <v>-17391</v>
      </c>
      <c r="CE180" s="281">
        <f t="shared" si="971"/>
        <v>-13807</v>
      </c>
      <c r="CF180" s="281">
        <f t="shared" si="972"/>
        <v>-17032</v>
      </c>
      <c r="CG180" s="281">
        <v>-26619</v>
      </c>
      <c r="CH180" s="281">
        <v>-40426</v>
      </c>
      <c r="CI180" s="281">
        <v>-57458</v>
      </c>
      <c r="CJ180" s="281">
        <v>-9567</v>
      </c>
      <c r="CK180" s="281">
        <f t="shared" si="973"/>
        <v>-11455</v>
      </c>
      <c r="CL180" s="281"/>
      <c r="CM180" s="281"/>
      <c r="CN180" s="281">
        <v>-21022</v>
      </c>
      <c r="CO180" s="281"/>
    </row>
    <row r="181" spans="1:93" s="289" customFormat="1" x14ac:dyDescent="0.25">
      <c r="A181" s="455" t="str">
        <f>Language!C141</f>
        <v>Transbrasiliana</v>
      </c>
      <c r="B181" s="280">
        <v>0</v>
      </c>
      <c r="C181" s="280">
        <v>0</v>
      </c>
      <c r="D181" s="280">
        <v>0</v>
      </c>
      <c r="E181" s="280">
        <v>0</v>
      </c>
      <c r="F181" s="279">
        <v>0</v>
      </c>
      <c r="G181" s="280">
        <v>0</v>
      </c>
      <c r="H181" s="280">
        <v>0</v>
      </c>
      <c r="I181" s="280">
        <v>0</v>
      </c>
      <c r="J181" s="279">
        <v>0</v>
      </c>
      <c r="K181" s="280">
        <v>0</v>
      </c>
      <c r="L181" s="280">
        <v>0</v>
      </c>
      <c r="M181" s="280">
        <v>0</v>
      </c>
      <c r="N181" s="279">
        <v>0</v>
      </c>
      <c r="O181" s="280">
        <v>0</v>
      </c>
      <c r="P181" s="280">
        <v>0</v>
      </c>
      <c r="Q181" s="280">
        <v>0</v>
      </c>
      <c r="R181" s="279">
        <v>-2163</v>
      </c>
      <c r="S181" s="280">
        <v>-2381</v>
      </c>
      <c r="T181" s="280">
        <f t="shared" si="953"/>
        <v>-2356</v>
      </c>
      <c r="U181" s="280">
        <f>X181-W181</f>
        <v>-2476</v>
      </c>
      <c r="V181" s="280">
        <f t="shared" si="954"/>
        <v>-4544</v>
      </c>
      <c r="W181" s="281">
        <v>-6900</v>
      </c>
      <c r="X181" s="282">
        <v>-9376</v>
      </c>
      <c r="Y181" s="283">
        <v>-3110</v>
      </c>
      <c r="Z181" s="281">
        <f t="shared" si="955"/>
        <v>-3692</v>
      </c>
      <c r="AA181" s="280">
        <f t="shared" si="956"/>
        <v>-3531</v>
      </c>
      <c r="AB181" s="280">
        <f>AE181-AD181</f>
        <v>-3063</v>
      </c>
      <c r="AC181" s="281">
        <v>-6802</v>
      </c>
      <c r="AD181" s="281">
        <v>-10333</v>
      </c>
      <c r="AE181" s="282">
        <v>-13396</v>
      </c>
      <c r="AF181" s="281">
        <v>-3516</v>
      </c>
      <c r="AG181" s="281">
        <f t="shared" si="584"/>
        <v>-3411</v>
      </c>
      <c r="AH181" s="281">
        <f t="shared" si="974"/>
        <v>-3856</v>
      </c>
      <c r="AI181" s="281">
        <f t="shared" si="975"/>
        <v>-2841</v>
      </c>
      <c r="AJ181" s="281">
        <v>-6927</v>
      </c>
      <c r="AK181" s="281">
        <v>-10783</v>
      </c>
      <c r="AL181" s="282">
        <v>-13624</v>
      </c>
      <c r="AM181" s="281">
        <v>-3681</v>
      </c>
      <c r="AN181" s="281">
        <f t="shared" si="976"/>
        <v>-4075</v>
      </c>
      <c r="AO181" s="281">
        <f t="shared" si="977"/>
        <v>-3474</v>
      </c>
      <c r="AP181" s="281">
        <f t="shared" si="977"/>
        <v>-4325</v>
      </c>
      <c r="AQ181" s="281">
        <v>-7756</v>
      </c>
      <c r="AR181" s="281">
        <v>-11230</v>
      </c>
      <c r="AS181" s="282">
        <v>-15555</v>
      </c>
      <c r="AT181" s="281">
        <v>-4366</v>
      </c>
      <c r="AU181" s="281">
        <f t="shared" si="916"/>
        <v>-4363</v>
      </c>
      <c r="AV181" s="281">
        <f t="shared" si="957"/>
        <v>-4325</v>
      </c>
      <c r="AW181" s="281">
        <f t="shared" si="978"/>
        <v>-4655</v>
      </c>
      <c r="AX181" s="281">
        <v>-8729</v>
      </c>
      <c r="AY181" s="281">
        <v>-13054</v>
      </c>
      <c r="AZ181" s="281">
        <v>-17709</v>
      </c>
      <c r="BA181" s="281">
        <v>-4948</v>
      </c>
      <c r="BB181" s="281">
        <f t="shared" si="958"/>
        <v>-4277</v>
      </c>
      <c r="BC181" s="281">
        <f t="shared" si="959"/>
        <v>-4384</v>
      </c>
      <c r="BD181" s="281">
        <f t="shared" si="960"/>
        <v>-4480</v>
      </c>
      <c r="BE181" s="281">
        <v>-9225</v>
      </c>
      <c r="BF181" s="281">
        <v>-13609</v>
      </c>
      <c r="BG181" s="281">
        <v>-18089</v>
      </c>
      <c r="BH181" s="281">
        <v>-4477</v>
      </c>
      <c r="BI181" s="281">
        <f t="shared" si="966"/>
        <v>-4422</v>
      </c>
      <c r="BJ181" s="281">
        <f t="shared" si="967"/>
        <v>-4237</v>
      </c>
      <c r="BK181" s="281">
        <f t="shared" si="968"/>
        <v>-4555</v>
      </c>
      <c r="BL181" s="281">
        <v>-8899</v>
      </c>
      <c r="BM181" s="281">
        <v>-13136</v>
      </c>
      <c r="BN181" s="281">
        <v>-17691</v>
      </c>
      <c r="BO181" s="281">
        <v>-4704</v>
      </c>
      <c r="BP181" s="281">
        <f t="shared" si="961"/>
        <v>-4606</v>
      </c>
      <c r="BQ181" s="281">
        <f t="shared" si="962"/>
        <v>-4462</v>
      </c>
      <c r="BR181" s="281">
        <f t="shared" si="963"/>
        <v>-5486</v>
      </c>
      <c r="BS181" s="281">
        <v>-9310</v>
      </c>
      <c r="BT181" s="281">
        <v>-13772</v>
      </c>
      <c r="BU181" s="281">
        <v>-19258</v>
      </c>
      <c r="BV181" s="281">
        <v>-5197</v>
      </c>
      <c r="BW181" s="281">
        <f t="shared" si="964"/>
        <v>-5824</v>
      </c>
      <c r="BX181" s="281">
        <f t="shared" si="965"/>
        <v>-5398</v>
      </c>
      <c r="BY181" s="281">
        <f t="shared" si="969"/>
        <v>-5313</v>
      </c>
      <c r="BZ181" s="281">
        <v>-11021</v>
      </c>
      <c r="CA181" s="281">
        <v>-16419</v>
      </c>
      <c r="CB181" s="281">
        <v>-21732</v>
      </c>
      <c r="CC181" s="281">
        <v>-5618</v>
      </c>
      <c r="CD181" s="281">
        <f t="shared" si="970"/>
        <v>-5700</v>
      </c>
      <c r="CE181" s="281">
        <f t="shared" si="971"/>
        <v>-5259</v>
      </c>
      <c r="CF181" s="281">
        <f t="shared" si="972"/>
        <v>-5266</v>
      </c>
      <c r="CG181" s="281">
        <v>-11318</v>
      </c>
      <c r="CH181" s="281">
        <v>-16577</v>
      </c>
      <c r="CI181" s="281">
        <v>-21843</v>
      </c>
      <c r="CJ181" s="281">
        <v>-5743</v>
      </c>
      <c r="CK181" s="281">
        <f t="shared" si="973"/>
        <v>-5867</v>
      </c>
      <c r="CL181" s="281"/>
      <c r="CM181" s="281"/>
      <c r="CN181" s="281">
        <v>-11610</v>
      </c>
      <c r="CO181" s="281"/>
    </row>
    <row r="182" spans="1:93" s="289" customFormat="1" x14ac:dyDescent="0.25">
      <c r="A182" s="455" t="s">
        <v>670</v>
      </c>
      <c r="B182" s="280"/>
      <c r="C182" s="280"/>
      <c r="D182" s="280"/>
      <c r="E182" s="280"/>
      <c r="F182" s="279"/>
      <c r="G182" s="280"/>
      <c r="H182" s="280"/>
      <c r="I182" s="280"/>
      <c r="J182" s="279"/>
      <c r="K182" s="280"/>
      <c r="L182" s="280"/>
      <c r="M182" s="280"/>
      <c r="N182" s="279"/>
      <c r="O182" s="280"/>
      <c r="P182" s="280"/>
      <c r="Q182" s="280"/>
      <c r="R182" s="279"/>
      <c r="S182" s="280"/>
      <c r="T182" s="280"/>
      <c r="U182" s="280"/>
      <c r="V182" s="280"/>
      <c r="W182" s="281"/>
      <c r="X182" s="282"/>
      <c r="Y182" s="283"/>
      <c r="Z182" s="281"/>
      <c r="AA182" s="280"/>
      <c r="AB182" s="280"/>
      <c r="AC182" s="281"/>
      <c r="AD182" s="281"/>
      <c r="AE182" s="282"/>
      <c r="AF182" s="281"/>
      <c r="AG182" s="281">
        <f t="shared" si="584"/>
        <v>0</v>
      </c>
      <c r="AH182" s="281">
        <f t="shared" si="974"/>
        <v>0</v>
      </c>
      <c r="AI182" s="281">
        <f t="shared" si="975"/>
        <v>0</v>
      </c>
      <c r="AJ182" s="281"/>
      <c r="AK182" s="281"/>
      <c r="AL182" s="282"/>
      <c r="AM182" s="281">
        <v>-485</v>
      </c>
      <c r="AN182" s="281">
        <f t="shared" si="976"/>
        <v>-387</v>
      </c>
      <c r="AO182" s="281">
        <f t="shared" si="977"/>
        <v>-358</v>
      </c>
      <c r="AP182" s="281">
        <f t="shared" si="977"/>
        <v>-262</v>
      </c>
      <c r="AQ182" s="281">
        <v>-872</v>
      </c>
      <c r="AR182" s="281">
        <v>-1230</v>
      </c>
      <c r="AS182" s="282">
        <v>-1492</v>
      </c>
      <c r="AT182" s="281">
        <v>0</v>
      </c>
      <c r="AU182" s="281">
        <f t="shared" si="916"/>
        <v>-335</v>
      </c>
      <c r="AV182" s="281">
        <f t="shared" si="957"/>
        <v>0</v>
      </c>
      <c r="AW182" s="281">
        <f t="shared" si="978"/>
        <v>335</v>
      </c>
      <c r="AX182" s="281">
        <v>-335</v>
      </c>
      <c r="AY182" s="281">
        <v>-335</v>
      </c>
      <c r="AZ182" s="281">
        <v>0</v>
      </c>
      <c r="BA182" s="281">
        <v>0</v>
      </c>
      <c r="BB182" s="281">
        <f t="shared" si="958"/>
        <v>0</v>
      </c>
      <c r="BC182" s="281">
        <f t="shared" si="959"/>
        <v>0</v>
      </c>
      <c r="BD182" s="281">
        <f t="shared" si="960"/>
        <v>0</v>
      </c>
      <c r="BE182" s="281">
        <v>0</v>
      </c>
      <c r="BF182" s="281">
        <v>0</v>
      </c>
      <c r="BG182" s="281">
        <v>0</v>
      </c>
      <c r="BH182" s="281">
        <v>0</v>
      </c>
      <c r="BI182" s="281">
        <v>0</v>
      </c>
      <c r="BJ182" s="281">
        <v>0</v>
      </c>
      <c r="BK182" s="281">
        <f t="shared" si="968"/>
        <v>0</v>
      </c>
      <c r="BL182" s="281">
        <v>0</v>
      </c>
      <c r="BM182" s="281">
        <v>0</v>
      </c>
      <c r="BN182" s="281">
        <v>0</v>
      </c>
      <c r="BO182" s="281">
        <v>0</v>
      </c>
      <c r="BP182" s="281">
        <f t="shared" si="961"/>
        <v>0</v>
      </c>
      <c r="BQ182" s="281">
        <f t="shared" si="962"/>
        <v>0</v>
      </c>
      <c r="BR182" s="281">
        <f t="shared" si="963"/>
        <v>0</v>
      </c>
      <c r="BS182" s="281">
        <v>0</v>
      </c>
      <c r="BT182" s="281">
        <v>0</v>
      </c>
      <c r="BU182" s="281">
        <v>0</v>
      </c>
      <c r="BV182" s="281">
        <v>0</v>
      </c>
      <c r="BW182" s="281">
        <f t="shared" si="964"/>
        <v>0</v>
      </c>
      <c r="BX182" s="281">
        <f t="shared" si="965"/>
        <v>0</v>
      </c>
      <c r="BY182" s="281">
        <f t="shared" si="969"/>
        <v>0</v>
      </c>
      <c r="BZ182" s="281">
        <v>0</v>
      </c>
      <c r="CA182" s="281">
        <v>0</v>
      </c>
      <c r="CB182" s="281">
        <v>0</v>
      </c>
      <c r="CC182" s="281">
        <v>0</v>
      </c>
      <c r="CD182" s="281">
        <f t="shared" si="970"/>
        <v>0</v>
      </c>
      <c r="CE182" s="281">
        <f t="shared" si="971"/>
        <v>0</v>
      </c>
      <c r="CF182" s="281">
        <f t="shared" si="972"/>
        <v>0</v>
      </c>
      <c r="CG182" s="281">
        <v>0</v>
      </c>
      <c r="CH182" s="281">
        <v>0</v>
      </c>
      <c r="CI182" s="281">
        <v>0</v>
      </c>
      <c r="CJ182" s="281">
        <v>0</v>
      </c>
      <c r="CK182" s="281">
        <f t="shared" si="973"/>
        <v>0</v>
      </c>
      <c r="CL182" s="281"/>
      <c r="CM182" s="281"/>
      <c r="CN182" s="281">
        <v>0</v>
      </c>
      <c r="CO182" s="281"/>
    </row>
    <row r="183" spans="1:93" s="289" customFormat="1" x14ac:dyDescent="0.25">
      <c r="A183" s="713" t="s">
        <v>695</v>
      </c>
      <c r="B183" s="280"/>
      <c r="C183" s="280"/>
      <c r="D183" s="280"/>
      <c r="E183" s="280"/>
      <c r="F183" s="279"/>
      <c r="G183" s="280"/>
      <c r="H183" s="280"/>
      <c r="I183" s="280"/>
      <c r="J183" s="279"/>
      <c r="K183" s="280"/>
      <c r="L183" s="280"/>
      <c r="M183" s="280"/>
      <c r="N183" s="279"/>
      <c r="O183" s="280"/>
      <c r="P183" s="280"/>
      <c r="Q183" s="280"/>
      <c r="R183" s="279"/>
      <c r="S183" s="280"/>
      <c r="T183" s="280"/>
      <c r="U183" s="280"/>
      <c r="V183" s="280"/>
      <c r="W183" s="281"/>
      <c r="X183" s="282"/>
      <c r="Y183" s="283"/>
      <c r="Z183" s="281"/>
      <c r="AA183" s="280"/>
      <c r="AB183" s="280"/>
      <c r="AC183" s="281"/>
      <c r="AD183" s="281"/>
      <c r="AE183" s="282"/>
      <c r="AF183" s="281"/>
      <c r="AG183" s="281"/>
      <c r="AH183" s="281"/>
      <c r="AI183" s="281"/>
      <c r="AJ183" s="281"/>
      <c r="AK183" s="281"/>
      <c r="AL183" s="282"/>
      <c r="AM183" s="281"/>
      <c r="AN183" s="281"/>
      <c r="AO183" s="281"/>
      <c r="AP183" s="281"/>
      <c r="AQ183" s="281"/>
      <c r="AR183" s="281"/>
      <c r="AS183" s="282"/>
      <c r="AT183" s="281"/>
      <c r="AU183" s="281">
        <f t="shared" si="916"/>
        <v>651</v>
      </c>
      <c r="AV183" s="281"/>
      <c r="AW183" s="281"/>
      <c r="AX183" s="281">
        <v>651</v>
      </c>
      <c r="AY183" s="281"/>
      <c r="AZ183" s="281"/>
      <c r="BA183" s="281"/>
      <c r="BB183" s="281"/>
      <c r="BC183" s="281"/>
      <c r="BD183" s="281"/>
      <c r="BE183" s="281"/>
      <c r="BF183" s="281"/>
      <c r="BG183" s="281"/>
      <c r="BH183" s="281"/>
      <c r="BI183" s="281"/>
      <c r="BJ183" s="281"/>
      <c r="BK183" s="281"/>
      <c r="BL183" s="281"/>
      <c r="BM183" s="281"/>
      <c r="BN183" s="281"/>
      <c r="BO183" s="281"/>
      <c r="BP183" s="281"/>
      <c r="BQ183" s="281"/>
      <c r="BR183" s="281"/>
      <c r="BS183" s="281"/>
      <c r="BT183" s="281"/>
      <c r="BU183" s="281"/>
      <c r="BV183" s="281"/>
      <c r="BW183" s="281"/>
      <c r="BX183" s="281"/>
      <c r="BY183" s="281"/>
      <c r="BZ183" s="281"/>
      <c r="CA183" s="281"/>
      <c r="CB183" s="281"/>
      <c r="CC183" s="281"/>
      <c r="CD183" s="281"/>
      <c r="CE183" s="281"/>
      <c r="CF183" s="281"/>
      <c r="CG183" s="281"/>
      <c r="CH183" s="281"/>
      <c r="CI183" s="281"/>
      <c r="CJ183" s="281"/>
      <c r="CK183" s="281"/>
      <c r="CL183" s="281"/>
      <c r="CM183" s="281"/>
      <c r="CN183" s="281"/>
      <c r="CO183" s="281"/>
    </row>
    <row r="184" spans="1:93" s="289" customFormat="1" x14ac:dyDescent="0.25">
      <c r="A184" s="490" t="str">
        <f>Language!C142</f>
        <v>Depreciação e Amortização</v>
      </c>
      <c r="B184" s="485">
        <f t="shared" ref="B184:AJ184" si="979">SUM(B185,B186,B187,B188,B189)</f>
        <v>-24867</v>
      </c>
      <c r="C184" s="485">
        <f t="shared" si="979"/>
        <v>-26286</v>
      </c>
      <c r="D184" s="485">
        <f t="shared" si="979"/>
        <v>-23421</v>
      </c>
      <c r="E184" s="485">
        <f t="shared" si="979"/>
        <v>-26180</v>
      </c>
      <c r="F184" s="486">
        <f t="shared" si="979"/>
        <v>-28428</v>
      </c>
      <c r="G184" s="485">
        <f t="shared" si="979"/>
        <v>-33082</v>
      </c>
      <c r="H184" s="485">
        <f t="shared" si="979"/>
        <v>-27077</v>
      </c>
      <c r="I184" s="485">
        <f t="shared" si="979"/>
        <v>-32071</v>
      </c>
      <c r="J184" s="486">
        <f t="shared" si="979"/>
        <v>-33758</v>
      </c>
      <c r="K184" s="485">
        <f t="shared" si="979"/>
        <v>-34597</v>
      </c>
      <c r="L184" s="485">
        <f t="shared" si="979"/>
        <v>-35802</v>
      </c>
      <c r="M184" s="485">
        <f t="shared" si="979"/>
        <v>-36530</v>
      </c>
      <c r="N184" s="486">
        <f t="shared" si="979"/>
        <v>-40187</v>
      </c>
      <c r="O184" s="485">
        <f t="shared" si="979"/>
        <v>-42264</v>
      </c>
      <c r="P184" s="485">
        <f t="shared" si="979"/>
        <v>-41320</v>
      </c>
      <c r="Q184" s="485">
        <f t="shared" si="979"/>
        <v>-43635</v>
      </c>
      <c r="R184" s="486">
        <f t="shared" si="979"/>
        <v>-50934</v>
      </c>
      <c r="S184" s="485">
        <f t="shared" si="979"/>
        <v>-50765</v>
      </c>
      <c r="T184" s="485">
        <f t="shared" si="979"/>
        <v>-53628</v>
      </c>
      <c r="U184" s="485">
        <f t="shared" si="979"/>
        <v>-48703</v>
      </c>
      <c r="V184" s="485">
        <f t="shared" si="979"/>
        <v>-101699</v>
      </c>
      <c r="W184" s="487">
        <f t="shared" si="979"/>
        <v>-155327</v>
      </c>
      <c r="X184" s="488">
        <f t="shared" si="979"/>
        <v>-204030</v>
      </c>
      <c r="Y184" s="489">
        <f t="shared" si="979"/>
        <v>-67433</v>
      </c>
      <c r="Z184" s="487">
        <f t="shared" si="979"/>
        <v>-60582</v>
      </c>
      <c r="AA184" s="485">
        <f t="shared" si="979"/>
        <v>-69633</v>
      </c>
      <c r="AB184" s="485">
        <f t="shared" si="979"/>
        <v>-71008</v>
      </c>
      <c r="AC184" s="487">
        <f t="shared" si="979"/>
        <v>-128015</v>
      </c>
      <c r="AD184" s="487">
        <f t="shared" si="979"/>
        <v>-197648</v>
      </c>
      <c r="AE184" s="488">
        <f t="shared" si="979"/>
        <v>-268656</v>
      </c>
      <c r="AF184" s="487">
        <f t="shared" si="979"/>
        <v>-91684</v>
      </c>
      <c r="AG184" s="487">
        <f t="shared" si="584"/>
        <v>-101466</v>
      </c>
      <c r="AH184" s="487">
        <f t="shared" si="974"/>
        <v>-41404.77887180791</v>
      </c>
      <c r="AI184" s="487">
        <f t="shared" si="975"/>
        <v>-45302.22112819209</v>
      </c>
      <c r="AJ184" s="487">
        <f t="shared" si="979"/>
        <v>-193150</v>
      </c>
      <c r="AK184" s="487">
        <f>SUM(AK185,AK186,AK187,AK188,AK189)</f>
        <v>-234554.77887180791</v>
      </c>
      <c r="AL184" s="488">
        <f>SUM(AL185,AL186,AL187,AL188,AL189)</f>
        <v>-279857</v>
      </c>
      <c r="AM184" s="487">
        <f>SUM(AM185:AM190)</f>
        <v>-49730</v>
      </c>
      <c r="AN184" s="487">
        <f t="shared" si="976"/>
        <v>-49354</v>
      </c>
      <c r="AO184" s="487">
        <f t="shared" si="977"/>
        <v>-56746</v>
      </c>
      <c r="AP184" s="487">
        <f t="shared" si="977"/>
        <v>-74303</v>
      </c>
      <c r="AQ184" s="487">
        <f>SUM(AQ185:AQ190)</f>
        <v>-99084</v>
      </c>
      <c r="AR184" s="487">
        <f>SUM(AR185:AR190)</f>
        <v>-155830</v>
      </c>
      <c r="AS184" s="488">
        <f>SUM(AS185:AS190)</f>
        <v>-230133</v>
      </c>
      <c r="AT184" s="487">
        <f>SUM(AT185:AT190)</f>
        <v>-73370.342999999993</v>
      </c>
      <c r="AU184" s="487">
        <f>SUM(AU185:AU191)</f>
        <v>-77442.702799999999</v>
      </c>
      <c r="AV184" s="487">
        <f>SUM(AV185:AV190)</f>
        <v>-80611.506399999998</v>
      </c>
      <c r="AW184" s="487">
        <f t="shared" si="978"/>
        <v>-105166.23439999999</v>
      </c>
      <c r="AX184" s="487">
        <f>SUM(AX185:AX191)</f>
        <v>-150813.04580000002</v>
      </c>
      <c r="AY184" s="487">
        <f>SUM(AY185:AY191)</f>
        <v>-231453.55220000001</v>
      </c>
      <c r="AZ184" s="487">
        <f t="shared" ref="AZ184:BE184" si="980">SUM(AZ185:AZ190)</f>
        <v>-336619.78659999999</v>
      </c>
      <c r="BA184" s="487">
        <f t="shared" si="980"/>
        <v>-80814</v>
      </c>
      <c r="BB184" s="487">
        <f t="shared" si="980"/>
        <v>-70651</v>
      </c>
      <c r="BC184" s="487">
        <f>SUM(BC185:BC191)</f>
        <v>-95426</v>
      </c>
      <c r="BD184" s="487">
        <f t="shared" si="980"/>
        <v>-112161</v>
      </c>
      <c r="BE184" s="487">
        <f t="shared" si="980"/>
        <v>-151465</v>
      </c>
      <c r="BF184" s="487">
        <f>SUM(BF185:BF191)</f>
        <v>-246891</v>
      </c>
      <c r="BG184" s="487">
        <f>SUM(BG185:BG191)</f>
        <v>-358721</v>
      </c>
      <c r="BH184" s="493">
        <f>SUM(BH185:BH191)</f>
        <v>-108826</v>
      </c>
      <c r="BI184" s="493">
        <f t="shared" ref="BI184:BL184" si="981">SUM(BI185:BI191)</f>
        <v>-114197</v>
      </c>
      <c r="BJ184" s="493">
        <f t="shared" si="981"/>
        <v>-53859</v>
      </c>
      <c r="BK184" s="493">
        <f t="shared" si="981"/>
        <v>-87762</v>
      </c>
      <c r="BL184" s="493">
        <f t="shared" si="981"/>
        <v>-223023</v>
      </c>
      <c r="BM184" s="493">
        <f t="shared" ref="BM184:BN184" si="982">SUM(BM185:BM191)</f>
        <v>-276882</v>
      </c>
      <c r="BN184" s="493">
        <f t="shared" si="982"/>
        <v>-364644</v>
      </c>
      <c r="BO184" s="493">
        <f t="shared" ref="BO184:BS184" si="983">SUM(BO185:BO191)</f>
        <v>-42185</v>
      </c>
      <c r="BP184" s="493">
        <f t="shared" si="983"/>
        <v>-38548.484666496959</v>
      </c>
      <c r="BQ184" s="493">
        <f t="shared" si="983"/>
        <v>-41911.242333248476</v>
      </c>
      <c r="BR184" s="493">
        <f t="shared" si="983"/>
        <v>-21100.242333248476</v>
      </c>
      <c r="BS184" s="493">
        <f t="shared" si="983"/>
        <v>-80733.484666496952</v>
      </c>
      <c r="BT184" s="493">
        <f t="shared" ref="BT184:BU184" si="984">SUM(BT185:BT191)</f>
        <v>-122644.72699974543</v>
      </c>
      <c r="BU184" s="493">
        <f t="shared" si="984"/>
        <v>-143744.9693329939</v>
      </c>
      <c r="BV184" s="493">
        <f t="shared" ref="BV184:BY184" si="985">SUM(BV185:BV191)</f>
        <v>-33349.901420745293</v>
      </c>
      <c r="BW184" s="493">
        <f t="shared" si="985"/>
        <v>-33531.456043027014</v>
      </c>
      <c r="BX184" s="493">
        <f t="shared" si="985"/>
        <v>-38176.678731886153</v>
      </c>
      <c r="BY184" s="493">
        <f t="shared" si="985"/>
        <v>-42713.678731886153</v>
      </c>
      <c r="BZ184" s="493">
        <f t="shared" ref="BZ184:CA184" si="986">SUM(BZ185:BZ191)</f>
        <v>-66881.357463772307</v>
      </c>
      <c r="CA184" s="493">
        <f t="shared" si="986"/>
        <v>-105058.03619565847</v>
      </c>
      <c r="CB184" s="493">
        <f t="shared" ref="CB184:CC184" si="987">SUM(CB185:CB191)</f>
        <v>-147771.71492754461</v>
      </c>
      <c r="CC184" s="493">
        <f t="shared" si="987"/>
        <v>-36087.682523697826</v>
      </c>
      <c r="CD184" s="493">
        <f t="shared" ref="CD184" si="988">SUM(CD185:CD191)</f>
        <v>-38312.560834805699</v>
      </c>
      <c r="CE184" s="493">
        <f t="shared" ref="CE184:CG184" si="989">SUM(CE185:CE191)</f>
        <v>-43026.756641496468</v>
      </c>
      <c r="CF184" s="493">
        <f t="shared" si="989"/>
        <v>-35855</v>
      </c>
      <c r="CG184" s="493">
        <f t="shared" si="989"/>
        <v>-74400.243358503532</v>
      </c>
      <c r="CH184" s="493">
        <f t="shared" ref="CH184:CI184" si="990">SUM(CH185:CH191)</f>
        <v>-117427</v>
      </c>
      <c r="CI184" s="493">
        <f t="shared" si="990"/>
        <v>-153282</v>
      </c>
      <c r="CJ184" s="493">
        <v>-40537</v>
      </c>
      <c r="CK184" s="493">
        <f t="shared" ref="CK184" si="991">SUM(CK185:CK191)</f>
        <v>-70069</v>
      </c>
      <c r="CL184" s="493">
        <f t="shared" ref="CL184:CO184" si="992">SUM(CL185:CL191)</f>
        <v>0</v>
      </c>
      <c r="CM184" s="493">
        <f t="shared" si="992"/>
        <v>0</v>
      </c>
      <c r="CN184" s="493">
        <f t="shared" si="992"/>
        <v>-110606</v>
      </c>
      <c r="CO184" s="493">
        <f t="shared" si="992"/>
        <v>0</v>
      </c>
    </row>
    <row r="185" spans="1:93" s="289" customFormat="1" x14ac:dyDescent="0.25">
      <c r="A185" s="455" t="str">
        <f>Language!C143</f>
        <v>Concepa</v>
      </c>
      <c r="B185" s="280">
        <v>-11490</v>
      </c>
      <c r="C185" s="280">
        <v>-13165</v>
      </c>
      <c r="D185" s="280">
        <v>-9189</v>
      </c>
      <c r="E185" s="280">
        <v>-12238</v>
      </c>
      <c r="F185" s="279">
        <v>-13466</v>
      </c>
      <c r="G185" s="280">
        <v>-18013</v>
      </c>
      <c r="H185" s="280">
        <v>-11387</v>
      </c>
      <c r="I185" s="280">
        <v>-15827</v>
      </c>
      <c r="J185" s="279">
        <v>-16397</v>
      </c>
      <c r="K185" s="280">
        <v>-16937</v>
      </c>
      <c r="L185" s="280">
        <v>-17400</v>
      </c>
      <c r="M185" s="280">
        <v>-17662</v>
      </c>
      <c r="N185" s="279">
        <v>-19753</v>
      </c>
      <c r="O185" s="280">
        <v>-20538</v>
      </c>
      <c r="P185" s="280">
        <v>-21671</v>
      </c>
      <c r="Q185" s="280">
        <v>-22852</v>
      </c>
      <c r="R185" s="279">
        <v>-24346</v>
      </c>
      <c r="S185" s="280">
        <v>-24513</v>
      </c>
      <c r="T185" s="280">
        <f t="shared" ref="T185:T189" si="993">W185-S185-R185</f>
        <v>-24286</v>
      </c>
      <c r="U185" s="280">
        <f>X185-W185</f>
        <v>-23470</v>
      </c>
      <c r="V185" s="280">
        <f t="shared" ref="V185:V189" si="994">R185+S185</f>
        <v>-48859</v>
      </c>
      <c r="W185" s="281">
        <v>-73145</v>
      </c>
      <c r="X185" s="282">
        <v>-96615</v>
      </c>
      <c r="Y185" s="283">
        <v>-32157</v>
      </c>
      <c r="Z185" s="281">
        <f t="shared" ref="Z185:Z189" si="995">AC185-Y185</f>
        <v>-25672</v>
      </c>
      <c r="AA185" s="280">
        <f t="shared" ref="AA185:AA189" si="996">AD185-Z185-Y185</f>
        <v>-34379</v>
      </c>
      <c r="AB185" s="280">
        <f>AE185-AD185</f>
        <v>-33840</v>
      </c>
      <c r="AC185" s="281">
        <v>-57829</v>
      </c>
      <c r="AD185" s="281">
        <v>-92208</v>
      </c>
      <c r="AE185" s="282">
        <v>-126048</v>
      </c>
      <c r="AF185" s="281">
        <v>-51403.844733420025</v>
      </c>
      <c r="AG185" s="281">
        <f t="shared" si="584"/>
        <v>-58952.450539563135</v>
      </c>
      <c r="AH185" s="281">
        <f t="shared" si="974"/>
        <v>811.49731521819194</v>
      </c>
      <c r="AI185" s="281">
        <f t="shared" si="975"/>
        <v>-8.3852538854262093</v>
      </c>
      <c r="AJ185" s="281">
        <v>-110356.29527298316</v>
      </c>
      <c r="AK185" s="281">
        <v>-109544.79795776497</v>
      </c>
      <c r="AL185" s="282">
        <v>-109553.18321165039</v>
      </c>
      <c r="AM185" s="281">
        <v>-75</v>
      </c>
      <c r="AN185" s="281">
        <f t="shared" si="976"/>
        <v>-85</v>
      </c>
      <c r="AO185" s="281">
        <f t="shared" si="977"/>
        <v>-15.050994827531497</v>
      </c>
      <c r="AP185" s="281">
        <f t="shared" si="977"/>
        <v>-0.18923937941727331</v>
      </c>
      <c r="AQ185" s="281">
        <v>-160</v>
      </c>
      <c r="AR185" s="281">
        <v>-175.0509948275315</v>
      </c>
      <c r="AS185" s="282">
        <v>-175.24023420694877</v>
      </c>
      <c r="AT185" s="281"/>
      <c r="AU185" s="281"/>
      <c r="AV185" s="281"/>
      <c r="AW185" s="281">
        <f t="shared" si="978"/>
        <v>0</v>
      </c>
      <c r="AX185" s="281">
        <v>0</v>
      </c>
      <c r="AY185" s="281">
        <v>0</v>
      </c>
      <c r="AZ185" s="732">
        <v>0</v>
      </c>
      <c r="BA185" s="732">
        <v>0</v>
      </c>
      <c r="BB185" s="732">
        <f>BE185-BA185</f>
        <v>0</v>
      </c>
      <c r="BC185" s="732">
        <f>BF185-BE185</f>
        <v>0</v>
      </c>
      <c r="BD185" s="281">
        <f>BG185-BF185</f>
        <v>0</v>
      </c>
      <c r="BE185" s="732">
        <v>0</v>
      </c>
      <c r="BF185" s="732">
        <v>0</v>
      </c>
      <c r="BG185" s="732">
        <v>0</v>
      </c>
      <c r="BH185" s="732">
        <v>0</v>
      </c>
      <c r="BI185" s="732">
        <v>0</v>
      </c>
      <c r="BJ185" s="732">
        <v>0</v>
      </c>
      <c r="BK185" s="732">
        <v>0</v>
      </c>
      <c r="BL185" s="732">
        <v>0</v>
      </c>
      <c r="BM185" s="732">
        <v>0</v>
      </c>
      <c r="BN185" s="732">
        <v>0</v>
      </c>
      <c r="BO185" s="732">
        <v>0</v>
      </c>
      <c r="BP185" s="281">
        <f>BS185-BO185</f>
        <v>0</v>
      </c>
      <c r="BQ185" s="732">
        <f>BT185-BS185</f>
        <v>0</v>
      </c>
      <c r="BR185" s="732"/>
      <c r="BS185" s="732">
        <v>0</v>
      </c>
      <c r="BT185" s="732">
        <v>0</v>
      </c>
      <c r="BU185" s="732">
        <v>0</v>
      </c>
      <c r="BV185" s="732"/>
      <c r="BW185" s="732"/>
      <c r="BX185" s="732"/>
      <c r="BY185" s="732"/>
      <c r="BZ185" s="732"/>
      <c r="CA185" s="732"/>
      <c r="CB185" s="732"/>
      <c r="CC185" s="732"/>
      <c r="CD185" s="732"/>
      <c r="CE185" s="732"/>
      <c r="CF185" s="732"/>
      <c r="CG185" s="732"/>
      <c r="CH185" s="732"/>
      <c r="CI185" s="732"/>
      <c r="CJ185" s="732"/>
      <c r="CK185" s="732"/>
      <c r="CL185" s="732"/>
      <c r="CM185" s="732"/>
      <c r="CN185" s="732"/>
      <c r="CO185" s="732"/>
    </row>
    <row r="186" spans="1:93" s="289" customFormat="1" x14ac:dyDescent="0.25">
      <c r="A186" s="455" t="str">
        <f>Language!C144</f>
        <v>Concer</v>
      </c>
      <c r="B186" s="280">
        <v>-9103</v>
      </c>
      <c r="C186" s="280">
        <v>-8838</v>
      </c>
      <c r="D186" s="280">
        <v>-9292</v>
      </c>
      <c r="E186" s="280">
        <v>-9394</v>
      </c>
      <c r="F186" s="279">
        <v>-10147</v>
      </c>
      <c r="G186" s="280">
        <v>-10241</v>
      </c>
      <c r="H186" s="280">
        <v>-10430</v>
      </c>
      <c r="I186" s="280">
        <v>-10651</v>
      </c>
      <c r="J186" s="279">
        <v>-11529</v>
      </c>
      <c r="K186" s="280">
        <v>-11781</v>
      </c>
      <c r="L186" s="280">
        <v>-12164</v>
      </c>
      <c r="M186" s="280">
        <v>-12098</v>
      </c>
      <c r="N186" s="279">
        <v>-12566</v>
      </c>
      <c r="O186" s="280">
        <v>-13564</v>
      </c>
      <c r="P186" s="280">
        <v>-11121</v>
      </c>
      <c r="Q186" s="280">
        <v>-11846</v>
      </c>
      <c r="R186" s="279">
        <v>-11315</v>
      </c>
      <c r="S186" s="280">
        <v>-11119</v>
      </c>
      <c r="T186" s="280">
        <f t="shared" si="993"/>
        <v>-10633</v>
      </c>
      <c r="U186" s="280">
        <f>X186-W186</f>
        <v>-10325</v>
      </c>
      <c r="V186" s="280">
        <f t="shared" si="994"/>
        <v>-22434</v>
      </c>
      <c r="W186" s="281">
        <v>-33067</v>
      </c>
      <c r="X186" s="282">
        <v>-43392</v>
      </c>
      <c r="Y186" s="283">
        <v>-15347</v>
      </c>
      <c r="Z186" s="281">
        <f t="shared" si="995"/>
        <v>-15440</v>
      </c>
      <c r="AA186" s="280">
        <f t="shared" si="996"/>
        <v>-15767</v>
      </c>
      <c r="AB186" s="280">
        <f>AE186-AD186</f>
        <v>-15944</v>
      </c>
      <c r="AC186" s="281">
        <v>-30787</v>
      </c>
      <c r="AD186" s="281">
        <v>-46554</v>
      </c>
      <c r="AE186" s="282">
        <v>-62498</v>
      </c>
      <c r="AF186" s="281">
        <v>-18149.020676202861</v>
      </c>
      <c r="AG186" s="281">
        <f t="shared" si="584"/>
        <v>-18258.982811110356</v>
      </c>
      <c r="AH186" s="281">
        <f t="shared" si="974"/>
        <v>-19272.011578093181</v>
      </c>
      <c r="AI186" s="281">
        <f t="shared" si="975"/>
        <v>-19996.801039251564</v>
      </c>
      <c r="AJ186" s="281">
        <v>-36408.003487313217</v>
      </c>
      <c r="AK186" s="281">
        <v>-55680.015065406398</v>
      </c>
      <c r="AL186" s="282">
        <v>-75676.816104657963</v>
      </c>
      <c r="AM186" s="281">
        <v>-19945</v>
      </c>
      <c r="AN186" s="281">
        <f t="shared" si="976"/>
        <v>-19066</v>
      </c>
      <c r="AO186" s="281">
        <f t="shared" si="977"/>
        <v>-22525.853108241041</v>
      </c>
      <c r="AP186" s="281">
        <f t="shared" si="977"/>
        <v>-25573.384217738545</v>
      </c>
      <c r="AQ186" s="281">
        <v>-39011</v>
      </c>
      <c r="AR186" s="281">
        <v>-61536.853108241041</v>
      </c>
      <c r="AS186" s="282">
        <v>-87110.237325979586</v>
      </c>
      <c r="AT186" s="281">
        <v>-52903.343000000001</v>
      </c>
      <c r="AU186" s="281">
        <f t="shared" ref="AU186:AU191" si="997">AX186-AT186</f>
        <v>-54808.702800000006</v>
      </c>
      <c r="AV186" s="281">
        <f>AY186-AX186</f>
        <v>-55803.506399999998</v>
      </c>
      <c r="AW186" s="281">
        <f t="shared" si="978"/>
        <v>-59937.234400000016</v>
      </c>
      <c r="AX186" s="281">
        <v>-107712.04580000001</v>
      </c>
      <c r="AY186" s="281">
        <v>-163515.55220000001</v>
      </c>
      <c r="AZ186" s="281">
        <v>-223452.78660000002</v>
      </c>
      <c r="BA186" s="281">
        <v>-49322</v>
      </c>
      <c r="BB186" s="281">
        <f t="shared" ref="BB186:BB190" si="998">BE186-BA186</f>
        <v>-37391</v>
      </c>
      <c r="BC186" s="281">
        <f t="shared" ref="BC186:BC190" si="999">BF186-BE186</f>
        <v>-56627</v>
      </c>
      <c r="BD186" s="281">
        <f t="shared" ref="BD186:BD191" si="1000">BG186-BF186</f>
        <v>-65286</v>
      </c>
      <c r="BE186" s="281">
        <v>-86713</v>
      </c>
      <c r="BF186" s="281">
        <v>-143340</v>
      </c>
      <c r="BG186" s="281">
        <v>-208626</v>
      </c>
      <c r="BH186" s="281">
        <v>-64154</v>
      </c>
      <c r="BI186" s="281">
        <f>BL186-BH186</f>
        <v>-51307</v>
      </c>
      <c r="BJ186" s="281">
        <f>BM186-BL186</f>
        <v>24818</v>
      </c>
      <c r="BK186" s="281">
        <f>BN186-BM186</f>
        <v>-20597</v>
      </c>
      <c r="BL186" s="281">
        <v>-115461</v>
      </c>
      <c r="BM186" s="281">
        <v>-90643</v>
      </c>
      <c r="BN186" s="281">
        <v>-111240</v>
      </c>
      <c r="BO186" s="281">
        <v>-21353</v>
      </c>
      <c r="BP186" s="281">
        <f t="shared" ref="BP186:BP191" si="1001">BS186-BO186</f>
        <v>-21729</v>
      </c>
      <c r="BQ186" s="281">
        <f t="shared" ref="BQ186:BQ191" si="1002">BT186-BS186</f>
        <v>-22432</v>
      </c>
      <c r="BR186" s="281">
        <f>BU186-BT186</f>
        <v>-22868</v>
      </c>
      <c r="BS186" s="281">
        <v>-43082</v>
      </c>
      <c r="BT186" s="281">
        <v>-65514</v>
      </c>
      <c r="BU186" s="281">
        <v>-88382</v>
      </c>
      <c r="BV186" s="281">
        <v>-22808</v>
      </c>
      <c r="BW186" s="281">
        <f>BZ186-BV186</f>
        <v>-22788</v>
      </c>
      <c r="BX186" s="281">
        <f>CA186-BZ186</f>
        <v>-24378</v>
      </c>
      <c r="BY186" s="281">
        <f>CB186-CA186</f>
        <v>-25501</v>
      </c>
      <c r="BZ186" s="281">
        <v>-45596</v>
      </c>
      <c r="CA186" s="281">
        <v>-69974</v>
      </c>
      <c r="CB186" s="281">
        <v>-95475</v>
      </c>
      <c r="CC186" s="281">
        <v>-23007</v>
      </c>
      <c r="CD186" s="281">
        <f>CG186-CC186</f>
        <v>-23695</v>
      </c>
      <c r="CE186" s="281">
        <f>CH186-CG186</f>
        <v>-25981</v>
      </c>
      <c r="CF186" s="281">
        <f>CI186-CH186</f>
        <v>-26709</v>
      </c>
      <c r="CG186" s="281">
        <v>-46702</v>
      </c>
      <c r="CH186" s="281">
        <v>-72683</v>
      </c>
      <c r="CI186" s="281">
        <v>-99392</v>
      </c>
      <c r="CJ186" s="281">
        <v>-25953</v>
      </c>
      <c r="CK186" s="281">
        <f>CN186-CJ186</f>
        <v>-54599</v>
      </c>
      <c r="CL186" s="281"/>
      <c r="CM186" s="281"/>
      <c r="CN186" s="281">
        <v>-80552</v>
      </c>
      <c r="CO186" s="281"/>
    </row>
    <row r="187" spans="1:93" s="289" customFormat="1" x14ac:dyDescent="0.25">
      <c r="A187" s="455" t="str">
        <f>Language!C145</f>
        <v>Econorte</v>
      </c>
      <c r="B187" s="280">
        <v>-4274</v>
      </c>
      <c r="C187" s="280">
        <v>-4283</v>
      </c>
      <c r="D187" s="280">
        <v>-4940</v>
      </c>
      <c r="E187" s="280">
        <v>-4548</v>
      </c>
      <c r="F187" s="279">
        <v>-4815</v>
      </c>
      <c r="G187" s="280">
        <v>-4828</v>
      </c>
      <c r="H187" s="280">
        <v>-5260</v>
      </c>
      <c r="I187" s="280">
        <v>-5593</v>
      </c>
      <c r="J187" s="279">
        <v>-5832</v>
      </c>
      <c r="K187" s="280">
        <v>-5879</v>
      </c>
      <c r="L187" s="280">
        <v>-6238</v>
      </c>
      <c r="M187" s="280">
        <v>-6770</v>
      </c>
      <c r="N187" s="279">
        <v>-7868</v>
      </c>
      <c r="O187" s="280">
        <v>-8162</v>
      </c>
      <c r="P187" s="280">
        <v>-8528</v>
      </c>
      <c r="Q187" s="280">
        <v>-8937</v>
      </c>
      <c r="R187" s="279">
        <v>-11570</v>
      </c>
      <c r="S187" s="280">
        <v>-11091</v>
      </c>
      <c r="T187" s="280">
        <f t="shared" si="993"/>
        <v>-11004</v>
      </c>
      <c r="U187" s="280">
        <f>X187-W187</f>
        <v>-10968</v>
      </c>
      <c r="V187" s="280">
        <f t="shared" si="994"/>
        <v>-22661</v>
      </c>
      <c r="W187" s="281">
        <v>-33665</v>
      </c>
      <c r="X187" s="282">
        <v>-44633</v>
      </c>
      <c r="Y187" s="283">
        <v>-13198</v>
      </c>
      <c r="Z187" s="281">
        <f t="shared" si="995"/>
        <v>-12416</v>
      </c>
      <c r="AA187" s="280">
        <f t="shared" si="996"/>
        <v>-11874</v>
      </c>
      <c r="AB187" s="280">
        <f>AE187-AD187</f>
        <v>-11052</v>
      </c>
      <c r="AC187" s="281">
        <v>-25614</v>
      </c>
      <c r="AD187" s="281">
        <v>-37488</v>
      </c>
      <c r="AE187" s="282">
        <v>-48540</v>
      </c>
      <c r="AF187" s="281">
        <v>-14830.592414390983</v>
      </c>
      <c r="AG187" s="281">
        <f t="shared" si="584"/>
        <v>-13847.293673609347</v>
      </c>
      <c r="AH187" s="281">
        <f t="shared" si="974"/>
        <v>-12995.083340461602</v>
      </c>
      <c r="AI187" s="281">
        <f t="shared" si="975"/>
        <v>-12260.951139320961</v>
      </c>
      <c r="AJ187" s="281">
        <v>-28677.88608800033</v>
      </c>
      <c r="AK187" s="281">
        <v>-41672.969428461933</v>
      </c>
      <c r="AL187" s="282">
        <v>-53933.920567782894</v>
      </c>
      <c r="AM187" s="281">
        <v>-18786</v>
      </c>
      <c r="AN187" s="281">
        <f t="shared" si="976"/>
        <v>-18786</v>
      </c>
      <c r="AO187" s="281">
        <f t="shared" si="977"/>
        <v>-19108.91873195189</v>
      </c>
      <c r="AP187" s="281">
        <f t="shared" si="977"/>
        <v>-21560.380639079413</v>
      </c>
      <c r="AQ187" s="281">
        <v>-37572</v>
      </c>
      <c r="AR187" s="281">
        <v>-56680.91873195189</v>
      </c>
      <c r="AS187" s="282">
        <v>-78241.299371031302</v>
      </c>
      <c r="AT187" s="281">
        <v>-4343</v>
      </c>
      <c r="AU187" s="281">
        <f t="shared" si="997"/>
        <v>-4940</v>
      </c>
      <c r="AV187" s="281">
        <f t="shared" ref="AV187:AV190" si="1003">AY187-AX187</f>
        <v>-5954</v>
      </c>
      <c r="AW187" s="281">
        <f t="shared" si="978"/>
        <v>-18375</v>
      </c>
      <c r="AX187" s="281">
        <v>-9283</v>
      </c>
      <c r="AY187" s="281">
        <v>-15237</v>
      </c>
      <c r="AZ187" s="281">
        <v>-33612</v>
      </c>
      <c r="BA187" s="281">
        <v>-12623</v>
      </c>
      <c r="BB187" s="281">
        <f t="shared" si="998"/>
        <v>-16860</v>
      </c>
      <c r="BC187" s="281">
        <f t="shared" si="999"/>
        <v>-20024</v>
      </c>
      <c r="BD187" s="281">
        <f t="shared" si="1000"/>
        <v>-27579</v>
      </c>
      <c r="BE187" s="281">
        <v>-29483</v>
      </c>
      <c r="BF187" s="281">
        <v>-49507</v>
      </c>
      <c r="BG187" s="281">
        <v>-77086</v>
      </c>
      <c r="BH187" s="281">
        <v>-27070</v>
      </c>
      <c r="BI187" s="281">
        <f t="shared" ref="BI187:BI191" si="1004">BL187-BH187</f>
        <v>-43738</v>
      </c>
      <c r="BJ187" s="281">
        <f t="shared" ref="BJ187:BJ191" si="1005">BM187-BL187</f>
        <v>-59537</v>
      </c>
      <c r="BK187" s="281">
        <f t="shared" ref="BK187:BK191" si="1006">BN187-BM187</f>
        <v>-50939</v>
      </c>
      <c r="BL187" s="281">
        <v>-70808</v>
      </c>
      <c r="BM187" s="281">
        <v>-130345</v>
      </c>
      <c r="BN187" s="281">
        <v>-181284</v>
      </c>
      <c r="BO187" s="281">
        <v>-3310</v>
      </c>
      <c r="BP187" s="281">
        <f t="shared" si="1001"/>
        <v>-42</v>
      </c>
      <c r="BQ187" s="281">
        <f t="shared" si="1002"/>
        <v>-147</v>
      </c>
      <c r="BR187" s="281">
        <f t="shared" ref="BR187:BR191" si="1007">BU187-BT187</f>
        <v>-75</v>
      </c>
      <c r="BS187" s="281">
        <v>-3352</v>
      </c>
      <c r="BT187" s="281">
        <v>-3499</v>
      </c>
      <c r="BU187" s="281">
        <v>-3574</v>
      </c>
      <c r="BV187" s="281">
        <v>0</v>
      </c>
      <c r="BW187" s="281">
        <f t="shared" ref="BW187:BW191" si="1008">BZ187-BV187</f>
        <v>0</v>
      </c>
      <c r="BX187" s="281">
        <f t="shared" ref="BX187:BX191" si="1009">CA187-BZ187</f>
        <v>-24</v>
      </c>
      <c r="BY187" s="281">
        <f t="shared" ref="BY187:BY191" si="1010">CB187-CA187</f>
        <v>-7</v>
      </c>
      <c r="BZ187" s="281">
        <v>0</v>
      </c>
      <c r="CA187" s="281">
        <v>-24</v>
      </c>
      <c r="CB187" s="281">
        <v>-31</v>
      </c>
      <c r="CC187" s="281">
        <v>0</v>
      </c>
      <c r="CD187" s="281">
        <f t="shared" ref="CD187:CD191" si="1011">CG187-CC187</f>
        <v>0</v>
      </c>
      <c r="CE187" s="281">
        <f t="shared" ref="CE187:CE191" si="1012">CH187-CG187</f>
        <v>0</v>
      </c>
      <c r="CF187" s="281">
        <f t="shared" ref="CF187:CF191" si="1013">CI187-CH187</f>
        <v>0</v>
      </c>
      <c r="CG187" s="281">
        <v>0</v>
      </c>
      <c r="CH187" s="281">
        <v>0</v>
      </c>
      <c r="CI187" s="281">
        <v>0</v>
      </c>
      <c r="CJ187" s="281">
        <v>0</v>
      </c>
      <c r="CK187" s="281">
        <f t="shared" ref="CK187:CK191" si="1014">CN187-CJ187</f>
        <v>0</v>
      </c>
      <c r="CL187" s="281"/>
      <c r="CM187" s="281"/>
      <c r="CN187" s="281">
        <v>0</v>
      </c>
      <c r="CO187" s="281"/>
    </row>
    <row r="188" spans="1:93" s="289" customFormat="1" x14ac:dyDescent="0.25">
      <c r="A188" s="455" t="str">
        <f>Language!C146</f>
        <v>Concebra</v>
      </c>
      <c r="B188" s="280">
        <v>0</v>
      </c>
      <c r="C188" s="280">
        <v>0</v>
      </c>
      <c r="D188" s="280">
        <v>0</v>
      </c>
      <c r="E188" s="280">
        <v>0</v>
      </c>
      <c r="F188" s="279">
        <v>0</v>
      </c>
      <c r="G188" s="280">
        <v>0</v>
      </c>
      <c r="H188" s="280">
        <v>0</v>
      </c>
      <c r="I188" s="280">
        <v>0</v>
      </c>
      <c r="J188" s="279">
        <v>0</v>
      </c>
      <c r="K188" s="280">
        <v>0</v>
      </c>
      <c r="L188" s="280">
        <v>0</v>
      </c>
      <c r="M188" s="280">
        <v>0</v>
      </c>
      <c r="N188" s="279">
        <v>0</v>
      </c>
      <c r="O188" s="280">
        <v>0</v>
      </c>
      <c r="P188" s="280">
        <v>0</v>
      </c>
      <c r="Q188" s="280">
        <v>0</v>
      </c>
      <c r="R188" s="279">
        <v>0</v>
      </c>
      <c r="S188" s="280">
        <v>-329</v>
      </c>
      <c r="T188" s="280">
        <f t="shared" si="993"/>
        <v>-3472</v>
      </c>
      <c r="U188" s="280">
        <f>X188-W188</f>
        <v>-2825</v>
      </c>
      <c r="V188" s="280">
        <f t="shared" si="994"/>
        <v>-329</v>
      </c>
      <c r="W188" s="281">
        <v>-3801</v>
      </c>
      <c r="X188" s="282">
        <v>-6626</v>
      </c>
      <c r="Y188" s="283">
        <v>-3277</v>
      </c>
      <c r="Z188" s="281">
        <f t="shared" si="995"/>
        <v>-3583</v>
      </c>
      <c r="AA188" s="280">
        <f t="shared" si="996"/>
        <v>-3999</v>
      </c>
      <c r="AB188" s="280">
        <f>AE188-AD188</f>
        <v>-5414</v>
      </c>
      <c r="AC188" s="281">
        <v>-6860</v>
      </c>
      <c r="AD188" s="281">
        <v>-10859</v>
      </c>
      <c r="AE188" s="282">
        <v>-16273</v>
      </c>
      <c r="AF188" s="281">
        <v>-2986.5854356306891</v>
      </c>
      <c r="AG188" s="281">
        <f t="shared" si="584"/>
        <v>-6242.5851115773903</v>
      </c>
      <c r="AH188" s="281">
        <f t="shared" si="974"/>
        <v>-5750.9585661079273</v>
      </c>
      <c r="AI188" s="281">
        <f t="shared" si="975"/>
        <v>-6830.1801066024473</v>
      </c>
      <c r="AJ188" s="281">
        <v>-9229.1705472080794</v>
      </c>
      <c r="AK188" s="281">
        <v>-14980.129113316007</v>
      </c>
      <c r="AL188" s="282">
        <v>-21810.309219918454</v>
      </c>
      <c r="AM188" s="281">
        <v>-6377</v>
      </c>
      <c r="AN188" s="281">
        <f t="shared" si="976"/>
        <v>-6815</v>
      </c>
      <c r="AO188" s="281">
        <f t="shared" si="977"/>
        <v>-7551.0483927268106</v>
      </c>
      <c r="AP188" s="281">
        <f t="shared" si="977"/>
        <v>-20535.432312303219</v>
      </c>
      <c r="AQ188" s="281">
        <v>-13192</v>
      </c>
      <c r="AR188" s="281">
        <v>-20743.048392726811</v>
      </c>
      <c r="AS188" s="282">
        <v>-41278.48070503003</v>
      </c>
      <c r="AT188" s="281">
        <v>-10369</v>
      </c>
      <c r="AU188" s="281">
        <f t="shared" si="997"/>
        <v>-10594</v>
      </c>
      <c r="AV188" s="281">
        <f t="shared" si="1003"/>
        <v>-10495</v>
      </c>
      <c r="AW188" s="281">
        <f t="shared" si="978"/>
        <v>-15356</v>
      </c>
      <c r="AX188" s="281">
        <v>-20963</v>
      </c>
      <c r="AY188" s="281">
        <v>-31458</v>
      </c>
      <c r="AZ188" s="281">
        <v>-46814</v>
      </c>
      <c r="BA188" s="281">
        <v>-10726</v>
      </c>
      <c r="BB188" s="281">
        <f t="shared" si="998"/>
        <v>-9414</v>
      </c>
      <c r="BC188" s="281">
        <f t="shared" si="999"/>
        <v>-11739</v>
      </c>
      <c r="BD188" s="281">
        <f t="shared" si="1000"/>
        <v>-12203</v>
      </c>
      <c r="BE188" s="281">
        <v>-20140</v>
      </c>
      <c r="BF188" s="281">
        <v>-31879</v>
      </c>
      <c r="BG188" s="281">
        <v>-44082</v>
      </c>
      <c r="BH188" s="281">
        <v>-10814</v>
      </c>
      <c r="BI188" s="281">
        <f t="shared" si="1004"/>
        <v>-11152</v>
      </c>
      <c r="BJ188" s="281">
        <f t="shared" si="1005"/>
        <v>-10738</v>
      </c>
      <c r="BK188" s="281">
        <f t="shared" si="1006"/>
        <v>-8605</v>
      </c>
      <c r="BL188" s="281">
        <v>-21966</v>
      </c>
      <c r="BM188" s="281">
        <v>-32704</v>
      </c>
      <c r="BN188" s="281">
        <v>-41309</v>
      </c>
      <c r="BO188" s="281">
        <v>-9783</v>
      </c>
      <c r="BP188" s="281">
        <f t="shared" si="1001"/>
        <v>-8021</v>
      </c>
      <c r="BQ188" s="281">
        <f t="shared" si="1002"/>
        <v>-9675</v>
      </c>
      <c r="BR188" s="281">
        <f t="shared" si="1007"/>
        <v>11908</v>
      </c>
      <c r="BS188" s="281">
        <v>-17804</v>
      </c>
      <c r="BT188" s="281">
        <v>-27479</v>
      </c>
      <c r="BU188" s="281">
        <v>-15571</v>
      </c>
      <c r="BV188" s="281">
        <v>-393</v>
      </c>
      <c r="BW188" s="281">
        <f t="shared" si="1008"/>
        <v>-582</v>
      </c>
      <c r="BX188" s="281">
        <f t="shared" si="1009"/>
        <v>-1997</v>
      </c>
      <c r="BY188" s="281">
        <f t="shared" si="1010"/>
        <v>-5292</v>
      </c>
      <c r="BZ188" s="281">
        <v>-975</v>
      </c>
      <c r="CA188" s="281">
        <v>-2972</v>
      </c>
      <c r="CB188" s="281">
        <v>-8264</v>
      </c>
      <c r="CC188" s="281">
        <v>-1918</v>
      </c>
      <c r="CD188" s="281">
        <f t="shared" si="1011"/>
        <v>-2297</v>
      </c>
      <c r="CE188" s="281">
        <f t="shared" si="1012"/>
        <v>-2635</v>
      </c>
      <c r="CF188" s="281">
        <f t="shared" si="1013"/>
        <v>4827</v>
      </c>
      <c r="CG188" s="281">
        <v>-4215</v>
      </c>
      <c r="CH188" s="281">
        <v>-6850</v>
      </c>
      <c r="CI188" s="281">
        <v>-2023</v>
      </c>
      <c r="CJ188" s="281">
        <v>-531</v>
      </c>
      <c r="CK188" s="281">
        <f t="shared" si="1014"/>
        <v>-534</v>
      </c>
      <c r="CL188" s="281"/>
      <c r="CM188" s="281"/>
      <c r="CN188" s="281">
        <v>-1065</v>
      </c>
      <c r="CO188" s="281"/>
    </row>
    <row r="189" spans="1:93" s="289" customFormat="1" x14ac:dyDescent="0.25">
      <c r="A189" s="455" t="str">
        <f>Language!C147</f>
        <v>Transbrasiliana</v>
      </c>
      <c r="B189" s="280">
        <v>0</v>
      </c>
      <c r="C189" s="280">
        <v>0</v>
      </c>
      <c r="D189" s="280">
        <v>0</v>
      </c>
      <c r="E189" s="280">
        <v>0</v>
      </c>
      <c r="F189" s="279">
        <v>0</v>
      </c>
      <c r="G189" s="280">
        <v>0</v>
      </c>
      <c r="H189" s="280">
        <v>0</v>
      </c>
      <c r="I189" s="280">
        <v>0</v>
      </c>
      <c r="J189" s="279">
        <v>0</v>
      </c>
      <c r="K189" s="280">
        <v>0</v>
      </c>
      <c r="L189" s="280">
        <v>0</v>
      </c>
      <c r="M189" s="280">
        <v>0</v>
      </c>
      <c r="N189" s="279">
        <v>0</v>
      </c>
      <c r="O189" s="280">
        <v>0</v>
      </c>
      <c r="P189" s="280">
        <v>0</v>
      </c>
      <c r="Q189" s="280">
        <v>0</v>
      </c>
      <c r="R189" s="279">
        <v>-3703</v>
      </c>
      <c r="S189" s="280">
        <v>-3713</v>
      </c>
      <c r="T189" s="280">
        <f t="shared" si="993"/>
        <v>-4233</v>
      </c>
      <c r="U189" s="280">
        <f>X189-W189</f>
        <v>-1115</v>
      </c>
      <c r="V189" s="280">
        <f t="shared" si="994"/>
        <v>-7416</v>
      </c>
      <c r="W189" s="281">
        <v>-11649</v>
      </c>
      <c r="X189" s="282">
        <v>-12764</v>
      </c>
      <c r="Y189" s="283">
        <v>-3454</v>
      </c>
      <c r="Z189" s="281">
        <f t="shared" si="995"/>
        <v>-3471</v>
      </c>
      <c r="AA189" s="280">
        <f t="shared" si="996"/>
        <v>-3614</v>
      </c>
      <c r="AB189" s="280">
        <f>AE189-AD189</f>
        <v>-4758</v>
      </c>
      <c r="AC189" s="281">
        <v>-6925</v>
      </c>
      <c r="AD189" s="281">
        <v>-10539</v>
      </c>
      <c r="AE189" s="282">
        <v>-15297</v>
      </c>
      <c r="AF189" s="281">
        <v>-4313.9567403554402</v>
      </c>
      <c r="AG189" s="281">
        <f t="shared" si="584"/>
        <v>-4164.6878641397789</v>
      </c>
      <c r="AH189" s="281">
        <f t="shared" si="974"/>
        <v>-4198.2227023633804</v>
      </c>
      <c r="AI189" s="281">
        <f t="shared" si="975"/>
        <v>-6205.9035891317071</v>
      </c>
      <c r="AJ189" s="281">
        <v>-8478.644604495219</v>
      </c>
      <c r="AK189" s="281">
        <v>-12676.867306858599</v>
      </c>
      <c r="AL189" s="282">
        <v>-18882.770895990307</v>
      </c>
      <c r="AM189" s="281">
        <v>-4311</v>
      </c>
      <c r="AN189" s="281">
        <f t="shared" si="976"/>
        <v>-4375</v>
      </c>
      <c r="AO189" s="281">
        <f t="shared" si="977"/>
        <v>-7318.8036683273567</v>
      </c>
      <c r="AP189" s="281">
        <f t="shared" si="977"/>
        <v>-6420.996021060193</v>
      </c>
      <c r="AQ189" s="281">
        <v>-8686</v>
      </c>
      <c r="AR189" s="281">
        <v>-16004.803668327357</v>
      </c>
      <c r="AS189" s="282">
        <v>-22425.79968938755</v>
      </c>
      <c r="AT189" s="281">
        <v>-5755</v>
      </c>
      <c r="AU189" s="281">
        <f t="shared" si="997"/>
        <v>-7610</v>
      </c>
      <c r="AV189" s="281">
        <f t="shared" si="1003"/>
        <v>-8140</v>
      </c>
      <c r="AW189" s="281">
        <f t="shared" si="978"/>
        <v>-11236</v>
      </c>
      <c r="AX189" s="281">
        <v>-13365</v>
      </c>
      <c r="AY189" s="281">
        <v>-21505</v>
      </c>
      <c r="AZ189" s="281">
        <v>-32741</v>
      </c>
      <c r="BA189" s="281">
        <v>-8143</v>
      </c>
      <c r="BB189" s="281">
        <f t="shared" si="998"/>
        <v>-6986</v>
      </c>
      <c r="BC189" s="281">
        <f t="shared" si="999"/>
        <v>-8030</v>
      </c>
      <c r="BD189" s="281">
        <f t="shared" si="1000"/>
        <v>-7093</v>
      </c>
      <c r="BE189" s="281">
        <v>-15129</v>
      </c>
      <c r="BF189" s="281">
        <v>-23159</v>
      </c>
      <c r="BG189" s="281">
        <v>-30252</v>
      </c>
      <c r="BH189" s="281">
        <v>-7131</v>
      </c>
      <c r="BI189" s="281">
        <f t="shared" si="1004"/>
        <v>-8343</v>
      </c>
      <c r="BJ189" s="281">
        <f t="shared" si="1005"/>
        <v>-8745</v>
      </c>
      <c r="BK189" s="281">
        <f t="shared" si="1006"/>
        <v>-7964</v>
      </c>
      <c r="BL189" s="281">
        <v>-15474</v>
      </c>
      <c r="BM189" s="281">
        <v>-24219</v>
      </c>
      <c r="BN189" s="281">
        <v>-32183</v>
      </c>
      <c r="BO189" s="281">
        <v>-8095</v>
      </c>
      <c r="BP189" s="281">
        <f t="shared" si="1001"/>
        <v>-9112</v>
      </c>
      <c r="BQ189" s="281">
        <f t="shared" si="1002"/>
        <v>-10013</v>
      </c>
      <c r="BR189" s="281">
        <f t="shared" si="1007"/>
        <v>-10421</v>
      </c>
      <c r="BS189" s="281">
        <v>-17207</v>
      </c>
      <c r="BT189" s="281">
        <v>-27220</v>
      </c>
      <c r="BU189" s="281">
        <v>-37641</v>
      </c>
      <c r="BV189" s="281">
        <v>-10518</v>
      </c>
      <c r="BW189" s="281">
        <f t="shared" si="1008"/>
        <v>-10529</v>
      </c>
      <c r="BX189" s="281">
        <f t="shared" si="1009"/>
        <v>-12146</v>
      </c>
      <c r="BY189" s="281">
        <f t="shared" si="1010"/>
        <v>-12282</v>
      </c>
      <c r="BZ189" s="281">
        <v>-21047</v>
      </c>
      <c r="CA189" s="281">
        <v>-33193</v>
      </c>
      <c r="CB189" s="281">
        <v>-45475</v>
      </c>
      <c r="CC189" s="281">
        <v>-11545</v>
      </c>
      <c r="CD189" s="281">
        <f t="shared" si="1011"/>
        <v>-12448</v>
      </c>
      <c r="CE189" s="281">
        <f t="shared" si="1012"/>
        <v>-13901</v>
      </c>
      <c r="CF189" s="281">
        <f t="shared" si="1013"/>
        <v>-13973</v>
      </c>
      <c r="CG189" s="281">
        <v>-23993</v>
      </c>
      <c r="CH189" s="281">
        <v>-37894</v>
      </c>
      <c r="CI189" s="281">
        <v>-51867</v>
      </c>
      <c r="CJ189" s="281">
        <v>-14053</v>
      </c>
      <c r="CK189" s="281">
        <f t="shared" si="1014"/>
        <v>-14936</v>
      </c>
      <c r="CL189" s="281"/>
      <c r="CM189" s="281"/>
      <c r="CN189" s="281">
        <v>-28989</v>
      </c>
      <c r="CO189" s="281"/>
    </row>
    <row r="190" spans="1:93" s="289" customFormat="1" x14ac:dyDescent="0.25">
      <c r="A190" s="455" t="s">
        <v>670</v>
      </c>
      <c r="B190" s="280"/>
      <c r="C190" s="280"/>
      <c r="D190" s="280"/>
      <c r="E190" s="280"/>
      <c r="F190" s="279"/>
      <c r="G190" s="280"/>
      <c r="H190" s="280"/>
      <c r="I190" s="280"/>
      <c r="J190" s="279"/>
      <c r="K190" s="280"/>
      <c r="L190" s="280"/>
      <c r="M190" s="280"/>
      <c r="N190" s="279"/>
      <c r="O190" s="280"/>
      <c r="P190" s="280"/>
      <c r="Q190" s="280"/>
      <c r="R190" s="279"/>
      <c r="S190" s="280"/>
      <c r="T190" s="280"/>
      <c r="U190" s="280"/>
      <c r="V190" s="280"/>
      <c r="W190" s="281"/>
      <c r="X190" s="282"/>
      <c r="Y190" s="283"/>
      <c r="Z190" s="281"/>
      <c r="AA190" s="280"/>
      <c r="AB190" s="280"/>
      <c r="AC190" s="281"/>
      <c r="AD190" s="281"/>
      <c r="AE190" s="282"/>
      <c r="AF190" s="281"/>
      <c r="AG190" s="281">
        <f t="shared" si="584"/>
        <v>0</v>
      </c>
      <c r="AH190" s="281">
        <f t="shared" si="974"/>
        <v>0</v>
      </c>
      <c r="AI190" s="281">
        <f t="shared" si="975"/>
        <v>0</v>
      </c>
      <c r="AJ190" s="281"/>
      <c r="AK190" s="281"/>
      <c r="AL190" s="282"/>
      <c r="AM190" s="281">
        <v>-236</v>
      </c>
      <c r="AN190" s="281">
        <f t="shared" si="976"/>
        <v>-227</v>
      </c>
      <c r="AO190" s="281">
        <f t="shared" si="977"/>
        <v>-226.32510392536415</v>
      </c>
      <c r="AP190" s="281">
        <f t="shared" si="977"/>
        <v>-212.61757043921398</v>
      </c>
      <c r="AQ190" s="281">
        <v>-463</v>
      </c>
      <c r="AR190" s="281">
        <v>-689.32510392536415</v>
      </c>
      <c r="AS190" s="282">
        <v>-901.94267436457812</v>
      </c>
      <c r="AT190" s="302">
        <v>0</v>
      </c>
      <c r="AU190" s="281">
        <f t="shared" si="997"/>
        <v>-437</v>
      </c>
      <c r="AV190" s="281">
        <f t="shared" si="1003"/>
        <v>-219</v>
      </c>
      <c r="AW190" s="281">
        <f t="shared" si="978"/>
        <v>656</v>
      </c>
      <c r="AX190" s="281">
        <v>-437</v>
      </c>
      <c r="AY190" s="281">
        <v>-656</v>
      </c>
      <c r="AZ190" s="281">
        <v>0</v>
      </c>
      <c r="BA190" s="281">
        <v>0</v>
      </c>
      <c r="BB190" s="281">
        <f t="shared" si="998"/>
        <v>0</v>
      </c>
      <c r="BC190" s="281">
        <f t="shared" si="999"/>
        <v>0</v>
      </c>
      <c r="BD190" s="281">
        <f t="shared" si="1000"/>
        <v>0</v>
      </c>
      <c r="BE190" s="281">
        <v>0</v>
      </c>
      <c r="BF190" s="281">
        <v>0</v>
      </c>
      <c r="BG190" s="281">
        <v>0</v>
      </c>
      <c r="BH190" s="281">
        <v>0</v>
      </c>
      <c r="BI190" s="281">
        <f t="shared" si="1004"/>
        <v>0</v>
      </c>
      <c r="BJ190" s="281">
        <f t="shared" si="1005"/>
        <v>0</v>
      </c>
      <c r="BK190" s="281">
        <f t="shared" si="1006"/>
        <v>0</v>
      </c>
      <c r="BL190" s="281">
        <v>0</v>
      </c>
      <c r="BM190" s="281">
        <v>0</v>
      </c>
      <c r="BN190" s="281">
        <v>0</v>
      </c>
      <c r="BO190" s="281">
        <v>0</v>
      </c>
      <c r="BP190" s="281">
        <f t="shared" si="1001"/>
        <v>0</v>
      </c>
      <c r="BQ190" s="281">
        <f t="shared" si="1002"/>
        <v>0</v>
      </c>
      <c r="BR190" s="281">
        <f t="shared" si="1007"/>
        <v>0</v>
      </c>
      <c r="BS190" s="281">
        <v>0</v>
      </c>
      <c r="BT190" s="281">
        <v>0</v>
      </c>
      <c r="BU190" s="281">
        <v>0</v>
      </c>
      <c r="BV190" s="281">
        <v>0</v>
      </c>
      <c r="BW190" s="281">
        <f t="shared" si="1008"/>
        <v>0</v>
      </c>
      <c r="BX190" s="281">
        <f t="shared" si="1009"/>
        <v>0</v>
      </c>
      <c r="BY190" s="281">
        <f t="shared" si="1010"/>
        <v>0</v>
      </c>
      <c r="BZ190" s="281">
        <v>0</v>
      </c>
      <c r="CA190" s="281">
        <v>0</v>
      </c>
      <c r="CB190" s="281">
        <v>0</v>
      </c>
      <c r="CC190" s="281">
        <v>0</v>
      </c>
      <c r="CD190" s="281">
        <f t="shared" si="1011"/>
        <v>0</v>
      </c>
      <c r="CE190" s="281">
        <f t="shared" si="1012"/>
        <v>0</v>
      </c>
      <c r="CF190" s="281">
        <f t="shared" si="1013"/>
        <v>0</v>
      </c>
      <c r="CG190" s="281">
        <v>0</v>
      </c>
      <c r="CH190" s="281">
        <v>0</v>
      </c>
      <c r="CI190" s="281">
        <v>0</v>
      </c>
      <c r="CJ190" s="281">
        <v>0</v>
      </c>
      <c r="CK190" s="281">
        <f t="shared" si="1014"/>
        <v>0</v>
      </c>
      <c r="CL190" s="281"/>
      <c r="CM190" s="281"/>
      <c r="CN190" s="281">
        <v>0</v>
      </c>
      <c r="CO190" s="281"/>
    </row>
    <row r="191" spans="1:93" s="289" customFormat="1" x14ac:dyDescent="0.25">
      <c r="A191" s="713" t="s">
        <v>695</v>
      </c>
      <c r="B191" s="280"/>
      <c r="C191" s="280"/>
      <c r="D191" s="280"/>
      <c r="E191" s="280"/>
      <c r="F191" s="279"/>
      <c r="G191" s="280"/>
      <c r="H191" s="280"/>
      <c r="I191" s="280"/>
      <c r="J191" s="279"/>
      <c r="K191" s="280"/>
      <c r="L191" s="280"/>
      <c r="M191" s="280"/>
      <c r="N191" s="279"/>
      <c r="O191" s="280"/>
      <c r="P191" s="280"/>
      <c r="Q191" s="280"/>
      <c r="R191" s="279"/>
      <c r="S191" s="280"/>
      <c r="T191" s="280"/>
      <c r="U191" s="280"/>
      <c r="V191" s="280"/>
      <c r="W191" s="281"/>
      <c r="X191" s="282"/>
      <c r="Y191" s="283"/>
      <c r="Z191" s="281"/>
      <c r="AA191" s="280"/>
      <c r="AB191" s="280"/>
      <c r="AC191" s="281"/>
      <c r="AD191" s="281"/>
      <c r="AE191" s="282"/>
      <c r="AF191" s="281"/>
      <c r="AG191" s="281"/>
      <c r="AH191" s="281"/>
      <c r="AI191" s="281"/>
      <c r="AJ191" s="281"/>
      <c r="AK191" s="281"/>
      <c r="AL191" s="282"/>
      <c r="AM191" s="281"/>
      <c r="AN191" s="281"/>
      <c r="AO191" s="281"/>
      <c r="AP191" s="281"/>
      <c r="AQ191" s="281"/>
      <c r="AR191" s="281"/>
      <c r="AS191" s="282"/>
      <c r="AT191" s="302"/>
      <c r="AU191" s="281">
        <f t="shared" si="997"/>
        <v>947</v>
      </c>
      <c r="AV191" s="281"/>
      <c r="AW191" s="281"/>
      <c r="AX191" s="281">
        <v>947</v>
      </c>
      <c r="AY191" s="281">
        <v>918</v>
      </c>
      <c r="AZ191" s="281"/>
      <c r="BA191" s="281"/>
      <c r="BB191" s="281"/>
      <c r="BC191" s="281">
        <f>BF191-BE191</f>
        <v>994</v>
      </c>
      <c r="BD191" s="281">
        <f t="shared" si="1000"/>
        <v>331</v>
      </c>
      <c r="BE191" s="281"/>
      <c r="BF191" s="281">
        <v>994</v>
      </c>
      <c r="BG191" s="281">
        <v>1325</v>
      </c>
      <c r="BH191" s="281">
        <v>343</v>
      </c>
      <c r="BI191" s="281">
        <f t="shared" si="1004"/>
        <v>343</v>
      </c>
      <c r="BJ191" s="281">
        <f t="shared" si="1005"/>
        <v>343</v>
      </c>
      <c r="BK191" s="281">
        <f t="shared" si="1006"/>
        <v>343</v>
      </c>
      <c r="BL191" s="281">
        <v>686</v>
      </c>
      <c r="BM191" s="281">
        <v>1029</v>
      </c>
      <c r="BN191" s="281">
        <v>1372</v>
      </c>
      <c r="BO191" s="281">
        <v>356</v>
      </c>
      <c r="BP191" s="281">
        <f t="shared" si="1001"/>
        <v>355.51533350304442</v>
      </c>
      <c r="BQ191" s="281">
        <f t="shared" si="1002"/>
        <v>355.75766675152238</v>
      </c>
      <c r="BR191" s="281">
        <f t="shared" si="1007"/>
        <v>355.75766675152249</v>
      </c>
      <c r="BS191" s="281">
        <v>711.51533350304442</v>
      </c>
      <c r="BT191" s="281">
        <v>1067.2730002545668</v>
      </c>
      <c r="BU191" s="281">
        <v>1423.0306670060893</v>
      </c>
      <c r="BV191" s="281">
        <v>369.0985792547043</v>
      </c>
      <c r="BW191" s="281">
        <f t="shared" si="1008"/>
        <v>367.54395697298719</v>
      </c>
      <c r="BX191" s="281">
        <f t="shared" si="1009"/>
        <v>368.32126811384558</v>
      </c>
      <c r="BY191" s="281">
        <f t="shared" si="1010"/>
        <v>368.32126811384614</v>
      </c>
      <c r="BZ191" s="281">
        <v>736.64253622769149</v>
      </c>
      <c r="CA191" s="281">
        <v>1104.9638043415371</v>
      </c>
      <c r="CB191" s="281">
        <v>1473.2850724553832</v>
      </c>
      <c r="CC191" s="281">
        <v>382.31747630217211</v>
      </c>
      <c r="CD191" s="281">
        <f t="shared" si="1011"/>
        <v>127.43916519429769</v>
      </c>
      <c r="CE191" s="281">
        <f t="shared" si="1012"/>
        <v>-509.7566414964698</v>
      </c>
      <c r="CF191" s="281">
        <f t="shared" si="1013"/>
        <v>0</v>
      </c>
      <c r="CG191" s="281">
        <v>509.7566414964698</v>
      </c>
      <c r="CH191" s="281">
        <v>0</v>
      </c>
      <c r="CI191" s="281">
        <v>0</v>
      </c>
      <c r="CJ191" s="281">
        <v>0</v>
      </c>
      <c r="CK191" s="281">
        <f t="shared" si="1014"/>
        <v>0</v>
      </c>
      <c r="CL191" s="281"/>
      <c r="CM191" s="281"/>
      <c r="CN191" s="281">
        <v>0</v>
      </c>
      <c r="CO191" s="281"/>
    </row>
    <row r="192" spans="1:93" s="483" customFormat="1" x14ac:dyDescent="0.25">
      <c r="A192" s="490" t="str">
        <f>Language!C148</f>
        <v>Obrigações da Concessão</v>
      </c>
      <c r="B192" s="491">
        <f>SUM(B193,B194,B195,B196,B197)</f>
        <v>-3026</v>
      </c>
      <c r="C192" s="491">
        <f t="shared" ref="C192:R192" si="1015">SUM(C193,C194,C195,C196,C197)</f>
        <v>-2601</v>
      </c>
      <c r="D192" s="491">
        <f t="shared" si="1015"/>
        <v>-2937</v>
      </c>
      <c r="E192" s="491">
        <f t="shared" si="1015"/>
        <v>-3060</v>
      </c>
      <c r="F192" s="492">
        <f t="shared" si="1015"/>
        <v>-3170</v>
      </c>
      <c r="G192" s="491">
        <f t="shared" si="1015"/>
        <v>-3246</v>
      </c>
      <c r="H192" s="491">
        <f t="shared" si="1015"/>
        <v>-3343</v>
      </c>
      <c r="I192" s="491">
        <f t="shared" si="1015"/>
        <v>-3572</v>
      </c>
      <c r="J192" s="492">
        <f t="shared" si="1015"/>
        <v>-3481</v>
      </c>
      <c r="K192" s="491">
        <f t="shared" si="1015"/>
        <v>-4133</v>
      </c>
      <c r="L192" s="491">
        <f t="shared" si="1015"/>
        <v>-3875</v>
      </c>
      <c r="M192" s="491">
        <f t="shared" si="1015"/>
        <v>-2725</v>
      </c>
      <c r="N192" s="492">
        <f t="shared" si="1015"/>
        <v>-3318</v>
      </c>
      <c r="O192" s="491">
        <f t="shared" si="1015"/>
        <v>-5547</v>
      </c>
      <c r="P192" s="491">
        <f t="shared" si="1015"/>
        <v>-3274</v>
      </c>
      <c r="Q192" s="491">
        <f t="shared" si="1015"/>
        <v>-4350</v>
      </c>
      <c r="R192" s="492">
        <f t="shared" si="1015"/>
        <v>-4761</v>
      </c>
      <c r="S192" s="491">
        <f t="shared" ref="S192:W192" si="1016">SUM(S193,S194,S195,S196,S197)</f>
        <v>-6307</v>
      </c>
      <c r="T192" s="491">
        <f t="shared" ref="T192:V192" si="1017">SUM(T193,T194,T195,T196,T197)</f>
        <v>-18607</v>
      </c>
      <c r="U192" s="491">
        <f t="shared" si="1017"/>
        <v>-1697</v>
      </c>
      <c r="V192" s="491">
        <f t="shared" si="1017"/>
        <v>-11068</v>
      </c>
      <c r="W192" s="493">
        <f t="shared" si="1016"/>
        <v>-29675</v>
      </c>
      <c r="X192" s="494">
        <f>SUM(X193,X194,X195,X196,X197)</f>
        <v>-31372</v>
      </c>
      <c r="Y192" s="495">
        <f>SUM(Y193,Y194,Y195,Y196,Y197)</f>
        <v>-10043</v>
      </c>
      <c r="Z192" s="493">
        <f t="shared" ref="Z192:AC192" si="1018">SUM(Z193,Z194,Z195,Z196,Z197)</f>
        <v>-7651</v>
      </c>
      <c r="AA192" s="491">
        <f t="shared" si="1018"/>
        <v>-12512</v>
      </c>
      <c r="AB192" s="491">
        <f t="shared" si="1018"/>
        <v>-11238</v>
      </c>
      <c r="AC192" s="493">
        <f t="shared" si="1018"/>
        <v>-17694</v>
      </c>
      <c r="AD192" s="493">
        <f t="shared" ref="AD192:AE192" si="1019">SUM(AD193,AD194,AD195,AD196,AD197)</f>
        <v>-30206</v>
      </c>
      <c r="AE192" s="494">
        <f t="shared" si="1019"/>
        <v>-41444</v>
      </c>
      <c r="AF192" s="493">
        <f t="shared" ref="AF192:AJ192" si="1020">SUM(AF193,AF194,AF195,AF196,AF197)</f>
        <v>-10312</v>
      </c>
      <c r="AG192" s="493">
        <f t="shared" si="584"/>
        <v>-10756</v>
      </c>
      <c r="AH192" s="493">
        <f t="shared" si="974"/>
        <v>-10610</v>
      </c>
      <c r="AI192" s="493">
        <f t="shared" si="975"/>
        <v>-11151</v>
      </c>
      <c r="AJ192" s="493">
        <f t="shared" si="1020"/>
        <v>-21068</v>
      </c>
      <c r="AK192" s="493">
        <f t="shared" ref="AK192" si="1021">SUM(AK193,AK194,AK195,AK196,AK197)</f>
        <v>-31678</v>
      </c>
      <c r="AL192" s="494">
        <f t="shared" ref="AL192:AQ192" si="1022">SUM(AL193,AL194,AL195,AL196,AL197)</f>
        <v>-42829</v>
      </c>
      <c r="AM192" s="493">
        <f t="shared" si="1022"/>
        <v>-10767</v>
      </c>
      <c r="AN192" s="493">
        <f t="shared" si="976"/>
        <v>-9920</v>
      </c>
      <c r="AO192" s="493">
        <f t="shared" si="977"/>
        <v>-8570</v>
      </c>
      <c r="AP192" s="493">
        <f t="shared" si="977"/>
        <v>-8229</v>
      </c>
      <c r="AQ192" s="493">
        <f t="shared" si="1022"/>
        <v>-20687</v>
      </c>
      <c r="AR192" s="493">
        <f t="shared" ref="AR192:AS192" si="1023">SUM(AR193,AR194,AR195,AR196,AR197)</f>
        <v>-29257</v>
      </c>
      <c r="AS192" s="494">
        <f t="shared" si="1023"/>
        <v>-37486</v>
      </c>
      <c r="AT192" s="493">
        <f t="shared" ref="AT192" si="1024">SUM(AT193,AT194,AT195,AT196,AT197)</f>
        <v>-9359.765800000001</v>
      </c>
      <c r="AU192" s="493">
        <f>SUM(AU193,AU194,AU195,AU196,AU197,AU198)</f>
        <v>-10813.415199999999</v>
      </c>
      <c r="AV192" s="493">
        <f t="shared" ref="AV192:AZ192" si="1025">SUM(AV193,AV194,AV195,AV196,AV197)</f>
        <v>-9560.4655999999995</v>
      </c>
      <c r="AW192" s="493">
        <f t="shared" si="978"/>
        <v>-10461.434399999998</v>
      </c>
      <c r="AX192" s="493">
        <f>SUM(AX193,AX194,AX195,AX196,AX197,AX198)</f>
        <v>-20173.181</v>
      </c>
      <c r="AY192" s="493">
        <f t="shared" si="1025"/>
        <v>-29733.6466</v>
      </c>
      <c r="AZ192" s="493">
        <f t="shared" si="1025"/>
        <v>-40195.080999999998</v>
      </c>
      <c r="BA192" s="493">
        <f t="shared" ref="BA192:BB192" si="1026">SUM(BA193,BA194,BA195,BA196,BA197)</f>
        <v>-9821</v>
      </c>
      <c r="BB192" s="493">
        <f t="shared" si="1026"/>
        <v>-9892</v>
      </c>
      <c r="BC192" s="493">
        <f t="shared" ref="BC192:BE192" si="1027">SUM(BC193,BC194,BC195,BC196,BC197)</f>
        <v>-9791</v>
      </c>
      <c r="BD192" s="493">
        <f t="shared" ref="BD192" si="1028">SUM(BD193,BD194,BD195,BD196,BD197)</f>
        <v>-9019</v>
      </c>
      <c r="BE192" s="493">
        <f t="shared" si="1027"/>
        <v>-19713</v>
      </c>
      <c r="BF192" s="493">
        <f t="shared" ref="BF192:BG192" si="1029">SUM(BF193,BF194,BF195,BF196,BF197)</f>
        <v>-29504</v>
      </c>
      <c r="BG192" s="493">
        <f t="shared" si="1029"/>
        <v>-38523</v>
      </c>
      <c r="BH192" s="493">
        <f t="shared" ref="BH192:BL192" si="1030">SUM(BH193,BH194,BH195,BH196,BH197)</f>
        <v>-9101</v>
      </c>
      <c r="BI192" s="493">
        <f t="shared" si="1030"/>
        <v>-9536</v>
      </c>
      <c r="BJ192" s="493">
        <f t="shared" si="1030"/>
        <v>-6705</v>
      </c>
      <c r="BK192" s="493">
        <f t="shared" si="1030"/>
        <v>-9056</v>
      </c>
      <c r="BL192" s="493">
        <f t="shared" si="1030"/>
        <v>-18637</v>
      </c>
      <c r="BM192" s="493">
        <f t="shared" ref="BM192:BN192" si="1031">SUM(BM193,BM194,BM195,BM196,BM197)</f>
        <v>-25342</v>
      </c>
      <c r="BN192" s="493">
        <f t="shared" si="1031"/>
        <v>-34398</v>
      </c>
      <c r="BO192" s="493">
        <f t="shared" ref="BO192:BS192" si="1032">SUM(BO193,BO194,BO195,BO196,BO197)</f>
        <v>-10563</v>
      </c>
      <c r="BP192" s="493">
        <f t="shared" si="1032"/>
        <v>-10621</v>
      </c>
      <c r="BQ192" s="493">
        <f t="shared" si="1032"/>
        <v>-12603</v>
      </c>
      <c r="BR192" s="493">
        <f t="shared" si="1032"/>
        <v>-12393</v>
      </c>
      <c r="BS192" s="493">
        <f t="shared" si="1032"/>
        <v>-21184</v>
      </c>
      <c r="BT192" s="493">
        <f t="shared" ref="BT192:BU192" si="1033">SUM(BT193,BT194,BT195,BT196,BT197)</f>
        <v>-33787</v>
      </c>
      <c r="BU192" s="493">
        <f t="shared" si="1033"/>
        <v>-46180</v>
      </c>
      <c r="BV192" s="493">
        <f t="shared" ref="BV192:BY192" si="1034">SUM(BV193,BV194,BV195,BV196,BV197)</f>
        <v>-12308</v>
      </c>
      <c r="BW192" s="493">
        <f t="shared" si="1034"/>
        <v>-12815</v>
      </c>
      <c r="BX192" s="493">
        <f t="shared" si="1034"/>
        <v>-13253</v>
      </c>
      <c r="BY192" s="493">
        <f t="shared" si="1034"/>
        <v>-12759</v>
      </c>
      <c r="BZ192" s="493">
        <f t="shared" ref="BZ192:CA192" si="1035">SUM(BZ193,BZ194,BZ195,BZ196,BZ197)</f>
        <v>-25123</v>
      </c>
      <c r="CA192" s="493">
        <f t="shared" si="1035"/>
        <v>-38376</v>
      </c>
      <c r="CB192" s="493">
        <f t="shared" ref="CB192:CC192" si="1036">SUM(CB193,CB194,CB195,CB196,CB197)</f>
        <v>-51135</v>
      </c>
      <c r="CC192" s="493">
        <f t="shared" si="1036"/>
        <v>-10687</v>
      </c>
      <c r="CD192" s="493">
        <f t="shared" ref="CD192" si="1037">SUM(CD193,CD194,CD195,CD196,CD197)</f>
        <v>-11492</v>
      </c>
      <c r="CE192" s="493">
        <f>SUM(CE193,CE194,CE195,CE196,CE197)</f>
        <v>-11490</v>
      </c>
      <c r="CF192" s="493">
        <f t="shared" ref="CF192:CG192" si="1038">SUM(CF193,CF194,CF195,CF196,CF197)</f>
        <v>-10990</v>
      </c>
      <c r="CG192" s="493">
        <f t="shared" si="1038"/>
        <v>-22179</v>
      </c>
      <c r="CH192" s="493">
        <f t="shared" ref="CH192:CI192" si="1039">SUM(CH193,CH194,CH195,CH196,CH197)</f>
        <v>-33669</v>
      </c>
      <c r="CI192" s="493">
        <f t="shared" si="1039"/>
        <v>-44659</v>
      </c>
      <c r="CJ192" s="493">
        <v>-11741</v>
      </c>
      <c r="CK192" s="493">
        <f t="shared" ref="CK192" si="1040">SUM(CK193,CK194,CK195,CK196,CK197)</f>
        <v>-12080</v>
      </c>
      <c r="CL192" s="493">
        <f t="shared" ref="CL192:CO192" si="1041">SUM(CL193,CL194,CL195,CL196,CL197)</f>
        <v>0</v>
      </c>
      <c r="CM192" s="493">
        <f t="shared" si="1041"/>
        <v>0</v>
      </c>
      <c r="CN192" s="493">
        <f t="shared" si="1041"/>
        <v>-23821</v>
      </c>
      <c r="CO192" s="493">
        <f t="shared" si="1041"/>
        <v>0</v>
      </c>
    </row>
    <row r="193" spans="1:93" s="289" customFormat="1" x14ac:dyDescent="0.25">
      <c r="A193" s="455" t="str">
        <f>Language!C149</f>
        <v>Concepa</v>
      </c>
      <c r="B193" s="280">
        <v>-1094</v>
      </c>
      <c r="C193" s="280">
        <v>-618</v>
      </c>
      <c r="D193" s="280">
        <v>-948</v>
      </c>
      <c r="E193" s="280">
        <v>-1050</v>
      </c>
      <c r="F193" s="279">
        <v>-1052</v>
      </c>
      <c r="G193" s="280">
        <v>-1131</v>
      </c>
      <c r="H193" s="280">
        <v>-1213</v>
      </c>
      <c r="I193" s="280">
        <v>-1411</v>
      </c>
      <c r="J193" s="279">
        <v>-1082</v>
      </c>
      <c r="K193" s="280">
        <v>-1097</v>
      </c>
      <c r="L193" s="280">
        <v>-1125</v>
      </c>
      <c r="M193" s="280">
        <v>-1474</v>
      </c>
      <c r="N193" s="279">
        <v>-1261</v>
      </c>
      <c r="O193" s="280">
        <v>-1336</v>
      </c>
      <c r="P193" s="280">
        <v>-1304</v>
      </c>
      <c r="Q193" s="280">
        <v>-1524</v>
      </c>
      <c r="R193" s="279">
        <v>-1087</v>
      </c>
      <c r="S193" s="280">
        <v>-1339</v>
      </c>
      <c r="T193" s="280">
        <f t="shared" ref="T193:T197" si="1042">W193-S193-R193</f>
        <v>-1652</v>
      </c>
      <c r="U193" s="280">
        <f>X193-W193</f>
        <v>-1670</v>
      </c>
      <c r="V193" s="280">
        <f t="shared" ref="V193:V197" si="1043">R193+S193</f>
        <v>-2426</v>
      </c>
      <c r="W193" s="281">
        <v>-4078</v>
      </c>
      <c r="X193" s="282">
        <v>-5748</v>
      </c>
      <c r="Y193" s="283">
        <v>-1660</v>
      </c>
      <c r="Z193" s="281">
        <f t="shared" ref="Z193:Z197" si="1044">AC193-Y193</f>
        <v>-1501</v>
      </c>
      <c r="AA193" s="280">
        <f t="shared" ref="AA193:AA197" si="1045">AD193-Z193-Y193</f>
        <v>-1437</v>
      </c>
      <c r="AB193" s="280">
        <f>AE193-AD193</f>
        <v>-1957</v>
      </c>
      <c r="AC193" s="281">
        <v>-3161</v>
      </c>
      <c r="AD193" s="281">
        <v>-4598</v>
      </c>
      <c r="AE193" s="282">
        <v>-6555</v>
      </c>
      <c r="AF193" s="281">
        <v>-1560</v>
      </c>
      <c r="AG193" s="281">
        <f t="shared" si="584"/>
        <v>-2107</v>
      </c>
      <c r="AH193" s="281">
        <f t="shared" si="974"/>
        <v>-1414</v>
      </c>
      <c r="AI193" s="281">
        <f t="shared" si="975"/>
        <v>-1599</v>
      </c>
      <c r="AJ193" s="281">
        <v>-3667</v>
      </c>
      <c r="AK193" s="281">
        <v>-5081</v>
      </c>
      <c r="AL193" s="282">
        <v>-6680</v>
      </c>
      <c r="AM193" s="281">
        <v>-1843</v>
      </c>
      <c r="AN193" s="281">
        <f t="shared" si="976"/>
        <v>-1557</v>
      </c>
      <c r="AO193" s="281">
        <f t="shared" si="977"/>
        <v>-175</v>
      </c>
      <c r="AP193" s="281">
        <f t="shared" si="977"/>
        <v>0</v>
      </c>
      <c r="AQ193" s="281">
        <v>-3400</v>
      </c>
      <c r="AR193" s="281">
        <v>-3575</v>
      </c>
      <c r="AS193" s="282">
        <v>-3575</v>
      </c>
      <c r="AT193" s="281"/>
      <c r="AU193" s="281"/>
      <c r="AV193" s="281"/>
      <c r="AW193" s="281">
        <f t="shared" si="978"/>
        <v>0</v>
      </c>
      <c r="AX193" s="281"/>
      <c r="AY193" s="281"/>
      <c r="AZ193" s="732">
        <v>0</v>
      </c>
      <c r="BA193" s="732">
        <v>0</v>
      </c>
      <c r="BB193" s="732">
        <f>BE193-BA193</f>
        <v>0</v>
      </c>
      <c r="BC193" s="732"/>
      <c r="BD193" s="732"/>
      <c r="BE193" s="732">
        <v>0</v>
      </c>
      <c r="BF193" s="732">
        <v>0</v>
      </c>
      <c r="BG193" s="737">
        <v>0</v>
      </c>
      <c r="BH193" s="737"/>
      <c r="BI193" s="737"/>
      <c r="BJ193" s="737"/>
      <c r="BK193" s="737"/>
      <c r="BL193" s="737"/>
      <c r="BM193" s="737"/>
      <c r="BN193" s="737"/>
      <c r="BO193" s="737"/>
      <c r="BP193" s="737"/>
      <c r="BQ193" s="737"/>
      <c r="BR193" s="737"/>
      <c r="BS193" s="737"/>
      <c r="BT193" s="737"/>
      <c r="BU193" s="737"/>
      <c r="BV193" s="737"/>
      <c r="BW193" s="737"/>
      <c r="BX193" s="737"/>
      <c r="BY193" s="737"/>
      <c r="BZ193" s="737"/>
      <c r="CA193" s="737"/>
      <c r="CB193" s="737"/>
      <c r="CC193" s="737"/>
      <c r="CD193" s="737"/>
      <c r="CE193" s="737"/>
      <c r="CF193" s="737"/>
      <c r="CG193" s="737"/>
      <c r="CH193" s="737"/>
      <c r="CI193" s="737"/>
      <c r="CJ193" s="737"/>
      <c r="CK193" s="737"/>
      <c r="CL193" s="737"/>
      <c r="CM193" s="737"/>
      <c r="CN193" s="737"/>
      <c r="CO193" s="737"/>
    </row>
    <row r="194" spans="1:93" s="289" customFormat="1" x14ac:dyDescent="0.25">
      <c r="A194" s="455" t="str">
        <f>Language!C150</f>
        <v>Concer</v>
      </c>
      <c r="B194" s="280">
        <v>-893</v>
      </c>
      <c r="C194" s="280">
        <v>-895</v>
      </c>
      <c r="D194" s="280">
        <v>-900</v>
      </c>
      <c r="E194" s="280">
        <v>-908</v>
      </c>
      <c r="F194" s="279">
        <v>-1004</v>
      </c>
      <c r="G194" s="280">
        <v>-997</v>
      </c>
      <c r="H194" s="280">
        <v>-1010</v>
      </c>
      <c r="I194" s="280">
        <v>-1028</v>
      </c>
      <c r="J194" s="279">
        <v>-1534</v>
      </c>
      <c r="K194" s="280">
        <v>-1615</v>
      </c>
      <c r="L194" s="280">
        <v>-1600</v>
      </c>
      <c r="M194" s="280">
        <v>-1614</v>
      </c>
      <c r="N194" s="279">
        <v>-827</v>
      </c>
      <c r="O194" s="280">
        <v>-2978</v>
      </c>
      <c r="P194" s="280">
        <v>-737</v>
      </c>
      <c r="Q194" s="280">
        <v>-1578</v>
      </c>
      <c r="R194" s="279">
        <v>-1564</v>
      </c>
      <c r="S194" s="280">
        <v>-1537</v>
      </c>
      <c r="T194" s="280">
        <f t="shared" si="1042"/>
        <v>-1569</v>
      </c>
      <c r="U194" s="280">
        <f>X194-W194</f>
        <v>-1616</v>
      </c>
      <c r="V194" s="280">
        <f t="shared" si="1043"/>
        <v>-3101</v>
      </c>
      <c r="W194" s="281">
        <v>-4670</v>
      </c>
      <c r="X194" s="282">
        <v>-6286</v>
      </c>
      <c r="Y194" s="283">
        <v>-554</v>
      </c>
      <c r="Z194" s="281">
        <f t="shared" si="1044"/>
        <v>-1</v>
      </c>
      <c r="AA194" s="280">
        <f t="shared" si="1045"/>
        <v>-4490</v>
      </c>
      <c r="AB194" s="280">
        <f>AE194-AD194</f>
        <v>-1830</v>
      </c>
      <c r="AC194" s="281">
        <v>-555</v>
      </c>
      <c r="AD194" s="281">
        <v>-5045</v>
      </c>
      <c r="AE194" s="282">
        <v>-6875</v>
      </c>
      <c r="AF194" s="281">
        <v>-1806</v>
      </c>
      <c r="AG194" s="281">
        <f t="shared" si="584"/>
        <v>-1900</v>
      </c>
      <c r="AH194" s="281">
        <f t="shared" si="974"/>
        <v>-1840</v>
      </c>
      <c r="AI194" s="281">
        <f t="shared" si="975"/>
        <v>-1989</v>
      </c>
      <c r="AJ194" s="281">
        <v>-3706</v>
      </c>
      <c r="AK194" s="281">
        <v>-5546</v>
      </c>
      <c r="AL194" s="282">
        <v>-7535</v>
      </c>
      <c r="AM194" s="281">
        <v>-1895</v>
      </c>
      <c r="AN194" s="281">
        <f t="shared" si="976"/>
        <v>-1881</v>
      </c>
      <c r="AO194" s="281">
        <f t="shared" si="977"/>
        <v>-2128</v>
      </c>
      <c r="AP194" s="281">
        <f t="shared" si="977"/>
        <v>-2499</v>
      </c>
      <c r="AQ194" s="281">
        <v>-3776</v>
      </c>
      <c r="AR194" s="281">
        <v>-5904</v>
      </c>
      <c r="AS194" s="282">
        <v>-8403</v>
      </c>
      <c r="AT194" s="281">
        <v>-2020.7657999999999</v>
      </c>
      <c r="AU194" s="281">
        <f t="shared" ref="AU194:AU198" si="1046">AX194-AT194</f>
        <v>-2184.4152000000004</v>
      </c>
      <c r="AV194" s="281">
        <f>AY194-AX194</f>
        <v>-2142.4655999999995</v>
      </c>
      <c r="AW194" s="281">
        <f t="shared" si="978"/>
        <v>-2652.4344000000001</v>
      </c>
      <c r="AX194" s="281">
        <v>-4205.1810000000005</v>
      </c>
      <c r="AY194" s="281">
        <v>-6347.6466</v>
      </c>
      <c r="AZ194" s="281">
        <v>-9000.0810000000001</v>
      </c>
      <c r="BA194" s="281">
        <v>-2312</v>
      </c>
      <c r="BB194" s="281">
        <f t="shared" ref="BB194:BB197" si="1047">BE194-BA194</f>
        <v>-2273</v>
      </c>
      <c r="BC194" s="281">
        <f>BF194-BE194</f>
        <v>-2285</v>
      </c>
      <c r="BD194" s="281">
        <f>BG194-BF194</f>
        <v>-1811</v>
      </c>
      <c r="BE194" s="281">
        <v>-4585</v>
      </c>
      <c r="BF194" s="281">
        <v>-6870</v>
      </c>
      <c r="BG194" s="281">
        <v>-8681</v>
      </c>
      <c r="BH194" s="281">
        <v>-1698</v>
      </c>
      <c r="BI194" s="281">
        <f>BL194-BH194</f>
        <v>-2370</v>
      </c>
      <c r="BJ194" s="281">
        <f>BM194-BL194</f>
        <v>-2429</v>
      </c>
      <c r="BK194" s="281">
        <f>BN194-BM194</f>
        <v>-2374</v>
      </c>
      <c r="BL194" s="281">
        <v>-4068</v>
      </c>
      <c r="BM194" s="281">
        <v>-6497</v>
      </c>
      <c r="BN194" s="281">
        <v>-8871</v>
      </c>
      <c r="BO194" s="281">
        <v>-2546</v>
      </c>
      <c r="BP194" s="281">
        <f>BS194-BO194</f>
        <v>-2642</v>
      </c>
      <c r="BQ194" s="281">
        <f>BT194-BS194</f>
        <v>-2725</v>
      </c>
      <c r="BR194" s="281">
        <f>BU194-BT194</f>
        <v>-2804</v>
      </c>
      <c r="BS194" s="281">
        <v>-5188</v>
      </c>
      <c r="BT194" s="281">
        <v>-7913</v>
      </c>
      <c r="BU194" s="281">
        <v>-10717</v>
      </c>
      <c r="BV194" s="281">
        <v>-2861</v>
      </c>
      <c r="BW194" s="281">
        <f>BZ194-BV194</f>
        <v>-3018</v>
      </c>
      <c r="BX194" s="281">
        <f>CA194-BZ194</f>
        <v>-3032</v>
      </c>
      <c r="BY194" s="281">
        <f>CB194-CA194</f>
        <v>-3058</v>
      </c>
      <c r="BZ194" s="281">
        <v>-5879</v>
      </c>
      <c r="CA194" s="281">
        <v>-8911</v>
      </c>
      <c r="CB194" s="281">
        <v>-11969</v>
      </c>
      <c r="CC194" s="281">
        <v>-3195</v>
      </c>
      <c r="CD194" s="281">
        <f>CG194-CC194</f>
        <v>-3469</v>
      </c>
      <c r="CE194" s="281">
        <f>CH194-CG194</f>
        <v>-3502</v>
      </c>
      <c r="CF194" s="281">
        <f>CI194-CH194</f>
        <v>-3598</v>
      </c>
      <c r="CG194" s="281">
        <v>-6664</v>
      </c>
      <c r="CH194" s="281">
        <v>-10166</v>
      </c>
      <c r="CI194" s="281">
        <v>-13764</v>
      </c>
      <c r="CJ194" s="281">
        <v>-3550</v>
      </c>
      <c r="CK194" s="281">
        <f>CN194-CJ194</f>
        <v>-3679</v>
      </c>
      <c r="CL194" s="281"/>
      <c r="CM194" s="281"/>
      <c r="CN194" s="281">
        <v>-7229</v>
      </c>
      <c r="CO194" s="281"/>
    </row>
    <row r="195" spans="1:93" s="289" customFormat="1" x14ac:dyDescent="0.25">
      <c r="A195" s="455" t="str">
        <f>Language!C151</f>
        <v>Econorte</v>
      </c>
      <c r="B195" s="280">
        <v>-1039</v>
      </c>
      <c r="C195" s="280">
        <v>-1088</v>
      </c>
      <c r="D195" s="280">
        <v>-1089</v>
      </c>
      <c r="E195" s="280">
        <v>-1102</v>
      </c>
      <c r="F195" s="279">
        <v>-1114</v>
      </c>
      <c r="G195" s="280">
        <v>-1118</v>
      </c>
      <c r="H195" s="280">
        <v>-1120</v>
      </c>
      <c r="I195" s="280">
        <v>-1133</v>
      </c>
      <c r="J195" s="279">
        <v>-865</v>
      </c>
      <c r="K195" s="280">
        <v>-1421</v>
      </c>
      <c r="L195" s="280">
        <v>-1150</v>
      </c>
      <c r="M195" s="280">
        <v>363</v>
      </c>
      <c r="N195" s="279">
        <v>-1230</v>
      </c>
      <c r="O195" s="280">
        <v>-1233</v>
      </c>
      <c r="P195" s="280">
        <v>-1233</v>
      </c>
      <c r="Q195" s="280">
        <v>-1248</v>
      </c>
      <c r="R195" s="279">
        <v>-1270</v>
      </c>
      <c r="S195" s="280">
        <v>-1274</v>
      </c>
      <c r="T195" s="280">
        <f t="shared" si="1042"/>
        <v>-1274</v>
      </c>
      <c r="U195" s="280">
        <f>X195-W195</f>
        <v>-1299</v>
      </c>
      <c r="V195" s="280">
        <f t="shared" si="1043"/>
        <v>-2544</v>
      </c>
      <c r="W195" s="281">
        <v>-3818</v>
      </c>
      <c r="X195" s="282">
        <v>-5117</v>
      </c>
      <c r="Y195" s="283">
        <v>-1337</v>
      </c>
      <c r="Z195" s="281">
        <f t="shared" si="1044"/>
        <v>-1338</v>
      </c>
      <c r="AA195" s="280">
        <f t="shared" si="1045"/>
        <v>-1338</v>
      </c>
      <c r="AB195" s="280">
        <f>AE195-AD195</f>
        <v>-1354</v>
      </c>
      <c r="AC195" s="281">
        <v>-2675</v>
      </c>
      <c r="AD195" s="281">
        <v>-4013</v>
      </c>
      <c r="AE195" s="282">
        <v>-5367</v>
      </c>
      <c r="AF195" s="281">
        <v>-1382</v>
      </c>
      <c r="AG195" s="281">
        <f t="shared" si="584"/>
        <v>-1383</v>
      </c>
      <c r="AH195" s="281">
        <f t="shared" si="974"/>
        <v>-1383</v>
      </c>
      <c r="AI195" s="281">
        <f t="shared" si="975"/>
        <v>-1393</v>
      </c>
      <c r="AJ195" s="281">
        <v>-2765</v>
      </c>
      <c r="AK195" s="281">
        <v>-4148</v>
      </c>
      <c r="AL195" s="282">
        <v>-5541</v>
      </c>
      <c r="AM195" s="281">
        <v>-741</v>
      </c>
      <c r="AN195" s="281">
        <f t="shared" si="976"/>
        <v>-522</v>
      </c>
      <c r="AO195" s="281">
        <f t="shared" si="977"/>
        <v>-678</v>
      </c>
      <c r="AP195" s="281">
        <f t="shared" si="977"/>
        <v>-678</v>
      </c>
      <c r="AQ195" s="281">
        <v>-1263</v>
      </c>
      <c r="AR195" s="281">
        <v>-1941</v>
      </c>
      <c r="AS195" s="282">
        <v>-2619</v>
      </c>
      <c r="AT195" s="281">
        <v>-1504</v>
      </c>
      <c r="AU195" s="281">
        <f t="shared" si="1046"/>
        <v>-1801</v>
      </c>
      <c r="AV195" s="281">
        <f t="shared" ref="AV195:AV197" si="1048">AY195-AX195</f>
        <v>-1871</v>
      </c>
      <c r="AW195" s="281">
        <f t="shared" si="978"/>
        <v>-1915</v>
      </c>
      <c r="AX195" s="281">
        <v>-3305</v>
      </c>
      <c r="AY195" s="281">
        <v>-5176</v>
      </c>
      <c r="AZ195" s="281">
        <v>-7091</v>
      </c>
      <c r="BA195" s="281">
        <v>-1985</v>
      </c>
      <c r="BB195" s="281">
        <f t="shared" si="1047"/>
        <v>-1975</v>
      </c>
      <c r="BC195" s="281">
        <f t="shared" ref="BC195:BC197" si="1049">BF195-BE195</f>
        <v>-1975</v>
      </c>
      <c r="BD195" s="281">
        <f t="shared" ref="BD195:BD197" si="1050">BG195-BF195</f>
        <v>-1990</v>
      </c>
      <c r="BE195" s="281">
        <v>-3960</v>
      </c>
      <c r="BF195" s="281">
        <v>-5935</v>
      </c>
      <c r="BG195" s="281">
        <v>-7925</v>
      </c>
      <c r="BH195" s="281">
        <v>-2246</v>
      </c>
      <c r="BI195" s="281">
        <f t="shared" ref="BI195:BI197" si="1051">BL195-BH195</f>
        <v>-2295</v>
      </c>
      <c r="BJ195" s="281">
        <f t="shared" ref="BJ195:BJ197" si="1052">BM195-BL195</f>
        <v>-2294</v>
      </c>
      <c r="BK195" s="281">
        <f t="shared" ref="BK195:BK197" si="1053">BN195-BM195</f>
        <v>-1513</v>
      </c>
      <c r="BL195" s="281">
        <v>-4541</v>
      </c>
      <c r="BM195" s="281">
        <v>-6835</v>
      </c>
      <c r="BN195" s="281">
        <v>-8348</v>
      </c>
      <c r="BO195" s="281">
        <v>-1056</v>
      </c>
      <c r="BP195" s="281">
        <f t="shared" ref="BP195:BP197" si="1054">BS195-BO195</f>
        <v>951</v>
      </c>
      <c r="BQ195" s="281">
        <f t="shared" ref="BQ195:BQ197" si="1055">BT195-BS195</f>
        <v>-220</v>
      </c>
      <c r="BR195" s="281">
        <f t="shared" ref="BR195:BR197" si="1056">BU195-BT195</f>
        <v>-180</v>
      </c>
      <c r="BS195" s="281">
        <v>-105</v>
      </c>
      <c r="BT195" s="281">
        <v>-325</v>
      </c>
      <c r="BU195" s="281">
        <v>-505</v>
      </c>
      <c r="BV195" s="281">
        <v>0</v>
      </c>
      <c r="BW195" s="281">
        <f t="shared" ref="BW195:BW197" si="1057">BZ195-BV195</f>
        <v>0</v>
      </c>
      <c r="BX195" s="281">
        <f t="shared" ref="BX195:BX197" si="1058">CA195-BZ195</f>
        <v>0</v>
      </c>
      <c r="BY195" s="281">
        <f t="shared" ref="BY195:BY197" si="1059">CB195-CA195</f>
        <v>0</v>
      </c>
      <c r="BZ195" s="281">
        <v>0</v>
      </c>
      <c r="CA195" s="281">
        <v>0</v>
      </c>
      <c r="CB195" s="281">
        <v>0</v>
      </c>
      <c r="CC195" s="281">
        <v>0</v>
      </c>
      <c r="CD195" s="281">
        <f t="shared" ref="CD195:CD197" si="1060">CG195-CC195</f>
        <v>0</v>
      </c>
      <c r="CE195" s="281">
        <f t="shared" ref="CE195:CE197" si="1061">CH195-CG195</f>
        <v>0</v>
      </c>
      <c r="CF195" s="281">
        <f t="shared" ref="CF195:CF197" si="1062">CI195-CH195</f>
        <v>0</v>
      </c>
      <c r="CG195" s="281">
        <v>0</v>
      </c>
      <c r="CH195" s="281">
        <v>0</v>
      </c>
      <c r="CI195" s="281">
        <v>0</v>
      </c>
      <c r="CJ195" s="281">
        <v>0</v>
      </c>
      <c r="CK195" s="281">
        <f t="shared" ref="CK195:CK197" si="1063">CN195-CJ195</f>
        <v>0</v>
      </c>
      <c r="CL195" s="281"/>
      <c r="CM195" s="281"/>
      <c r="CN195" s="281">
        <v>0</v>
      </c>
      <c r="CO195" s="281"/>
    </row>
    <row r="196" spans="1:93" x14ac:dyDescent="0.25">
      <c r="A196" s="455" t="str">
        <f>Language!C152</f>
        <v>Concebra</v>
      </c>
      <c r="B196" s="280">
        <v>0</v>
      </c>
      <c r="C196" s="280">
        <v>0</v>
      </c>
      <c r="D196" s="280">
        <v>0</v>
      </c>
      <c r="E196" s="280">
        <v>0</v>
      </c>
      <c r="F196" s="279">
        <v>0</v>
      </c>
      <c r="G196" s="280">
        <v>0</v>
      </c>
      <c r="H196" s="280">
        <v>0</v>
      </c>
      <c r="I196" s="280">
        <v>0</v>
      </c>
      <c r="J196" s="279">
        <v>0</v>
      </c>
      <c r="K196" s="280">
        <v>0</v>
      </c>
      <c r="L196" s="280">
        <v>0</v>
      </c>
      <c r="M196" s="280">
        <v>0</v>
      </c>
      <c r="N196" s="279">
        <v>0</v>
      </c>
      <c r="O196" s="280">
        <v>0</v>
      </c>
      <c r="P196" s="280">
        <v>0</v>
      </c>
      <c r="Q196" s="280">
        <v>0</v>
      </c>
      <c r="R196" s="279">
        <v>0</v>
      </c>
      <c r="S196" s="280">
        <v>-164</v>
      </c>
      <c r="T196" s="280">
        <f t="shared" si="1042"/>
        <v>-12732</v>
      </c>
      <c r="U196" s="280">
        <f>X196-W196</f>
        <v>1848</v>
      </c>
      <c r="V196" s="280">
        <f t="shared" si="1043"/>
        <v>-164</v>
      </c>
      <c r="W196" s="281">
        <v>-12896</v>
      </c>
      <c r="X196" s="282">
        <v>-11048</v>
      </c>
      <c r="Y196" s="283">
        <v>-5384</v>
      </c>
      <c r="Z196" s="281">
        <f t="shared" si="1044"/>
        <v>-4056</v>
      </c>
      <c r="AA196" s="280">
        <f t="shared" si="1045"/>
        <v>-4316</v>
      </c>
      <c r="AB196" s="280">
        <f>AE196-AD196</f>
        <v>-4250</v>
      </c>
      <c r="AC196" s="281">
        <v>-9440</v>
      </c>
      <c r="AD196" s="281">
        <v>-13756</v>
      </c>
      <c r="AE196" s="282">
        <v>-18006</v>
      </c>
      <c r="AF196" s="281">
        <v>-4566</v>
      </c>
      <c r="AG196" s="281">
        <f t="shared" si="584"/>
        <v>-3917</v>
      </c>
      <c r="AH196" s="281">
        <f t="shared" si="974"/>
        <v>-4653</v>
      </c>
      <c r="AI196" s="281">
        <f t="shared" si="975"/>
        <v>-4732</v>
      </c>
      <c r="AJ196" s="281">
        <v>-8483</v>
      </c>
      <c r="AK196" s="281">
        <v>-13136</v>
      </c>
      <c r="AL196" s="282">
        <v>-17868</v>
      </c>
      <c r="AM196" s="281">
        <v>-4809</v>
      </c>
      <c r="AN196" s="281">
        <f t="shared" si="976"/>
        <v>-4470</v>
      </c>
      <c r="AO196" s="281">
        <f t="shared" si="977"/>
        <v>-3975</v>
      </c>
      <c r="AP196" s="281">
        <f t="shared" si="977"/>
        <v>-3505</v>
      </c>
      <c r="AQ196" s="281">
        <v>-9279</v>
      </c>
      <c r="AR196" s="281">
        <v>-13254</v>
      </c>
      <c r="AS196" s="282">
        <v>-16759</v>
      </c>
      <c r="AT196" s="281">
        <v>-4298</v>
      </c>
      <c r="AU196" s="281">
        <f t="shared" si="1046"/>
        <v>-5315</v>
      </c>
      <c r="AV196" s="281">
        <f t="shared" si="1048"/>
        <v>-3851</v>
      </c>
      <c r="AW196" s="281">
        <f t="shared" si="978"/>
        <v>-4074</v>
      </c>
      <c r="AX196" s="281">
        <v>-9613</v>
      </c>
      <c r="AY196" s="281">
        <v>-13464</v>
      </c>
      <c r="AZ196" s="281">
        <v>-17538</v>
      </c>
      <c r="BA196" s="281">
        <v>-3971</v>
      </c>
      <c r="BB196" s="281">
        <f t="shared" si="1047"/>
        <v>-4034</v>
      </c>
      <c r="BC196" s="281">
        <f t="shared" si="1049"/>
        <v>-3958</v>
      </c>
      <c r="BD196" s="281">
        <f t="shared" si="1050"/>
        <v>-3917</v>
      </c>
      <c r="BE196" s="281">
        <v>-8005</v>
      </c>
      <c r="BF196" s="281">
        <v>-11963</v>
      </c>
      <c r="BG196" s="281">
        <v>-15880</v>
      </c>
      <c r="BH196" s="281">
        <v>-3961</v>
      </c>
      <c r="BI196" s="281">
        <f t="shared" si="1051"/>
        <v>-4035</v>
      </c>
      <c r="BJ196" s="281">
        <f t="shared" si="1052"/>
        <v>1636</v>
      </c>
      <c r="BK196" s="281">
        <f t="shared" si="1053"/>
        <v>-4028</v>
      </c>
      <c r="BL196" s="281">
        <v>-7996</v>
      </c>
      <c r="BM196" s="281">
        <v>-6360</v>
      </c>
      <c r="BN196" s="281">
        <v>-10388</v>
      </c>
      <c r="BO196" s="281">
        <v>-5327</v>
      </c>
      <c r="BP196" s="281">
        <f t="shared" si="1054"/>
        <v>-7112</v>
      </c>
      <c r="BQ196" s="281">
        <f t="shared" si="1055"/>
        <v>-7113</v>
      </c>
      <c r="BR196" s="281">
        <f t="shared" si="1056"/>
        <v>-7472</v>
      </c>
      <c r="BS196" s="281">
        <v>-12439</v>
      </c>
      <c r="BT196" s="281">
        <v>-19552</v>
      </c>
      <c r="BU196" s="281">
        <v>-27024</v>
      </c>
      <c r="BV196" s="281">
        <v>-7421</v>
      </c>
      <c r="BW196" s="281">
        <f t="shared" si="1057"/>
        <v>-7916</v>
      </c>
      <c r="BX196" s="281">
        <f t="shared" si="1058"/>
        <v>-7932</v>
      </c>
      <c r="BY196" s="281">
        <f t="shared" si="1059"/>
        <v>-6824</v>
      </c>
      <c r="BZ196" s="281">
        <v>-15337</v>
      </c>
      <c r="CA196" s="281">
        <v>-23269</v>
      </c>
      <c r="CB196" s="281">
        <v>-30093</v>
      </c>
      <c r="CC196" s="281">
        <v>-5383</v>
      </c>
      <c r="CD196" s="281">
        <f t="shared" si="1060"/>
        <v>-5507</v>
      </c>
      <c r="CE196" s="281">
        <f t="shared" si="1061"/>
        <v>-5507</v>
      </c>
      <c r="CF196" s="281">
        <f t="shared" si="1062"/>
        <v>-5581</v>
      </c>
      <c r="CG196" s="281">
        <v>-10890</v>
      </c>
      <c r="CH196" s="281">
        <v>-16397</v>
      </c>
      <c r="CI196" s="281">
        <v>-21978</v>
      </c>
      <c r="CJ196" s="281">
        <v>-5738</v>
      </c>
      <c r="CK196" s="281">
        <f t="shared" si="1063"/>
        <v>-5877</v>
      </c>
      <c r="CL196" s="281"/>
      <c r="CM196" s="281"/>
      <c r="CN196" s="281">
        <v>-11615</v>
      </c>
      <c r="CO196" s="281"/>
    </row>
    <row r="197" spans="1:93" s="289" customFormat="1" x14ac:dyDescent="0.25">
      <c r="A197" s="455" t="str">
        <f>Language!C153</f>
        <v>Transbrasiliana</v>
      </c>
      <c r="B197" s="496">
        <v>0</v>
      </c>
      <c r="C197" s="496">
        <v>0</v>
      </c>
      <c r="D197" s="496">
        <v>0</v>
      </c>
      <c r="E197" s="496">
        <v>0</v>
      </c>
      <c r="F197" s="497">
        <v>0</v>
      </c>
      <c r="G197" s="496">
        <v>0</v>
      </c>
      <c r="H197" s="496">
        <v>0</v>
      </c>
      <c r="I197" s="496">
        <v>0</v>
      </c>
      <c r="J197" s="497">
        <v>0</v>
      </c>
      <c r="K197" s="496">
        <v>0</v>
      </c>
      <c r="L197" s="496">
        <v>0</v>
      </c>
      <c r="M197" s="496">
        <v>0</v>
      </c>
      <c r="N197" s="497">
        <v>0</v>
      </c>
      <c r="O197" s="496">
        <v>0</v>
      </c>
      <c r="P197" s="496">
        <v>0</v>
      </c>
      <c r="Q197" s="496">
        <v>0</v>
      </c>
      <c r="R197" s="497">
        <v>-840</v>
      </c>
      <c r="S197" s="496">
        <v>-1993</v>
      </c>
      <c r="T197" s="496">
        <f t="shared" si="1042"/>
        <v>-1380</v>
      </c>
      <c r="U197" s="496">
        <f>X197-W197</f>
        <v>1040</v>
      </c>
      <c r="V197" s="496">
        <f t="shared" si="1043"/>
        <v>-2833</v>
      </c>
      <c r="W197" s="498">
        <v>-4213</v>
      </c>
      <c r="X197" s="499">
        <v>-3173</v>
      </c>
      <c r="Y197" s="500">
        <v>-1108</v>
      </c>
      <c r="Z197" s="498">
        <f t="shared" si="1044"/>
        <v>-755</v>
      </c>
      <c r="AA197" s="496">
        <f t="shared" si="1045"/>
        <v>-931</v>
      </c>
      <c r="AB197" s="496">
        <f>AE197-AD197</f>
        <v>-1847</v>
      </c>
      <c r="AC197" s="498">
        <v>-1863</v>
      </c>
      <c r="AD197" s="498">
        <v>-2794</v>
      </c>
      <c r="AE197" s="499">
        <v>-4641</v>
      </c>
      <c r="AF197" s="498">
        <v>-998</v>
      </c>
      <c r="AG197" s="498">
        <f t="shared" si="584"/>
        <v>-1449</v>
      </c>
      <c r="AH197" s="498">
        <f t="shared" si="974"/>
        <v>-1320</v>
      </c>
      <c r="AI197" s="498">
        <f t="shared" si="975"/>
        <v>-1438</v>
      </c>
      <c r="AJ197" s="498">
        <v>-2447</v>
      </c>
      <c r="AK197" s="498">
        <v>-3767</v>
      </c>
      <c r="AL197" s="499">
        <v>-5205</v>
      </c>
      <c r="AM197" s="498">
        <v>-1479</v>
      </c>
      <c r="AN197" s="498">
        <f t="shared" si="976"/>
        <v>-1490</v>
      </c>
      <c r="AO197" s="498">
        <f t="shared" si="977"/>
        <v>-1614</v>
      </c>
      <c r="AP197" s="498">
        <f t="shared" si="977"/>
        <v>-1547</v>
      </c>
      <c r="AQ197" s="498">
        <v>-2969</v>
      </c>
      <c r="AR197" s="498">
        <v>-4583</v>
      </c>
      <c r="AS197" s="499">
        <v>-6130</v>
      </c>
      <c r="AT197" s="281">
        <v>-1537</v>
      </c>
      <c r="AU197" s="281">
        <f t="shared" si="1046"/>
        <v>-1513</v>
      </c>
      <c r="AV197" s="281">
        <f t="shared" si="1048"/>
        <v>-1696</v>
      </c>
      <c r="AW197" s="281">
        <f t="shared" si="978"/>
        <v>-1820</v>
      </c>
      <c r="AX197" s="281">
        <v>-3050</v>
      </c>
      <c r="AY197" s="281">
        <v>-4746</v>
      </c>
      <c r="AZ197" s="281">
        <v>-6566</v>
      </c>
      <c r="BA197" s="281">
        <v>-1553</v>
      </c>
      <c r="BB197" s="281">
        <f t="shared" si="1047"/>
        <v>-1610</v>
      </c>
      <c r="BC197" s="281">
        <f t="shared" si="1049"/>
        <v>-1573</v>
      </c>
      <c r="BD197" s="281">
        <f t="shared" si="1050"/>
        <v>-1301</v>
      </c>
      <c r="BE197" s="281">
        <v>-3163</v>
      </c>
      <c r="BF197" s="281">
        <v>-4736</v>
      </c>
      <c r="BG197" s="281">
        <v>-6037</v>
      </c>
      <c r="BH197" s="281">
        <v>-1196</v>
      </c>
      <c r="BI197" s="281">
        <f t="shared" si="1051"/>
        <v>-836</v>
      </c>
      <c r="BJ197" s="281">
        <f t="shared" si="1052"/>
        <v>-3618</v>
      </c>
      <c r="BK197" s="281">
        <f t="shared" si="1053"/>
        <v>-1141</v>
      </c>
      <c r="BL197" s="281">
        <v>-2032</v>
      </c>
      <c r="BM197" s="281">
        <v>-5650</v>
      </c>
      <c r="BN197" s="281">
        <v>-6791</v>
      </c>
      <c r="BO197" s="281">
        <v>-1634</v>
      </c>
      <c r="BP197" s="281">
        <f t="shared" si="1054"/>
        <v>-1818</v>
      </c>
      <c r="BQ197" s="281">
        <f t="shared" si="1055"/>
        <v>-2545</v>
      </c>
      <c r="BR197" s="281">
        <f t="shared" si="1056"/>
        <v>-1937</v>
      </c>
      <c r="BS197" s="281">
        <v>-3452</v>
      </c>
      <c r="BT197" s="281">
        <v>-5997</v>
      </c>
      <c r="BU197" s="281">
        <v>-7934</v>
      </c>
      <c r="BV197" s="281">
        <v>-2026</v>
      </c>
      <c r="BW197" s="281">
        <f t="shared" si="1057"/>
        <v>-1881</v>
      </c>
      <c r="BX197" s="281">
        <f t="shared" si="1058"/>
        <v>-2289</v>
      </c>
      <c r="BY197" s="281">
        <f t="shared" si="1059"/>
        <v>-2877</v>
      </c>
      <c r="BZ197" s="281">
        <v>-3907</v>
      </c>
      <c r="CA197" s="281">
        <v>-6196</v>
      </c>
      <c r="CB197" s="281">
        <v>-9073</v>
      </c>
      <c r="CC197" s="281">
        <v>-2109</v>
      </c>
      <c r="CD197" s="281">
        <f t="shared" si="1060"/>
        <v>-2516</v>
      </c>
      <c r="CE197" s="281">
        <f t="shared" si="1061"/>
        <v>-2481</v>
      </c>
      <c r="CF197" s="281">
        <f t="shared" si="1062"/>
        <v>-1811</v>
      </c>
      <c r="CG197" s="281">
        <v>-4625</v>
      </c>
      <c r="CH197" s="281">
        <v>-7106</v>
      </c>
      <c r="CI197" s="281">
        <v>-8917</v>
      </c>
      <c r="CJ197" s="281">
        <v>-2453</v>
      </c>
      <c r="CK197" s="281">
        <f t="shared" si="1063"/>
        <v>-2524</v>
      </c>
      <c r="CL197" s="281"/>
      <c r="CM197" s="281"/>
      <c r="CN197" s="281">
        <v>-4977</v>
      </c>
      <c r="CO197" s="281"/>
    </row>
    <row r="198" spans="1:93" s="289" customFormat="1" x14ac:dyDescent="0.25">
      <c r="A198" s="713" t="s">
        <v>670</v>
      </c>
      <c r="B198" s="280"/>
      <c r="C198" s="280"/>
      <c r="D198" s="280"/>
      <c r="E198" s="280"/>
      <c r="F198" s="279"/>
      <c r="G198" s="280"/>
      <c r="H198" s="280"/>
      <c r="I198" s="280"/>
      <c r="J198" s="279"/>
      <c r="K198" s="280"/>
      <c r="L198" s="280"/>
      <c r="M198" s="280"/>
      <c r="N198" s="279"/>
      <c r="O198" s="280"/>
      <c r="P198" s="280"/>
      <c r="Q198" s="280"/>
      <c r="R198" s="279"/>
      <c r="S198" s="280"/>
      <c r="T198" s="280"/>
      <c r="U198" s="280"/>
      <c r="V198" s="280"/>
      <c r="W198" s="281"/>
      <c r="X198" s="282"/>
      <c r="Y198" s="283"/>
      <c r="Z198" s="281"/>
      <c r="AA198" s="280"/>
      <c r="AB198" s="280"/>
      <c r="AC198" s="281"/>
      <c r="AD198" s="281"/>
      <c r="AE198" s="282"/>
      <c r="AF198" s="281"/>
      <c r="AG198" s="281"/>
      <c r="AH198" s="281"/>
      <c r="AI198" s="281"/>
      <c r="AJ198" s="281"/>
      <c r="AK198" s="281"/>
      <c r="AL198" s="282"/>
      <c r="AM198" s="281"/>
      <c r="AN198" s="281"/>
      <c r="AO198" s="281"/>
      <c r="AP198" s="281"/>
      <c r="AQ198" s="281"/>
      <c r="AR198" s="281"/>
      <c r="AS198" s="282"/>
      <c r="AT198" s="500"/>
      <c r="AU198" s="281">
        <f t="shared" si="1046"/>
        <v>0</v>
      </c>
      <c r="AV198" s="498"/>
      <c r="AW198" s="498"/>
      <c r="AX198" s="498">
        <v>0</v>
      </c>
      <c r="AY198" s="498"/>
      <c r="AZ198" s="498"/>
      <c r="BA198" s="498"/>
      <c r="BB198" s="498"/>
      <c r="BC198" s="498"/>
      <c r="BD198" s="498"/>
      <c r="BE198" s="498"/>
      <c r="BF198" s="498"/>
      <c r="BG198" s="498"/>
      <c r="BH198" s="498"/>
      <c r="BI198" s="498"/>
      <c r="BJ198" s="498"/>
      <c r="BK198" s="498"/>
      <c r="BL198" s="498"/>
      <c r="BM198" s="498"/>
      <c r="BN198" s="498"/>
      <c r="BO198" s="498"/>
      <c r="BP198" s="498"/>
      <c r="BQ198" s="498"/>
      <c r="BR198" s="498"/>
      <c r="BS198" s="498"/>
      <c r="BT198" s="498"/>
      <c r="BU198" s="498"/>
      <c r="BV198" s="498"/>
      <c r="BW198" s="498"/>
      <c r="BX198" s="498"/>
      <c r="BY198" s="498"/>
      <c r="BZ198" s="498"/>
      <c r="CA198" s="498"/>
      <c r="CB198" s="498"/>
      <c r="CC198" s="498"/>
      <c r="CD198" s="498"/>
      <c r="CE198" s="498"/>
      <c r="CF198" s="498"/>
      <c r="CG198" s="498"/>
      <c r="CH198" s="498"/>
      <c r="CI198" s="498"/>
      <c r="CJ198" s="498"/>
      <c r="CK198" s="498"/>
      <c r="CL198" s="498"/>
      <c r="CM198" s="498"/>
      <c r="CN198" s="498"/>
      <c r="CO198" s="498"/>
    </row>
    <row r="199" spans="1:93" s="423" customFormat="1" ht="13" x14ac:dyDescent="0.3">
      <c r="A199" s="501" t="str">
        <f>Language!C154</f>
        <v>Despesas Operacionais</v>
      </c>
      <c r="B199" s="423">
        <f>SUM(B200,B201,B202,B203,B204)</f>
        <v>-9287</v>
      </c>
      <c r="C199" s="423">
        <f t="shared" ref="C199:N199" si="1064">SUM(C200,C201,C202,C203,C204)</f>
        <v>-10693</v>
      </c>
      <c r="D199" s="423">
        <f t="shared" si="1064"/>
        <v>-12716</v>
      </c>
      <c r="E199" s="423">
        <f t="shared" si="1064"/>
        <v>-8254</v>
      </c>
      <c r="F199" s="462">
        <f t="shared" si="1064"/>
        <v>-10467</v>
      </c>
      <c r="G199" s="423">
        <f t="shared" si="1064"/>
        <v>-11990</v>
      </c>
      <c r="H199" s="423">
        <f t="shared" si="1064"/>
        <v>-10666</v>
      </c>
      <c r="I199" s="423">
        <f t="shared" si="1064"/>
        <v>-13713</v>
      </c>
      <c r="J199" s="462">
        <f t="shared" si="1064"/>
        <v>-442</v>
      </c>
      <c r="K199" s="423">
        <f t="shared" si="1064"/>
        <v>-14026</v>
      </c>
      <c r="L199" s="423">
        <f t="shared" si="1064"/>
        <v>-12942</v>
      </c>
      <c r="M199" s="423">
        <f t="shared" si="1064"/>
        <v>-11902</v>
      </c>
      <c r="N199" s="462">
        <f t="shared" si="1064"/>
        <v>-17698</v>
      </c>
      <c r="O199" s="423">
        <f>SUM(O200,O201,O202,O203,O204)</f>
        <v>-17713</v>
      </c>
      <c r="P199" s="423">
        <v>-16453</v>
      </c>
      <c r="Q199" s="423">
        <f t="shared" ref="Q199:AL199" si="1065">SUM(Q208,Q217,Q226)</f>
        <v>-23023</v>
      </c>
      <c r="R199" s="462">
        <f t="shared" si="1065"/>
        <v>-11488</v>
      </c>
      <c r="S199" s="461">
        <f t="shared" si="1065"/>
        <v>-24442</v>
      </c>
      <c r="T199" s="461">
        <f t="shared" si="1065"/>
        <v>-31339</v>
      </c>
      <c r="U199" s="461">
        <f t="shared" si="1065"/>
        <v>-56588</v>
      </c>
      <c r="V199" s="461">
        <f t="shared" si="1065"/>
        <v>-35930</v>
      </c>
      <c r="W199" s="502">
        <f t="shared" si="1065"/>
        <v>-67269</v>
      </c>
      <c r="X199" s="503">
        <f t="shared" si="1065"/>
        <v>-123857</v>
      </c>
      <c r="Y199" s="504">
        <f t="shared" si="1065"/>
        <v>-35734</v>
      </c>
      <c r="Z199" s="502">
        <f t="shared" si="1065"/>
        <v>-37574</v>
      </c>
      <c r="AA199" s="461">
        <f t="shared" si="1065"/>
        <v>-38421</v>
      </c>
      <c r="AB199" s="461">
        <f t="shared" si="1065"/>
        <v>-43018</v>
      </c>
      <c r="AC199" s="502">
        <f t="shared" si="1065"/>
        <v>-73308</v>
      </c>
      <c r="AD199" s="502">
        <f t="shared" si="1065"/>
        <v>-111729</v>
      </c>
      <c r="AE199" s="503">
        <f t="shared" si="1065"/>
        <v>-154747</v>
      </c>
      <c r="AF199" s="502">
        <f t="shared" si="1065"/>
        <v>-34505</v>
      </c>
      <c r="AG199" s="502">
        <f t="shared" si="584"/>
        <v>-53230</v>
      </c>
      <c r="AH199" s="502">
        <f t="shared" si="974"/>
        <v>-72006.999999999971</v>
      </c>
      <c r="AI199" s="502">
        <f t="shared" si="975"/>
        <v>-134604.00000000003</v>
      </c>
      <c r="AJ199" s="502">
        <f t="shared" si="1065"/>
        <v>-87735</v>
      </c>
      <c r="AK199" s="502">
        <f t="shared" si="1065"/>
        <v>-159741.99999999997</v>
      </c>
      <c r="AL199" s="503">
        <f t="shared" si="1065"/>
        <v>-294346</v>
      </c>
      <c r="AM199" s="502">
        <f>SUM(AM200:AM206)</f>
        <v>-17925</v>
      </c>
      <c r="AN199" s="502">
        <f t="shared" si="976"/>
        <v>-62873.000000000015</v>
      </c>
      <c r="AO199" s="502">
        <f t="shared" si="977"/>
        <v>-38348.999999999971</v>
      </c>
      <c r="AP199" s="502">
        <f t="shared" si="977"/>
        <v>-188792</v>
      </c>
      <c r="AQ199" s="502">
        <f>SUM(AQ200:AQ206)</f>
        <v>-80798.000000000015</v>
      </c>
      <c r="AR199" s="502">
        <f>SUM(AR200:AR206)</f>
        <v>-119146.99999999999</v>
      </c>
      <c r="AS199" s="503">
        <f>SUM(AS200:AS206)</f>
        <v>-307939</v>
      </c>
      <c r="AT199" s="756">
        <f>SUM(AT200:AT207)</f>
        <v>-23620.773560239999</v>
      </c>
      <c r="AU199" s="756">
        <f>SUM(AU200:AU207)</f>
        <v>-34936.165072928001</v>
      </c>
      <c r="AV199" s="502">
        <f>SUM(AV200:AV206)</f>
        <v>-30948.337299999999</v>
      </c>
      <c r="AW199" s="502">
        <f t="shared" si="978"/>
        <v>-16063.604800000001</v>
      </c>
      <c r="AX199" s="502">
        <f>SUM(AX200:AX207)</f>
        <v>-58756.938633168</v>
      </c>
      <c r="AY199" s="502">
        <f>SUM(AY200:AY207)</f>
        <v>-97662.275933167999</v>
      </c>
      <c r="AZ199" s="502">
        <f>SUM(AZ200:AZ206)-1</f>
        <v>-113725.880733168</v>
      </c>
      <c r="BA199" s="502">
        <f t="shared" ref="BA199:BB199" si="1066">SUM(BA200:BA206)</f>
        <v>-26998</v>
      </c>
      <c r="BB199" s="502">
        <f t="shared" si="1066"/>
        <v>-21283</v>
      </c>
      <c r="BC199" s="765">
        <f t="shared" ref="BC199:BH199" si="1067">SUM(BC200:BC207)</f>
        <v>-41172</v>
      </c>
      <c r="BD199" s="502">
        <f t="shared" si="1067"/>
        <v>183896</v>
      </c>
      <c r="BE199" s="502">
        <f t="shared" si="1067"/>
        <v>-48281</v>
      </c>
      <c r="BF199" s="502">
        <f t="shared" si="1067"/>
        <v>-89453</v>
      </c>
      <c r="BG199" s="502">
        <f t="shared" si="1067"/>
        <v>94443</v>
      </c>
      <c r="BH199" s="502">
        <f t="shared" si="1067"/>
        <v>-29269</v>
      </c>
      <c r="BI199" s="502">
        <f t="shared" ref="BI199:BL199" si="1068">SUM(BI200:BI207)</f>
        <v>-21142</v>
      </c>
      <c r="BJ199" s="502">
        <f>SUM(BJ200:BJ207)</f>
        <v>-29313</v>
      </c>
      <c r="BK199" s="502">
        <f t="shared" si="1068"/>
        <v>-18300</v>
      </c>
      <c r="BL199" s="502">
        <f t="shared" si="1068"/>
        <v>-50411</v>
      </c>
      <c r="BM199" s="502">
        <f t="shared" ref="BM199:BN199" si="1069">SUM(BM200:BM207)</f>
        <v>-79724</v>
      </c>
      <c r="BN199" s="502">
        <f t="shared" si="1069"/>
        <v>-98024</v>
      </c>
      <c r="BO199" s="502">
        <f t="shared" ref="BO199:BS199" si="1070">SUM(BO200:BO207)</f>
        <v>-21367</v>
      </c>
      <c r="BP199" s="502">
        <f t="shared" si="1070"/>
        <v>-23482</v>
      </c>
      <c r="BQ199" s="502">
        <f t="shared" si="1070"/>
        <v>-32142</v>
      </c>
      <c r="BR199" s="502">
        <f t="shared" si="1070"/>
        <v>-11796</v>
      </c>
      <c r="BS199" s="502">
        <f t="shared" si="1070"/>
        <v>-44849</v>
      </c>
      <c r="BT199" s="502">
        <f t="shared" ref="BT199:BU199" si="1071">SUM(BT200:BT207)</f>
        <v>-76991</v>
      </c>
      <c r="BU199" s="502">
        <f t="shared" si="1071"/>
        <v>-88787</v>
      </c>
      <c r="BV199" s="502">
        <f t="shared" ref="BV199:BY199" si="1072">SUM(BV200:BV207)</f>
        <v>-34499</v>
      </c>
      <c r="BW199" s="502">
        <f t="shared" si="1072"/>
        <v>-28097</v>
      </c>
      <c r="BX199" s="502">
        <f t="shared" si="1072"/>
        <v>-30437</v>
      </c>
      <c r="BY199" s="502">
        <f t="shared" si="1072"/>
        <v>-26447</v>
      </c>
      <c r="BZ199" s="502">
        <f t="shared" ref="BZ199:CA199" si="1073">SUM(BZ200:BZ207)</f>
        <v>-62596</v>
      </c>
      <c r="CA199" s="502">
        <f t="shared" si="1073"/>
        <v>-93033</v>
      </c>
      <c r="CB199" s="502">
        <f t="shared" ref="CB199:CC199" si="1074">SUM(CB200:CB207)</f>
        <v>-119480</v>
      </c>
      <c r="CC199" s="502">
        <f t="shared" si="1074"/>
        <v>-29615</v>
      </c>
      <c r="CD199" s="502">
        <f t="shared" ref="CD199" si="1075">SUM(CD200:CD207)</f>
        <v>-33527</v>
      </c>
      <c r="CE199" s="502">
        <f t="shared" ref="CE199:CG199" si="1076">SUM(CE200:CE207)</f>
        <v>-46484</v>
      </c>
      <c r="CF199" s="502">
        <f t="shared" si="1076"/>
        <v>-33435</v>
      </c>
      <c r="CG199" s="502">
        <f t="shared" si="1076"/>
        <v>-63142</v>
      </c>
      <c r="CH199" s="502">
        <f>SUM(CH200:CH207)-1</f>
        <v>-109627</v>
      </c>
      <c r="CI199" s="502">
        <f t="shared" ref="CI199" si="1077">SUM(CI200:CI207)</f>
        <v>-143061</v>
      </c>
      <c r="CJ199" s="502">
        <v>-67783</v>
      </c>
      <c r="CK199" s="502">
        <f t="shared" ref="CK199:CO199" si="1078">SUM(CK200:CK207)</f>
        <v>-32781</v>
      </c>
      <c r="CL199" s="502">
        <f t="shared" si="1078"/>
        <v>0</v>
      </c>
      <c r="CM199" s="502">
        <f t="shared" si="1078"/>
        <v>0</v>
      </c>
      <c r="CN199" s="502">
        <f t="shared" si="1078"/>
        <v>-100564</v>
      </c>
      <c r="CO199" s="502">
        <f t="shared" si="1078"/>
        <v>0</v>
      </c>
    </row>
    <row r="200" spans="1:93" s="289" customFormat="1" x14ac:dyDescent="0.25">
      <c r="A200" s="455" t="str">
        <f>Language!C155</f>
        <v>Concepa</v>
      </c>
      <c r="B200" s="289">
        <f t="shared" ref="B200:P200" si="1079">SUM(B209,B218,B227)</f>
        <v>-2843</v>
      </c>
      <c r="C200" s="289">
        <f t="shared" si="1079"/>
        <v>-3304</v>
      </c>
      <c r="D200" s="289">
        <f t="shared" si="1079"/>
        <v>-3162</v>
      </c>
      <c r="E200" s="289">
        <f t="shared" si="1079"/>
        <v>-1754</v>
      </c>
      <c r="F200" s="290">
        <f t="shared" si="1079"/>
        <v>-2426</v>
      </c>
      <c r="G200" s="289">
        <f t="shared" si="1079"/>
        <v>-4040</v>
      </c>
      <c r="H200" s="289">
        <f t="shared" si="1079"/>
        <v>-3250</v>
      </c>
      <c r="I200" s="289">
        <f t="shared" si="1079"/>
        <v>-4002</v>
      </c>
      <c r="J200" s="290">
        <f t="shared" si="1079"/>
        <v>723</v>
      </c>
      <c r="K200" s="289">
        <f t="shared" si="1079"/>
        <v>-4736</v>
      </c>
      <c r="L200" s="289">
        <f t="shared" si="1079"/>
        <v>-3686</v>
      </c>
      <c r="M200" s="289">
        <f t="shared" si="1079"/>
        <v>-3009</v>
      </c>
      <c r="N200" s="290">
        <f t="shared" si="1079"/>
        <v>-5506</v>
      </c>
      <c r="O200" s="289">
        <f t="shared" si="1079"/>
        <v>-9020</v>
      </c>
      <c r="P200" s="289">
        <f t="shared" si="1079"/>
        <v>-5447</v>
      </c>
      <c r="Q200" s="289">
        <f t="shared" ref="Q200:AM200" si="1080">SUM(Q209,Q218,Q227)</f>
        <v>-5826</v>
      </c>
      <c r="R200" s="290">
        <f t="shared" si="1080"/>
        <v>-4041</v>
      </c>
      <c r="S200" s="291">
        <f t="shared" si="1080"/>
        <v>-6395</v>
      </c>
      <c r="T200" s="291">
        <f t="shared" si="1080"/>
        <v>-5111</v>
      </c>
      <c r="U200" s="291">
        <f t="shared" si="1080"/>
        <v>-14222</v>
      </c>
      <c r="V200" s="291">
        <f t="shared" si="1080"/>
        <v>-10436</v>
      </c>
      <c r="W200" s="292">
        <f t="shared" si="1080"/>
        <v>-15547</v>
      </c>
      <c r="X200" s="293">
        <f t="shared" si="1080"/>
        <v>-29769</v>
      </c>
      <c r="Y200" s="294">
        <f t="shared" si="1080"/>
        <v>-8658</v>
      </c>
      <c r="Z200" s="292">
        <f t="shared" si="1080"/>
        <v>-8753</v>
      </c>
      <c r="AA200" s="291">
        <f t="shared" si="1080"/>
        <v>-10267</v>
      </c>
      <c r="AB200" s="291">
        <f t="shared" si="1080"/>
        <v>-8065</v>
      </c>
      <c r="AC200" s="292">
        <f t="shared" si="1080"/>
        <v>-17411</v>
      </c>
      <c r="AD200" s="292">
        <f t="shared" si="1080"/>
        <v>-27678</v>
      </c>
      <c r="AE200" s="293">
        <f t="shared" si="1080"/>
        <v>-35743</v>
      </c>
      <c r="AF200" s="292">
        <f t="shared" si="1080"/>
        <v>-7435.7858249090432</v>
      </c>
      <c r="AG200" s="292">
        <f t="shared" si="584"/>
        <v>-13386.581653168178</v>
      </c>
      <c r="AH200" s="292">
        <f t="shared" si="974"/>
        <v>-39085.480515972398</v>
      </c>
      <c r="AI200" s="292">
        <f t="shared" si="975"/>
        <v>-104039.14564206677</v>
      </c>
      <c r="AJ200" s="292">
        <f t="shared" si="1080"/>
        <v>-20822.36747807722</v>
      </c>
      <c r="AK200" s="292">
        <f t="shared" si="1080"/>
        <v>-59907.847994049618</v>
      </c>
      <c r="AL200" s="293">
        <f t="shared" si="1080"/>
        <v>-163946.99363611639</v>
      </c>
      <c r="AM200" s="292">
        <f t="shared" si="1080"/>
        <v>8769.3280898876401</v>
      </c>
      <c r="AN200" s="292">
        <f t="shared" si="976"/>
        <v>-9948.9287404752213</v>
      </c>
      <c r="AO200" s="292">
        <f t="shared" si="977"/>
        <v>-3491.1497204741099</v>
      </c>
      <c r="AP200" s="292">
        <f t="shared" si="977"/>
        <v>25482.003183284098</v>
      </c>
      <c r="AQ200" s="292">
        <f t="shared" ref="AQ200:AR200" si="1081">SUM(AQ209,AQ218,AQ227)</f>
        <v>-1179.6006505875812</v>
      </c>
      <c r="AR200" s="292">
        <f t="shared" si="1081"/>
        <v>-4670.7503710616911</v>
      </c>
      <c r="AS200" s="293">
        <f>SUM(AS209,AS218,AS227)</f>
        <v>20811.252812222407</v>
      </c>
      <c r="AT200" s="292">
        <f>SUM(AT209,AT218,AT227)</f>
        <v>0</v>
      </c>
      <c r="AU200" s="292">
        <f>SUM(AU209,AU218,AU227)</f>
        <v>-5866</v>
      </c>
      <c r="AV200" s="292">
        <f t="shared" ref="AV200:AY200" si="1082">SUM(AV209,AV218,AV227)</f>
        <v>-675</v>
      </c>
      <c r="AW200" s="292">
        <f t="shared" si="978"/>
        <v>6541</v>
      </c>
      <c r="AX200" s="292">
        <f t="shared" ref="AX200:AX206" si="1083">SUM(AX209,AX218,AX227)</f>
        <v>-5866</v>
      </c>
      <c r="AY200" s="292">
        <f t="shared" si="1082"/>
        <v>-6541</v>
      </c>
      <c r="AZ200" s="292">
        <f t="shared" ref="AZ200:BA200" si="1084">SUM(AZ209,AZ218,AZ227)</f>
        <v>0</v>
      </c>
      <c r="BA200" s="292">
        <f t="shared" si="1084"/>
        <v>0</v>
      </c>
      <c r="BB200" s="292">
        <f t="shared" ref="BB200:BC200" si="1085">SUM(BB209,BB218,BB227)</f>
        <v>0</v>
      </c>
      <c r="BC200" s="292">
        <f t="shared" si="1085"/>
        <v>0</v>
      </c>
      <c r="BD200" s="292">
        <f t="shared" ref="BD200" si="1086">SUM(BD209,BD218,BD227)</f>
        <v>0</v>
      </c>
      <c r="BE200" s="292">
        <f t="shared" ref="BE200:BF200" si="1087">SUM(BE209,BE218,BE227)</f>
        <v>0</v>
      </c>
      <c r="BF200" s="292">
        <f t="shared" si="1087"/>
        <v>0</v>
      </c>
      <c r="BG200" s="292">
        <f t="shared" ref="BG200:BH200" si="1088">SUM(BG209,BG218,BG227)</f>
        <v>0</v>
      </c>
      <c r="BH200" s="292">
        <f t="shared" si="1088"/>
        <v>0</v>
      </c>
      <c r="BI200" s="292">
        <f t="shared" ref="BI200:BL200" si="1089">SUM(BI209,BI218,BI227)</f>
        <v>0</v>
      </c>
      <c r="BJ200" s="292">
        <f t="shared" si="1089"/>
        <v>0</v>
      </c>
      <c r="BK200" s="292">
        <f t="shared" si="1089"/>
        <v>0</v>
      </c>
      <c r="BL200" s="292">
        <f t="shared" si="1089"/>
        <v>0</v>
      </c>
      <c r="BM200" s="292">
        <f t="shared" ref="BM200:BN200" si="1090">SUM(BM209,BM218,BM227)</f>
        <v>0</v>
      </c>
      <c r="BN200" s="292">
        <f t="shared" si="1090"/>
        <v>0</v>
      </c>
      <c r="BO200" s="292">
        <f t="shared" ref="BO200:BS200" si="1091">SUM(BO209,BO218,BO227)</f>
        <v>0</v>
      </c>
      <c r="BP200" s="292">
        <f t="shared" si="1091"/>
        <v>0</v>
      </c>
      <c r="BQ200" s="292">
        <f t="shared" si="1091"/>
        <v>0</v>
      </c>
      <c r="BR200" s="292">
        <f t="shared" si="1091"/>
        <v>0</v>
      </c>
      <c r="BS200" s="292">
        <f t="shared" si="1091"/>
        <v>0</v>
      </c>
      <c r="BT200" s="292">
        <f t="shared" ref="BT200:BU200" si="1092">SUM(BT209,BT218,BT227)</f>
        <v>0</v>
      </c>
      <c r="BU200" s="292">
        <f t="shared" si="1092"/>
        <v>0</v>
      </c>
      <c r="BV200" s="292">
        <f t="shared" ref="BV200:BY200" si="1093">SUM(BV209,BV218,BV227)</f>
        <v>0</v>
      </c>
      <c r="BW200" s="292">
        <f t="shared" si="1093"/>
        <v>0</v>
      </c>
      <c r="BX200" s="292">
        <f t="shared" si="1093"/>
        <v>0</v>
      </c>
      <c r="BY200" s="292">
        <f t="shared" si="1093"/>
        <v>0</v>
      </c>
      <c r="BZ200" s="292">
        <f t="shared" ref="BZ200:CA200" si="1094">SUM(BZ209,BZ218,BZ227)</f>
        <v>0</v>
      </c>
      <c r="CA200" s="292">
        <f t="shared" si="1094"/>
        <v>0</v>
      </c>
      <c r="CB200" s="292">
        <f t="shared" ref="CB200:CC200" si="1095">SUM(CB209,CB218,CB227)</f>
        <v>0</v>
      </c>
      <c r="CC200" s="292">
        <f t="shared" si="1095"/>
        <v>0</v>
      </c>
      <c r="CD200" s="292">
        <f t="shared" ref="CD200" si="1096">SUM(CD209,CD218,CD227)</f>
        <v>0</v>
      </c>
      <c r="CE200" s="292">
        <f t="shared" ref="CE200:CG200" si="1097">SUM(CE209,CE218,CE227)</f>
        <v>0</v>
      </c>
      <c r="CF200" s="292">
        <f t="shared" si="1097"/>
        <v>0</v>
      </c>
      <c r="CG200" s="292">
        <f t="shared" si="1097"/>
        <v>0</v>
      </c>
      <c r="CH200" s="292">
        <f t="shared" ref="CH200:CI200" si="1098">SUM(CH209,CH218,CH227)</f>
        <v>0</v>
      </c>
      <c r="CI200" s="292">
        <f t="shared" si="1098"/>
        <v>0</v>
      </c>
      <c r="CJ200" s="292">
        <v>0</v>
      </c>
      <c r="CK200" s="292">
        <f>SUM(CK209,CK218,CK227)</f>
        <v>0</v>
      </c>
      <c r="CL200" s="292">
        <f t="shared" ref="CL200:CO200" si="1099">SUM(CL209,CL218,CL227)</f>
        <v>0</v>
      </c>
      <c r="CM200" s="292">
        <f t="shared" si="1099"/>
        <v>0</v>
      </c>
      <c r="CN200" s="292">
        <f t="shared" si="1099"/>
        <v>0</v>
      </c>
      <c r="CO200" s="292">
        <f t="shared" si="1099"/>
        <v>0</v>
      </c>
    </row>
    <row r="201" spans="1:93" s="289" customFormat="1" x14ac:dyDescent="0.25">
      <c r="A201" s="455" t="str">
        <f>Language!C156</f>
        <v>Concer</v>
      </c>
      <c r="B201" s="289">
        <f t="shared" ref="B201:P201" si="1100">SUM(B210,B219,B228)</f>
        <v>-3023</v>
      </c>
      <c r="C201" s="289">
        <f t="shared" si="1100"/>
        <v>-4025</v>
      </c>
      <c r="D201" s="289">
        <f t="shared" si="1100"/>
        <v>-3485</v>
      </c>
      <c r="E201" s="289">
        <f t="shared" si="1100"/>
        <v>-3839</v>
      </c>
      <c r="F201" s="290">
        <f t="shared" si="1100"/>
        <v>-5000</v>
      </c>
      <c r="G201" s="289">
        <f t="shared" si="1100"/>
        <v>-4024</v>
      </c>
      <c r="H201" s="289">
        <f t="shared" si="1100"/>
        <v>-3714</v>
      </c>
      <c r="I201" s="289">
        <f t="shared" si="1100"/>
        <v>-5733</v>
      </c>
      <c r="J201" s="290">
        <f t="shared" si="1100"/>
        <v>3340</v>
      </c>
      <c r="K201" s="289">
        <f t="shared" si="1100"/>
        <v>-5760</v>
      </c>
      <c r="L201" s="289">
        <f t="shared" si="1100"/>
        <v>-4921</v>
      </c>
      <c r="M201" s="289">
        <f t="shared" si="1100"/>
        <v>-3213</v>
      </c>
      <c r="N201" s="290">
        <f t="shared" si="1100"/>
        <v>-4439</v>
      </c>
      <c r="O201" s="289">
        <f t="shared" si="1100"/>
        <v>-1720</v>
      </c>
      <c r="P201" s="289">
        <f t="shared" si="1100"/>
        <v>-4593</v>
      </c>
      <c r="Q201" s="289">
        <f t="shared" ref="Q201:AM201" si="1101">SUM(Q210,Q219,Q228)</f>
        <v>-8092</v>
      </c>
      <c r="R201" s="290">
        <f t="shared" si="1101"/>
        <v>-4819</v>
      </c>
      <c r="S201" s="291">
        <f t="shared" si="1101"/>
        <v>-5541</v>
      </c>
      <c r="T201" s="291">
        <f t="shared" si="1101"/>
        <v>-3191</v>
      </c>
      <c r="U201" s="291">
        <f t="shared" si="1101"/>
        <v>-6825</v>
      </c>
      <c r="V201" s="291">
        <f t="shared" si="1101"/>
        <v>-10360</v>
      </c>
      <c r="W201" s="292">
        <f t="shared" si="1101"/>
        <v>-13551</v>
      </c>
      <c r="X201" s="293">
        <f t="shared" si="1101"/>
        <v>-20376</v>
      </c>
      <c r="Y201" s="294">
        <f t="shared" si="1101"/>
        <v>-4400</v>
      </c>
      <c r="Z201" s="292">
        <f t="shared" si="1101"/>
        <v>-4651</v>
      </c>
      <c r="AA201" s="291">
        <f t="shared" si="1101"/>
        <v>-4647</v>
      </c>
      <c r="AB201" s="291">
        <f t="shared" si="1101"/>
        <v>-7889</v>
      </c>
      <c r="AC201" s="292">
        <f t="shared" si="1101"/>
        <v>-9051</v>
      </c>
      <c r="AD201" s="292">
        <f t="shared" si="1101"/>
        <v>-13698</v>
      </c>
      <c r="AE201" s="293">
        <f t="shared" si="1101"/>
        <v>-21587</v>
      </c>
      <c r="AF201" s="292">
        <f t="shared" si="1101"/>
        <v>-5445.0935365456507</v>
      </c>
      <c r="AG201" s="292">
        <f t="shared" si="584"/>
        <v>-5133.4821859678641</v>
      </c>
      <c r="AH201" s="292">
        <f t="shared" si="974"/>
        <v>-5829.3176209979047</v>
      </c>
      <c r="AI201" s="292">
        <f t="shared" si="975"/>
        <v>-9214.1066564885805</v>
      </c>
      <c r="AJ201" s="292">
        <f t="shared" si="1101"/>
        <v>-10578.575722513515</v>
      </c>
      <c r="AK201" s="292">
        <f t="shared" si="1101"/>
        <v>-16407.89334351142</v>
      </c>
      <c r="AL201" s="293">
        <f t="shared" si="1101"/>
        <v>-25622</v>
      </c>
      <c r="AM201" s="292">
        <f t="shared" si="1101"/>
        <v>-5934.5298876404486</v>
      </c>
      <c r="AN201" s="292">
        <f t="shared" si="976"/>
        <v>-27869.662739033643</v>
      </c>
      <c r="AO201" s="292">
        <f t="shared" si="977"/>
        <v>-10247.461151632277</v>
      </c>
      <c r="AP201" s="292">
        <f t="shared" si="977"/>
        <v>-8126.457786099927</v>
      </c>
      <c r="AQ201" s="292">
        <f t="shared" ref="AQ201:AR201" si="1102">SUM(AQ210,AQ219,AQ228)</f>
        <v>-33804.192626674092</v>
      </c>
      <c r="AR201" s="292">
        <f t="shared" si="1102"/>
        <v>-44051.653778306369</v>
      </c>
      <c r="AS201" s="293">
        <f t="shared" ref="AS201:AT201" si="1103">SUM(AS210,AS219,AS228)</f>
        <v>-52178.111564406296</v>
      </c>
      <c r="AT201" s="292">
        <f t="shared" si="1103"/>
        <v>-6184.773560239998</v>
      </c>
      <c r="AU201" s="292">
        <f t="shared" ref="AU201:AU206" si="1104">SUM(AU210,AU219,AU228)</f>
        <v>-8710.1650729280009</v>
      </c>
      <c r="AV201" s="292">
        <f t="shared" ref="AV201:AY201" si="1105">SUM(AV210,AV219,AV228)</f>
        <v>-10783.337300000001</v>
      </c>
      <c r="AW201" s="292">
        <f t="shared" si="978"/>
        <v>-7568.6047999999973</v>
      </c>
      <c r="AX201" s="292">
        <f t="shared" si="1083"/>
        <v>-14894.938633168</v>
      </c>
      <c r="AY201" s="292">
        <f t="shared" si="1105"/>
        <v>-25678.275933168003</v>
      </c>
      <c r="AZ201" s="292">
        <f t="shared" ref="AZ201:BA201" si="1106">SUM(AZ210,AZ219,AZ228)</f>
        <v>-33246.880733168</v>
      </c>
      <c r="BA201" s="292">
        <f t="shared" si="1106"/>
        <v>-5022</v>
      </c>
      <c r="BB201" s="292">
        <f t="shared" ref="BB201:BC201" si="1107">SUM(BB210,BB219,BB228)</f>
        <v>-2681</v>
      </c>
      <c r="BC201" s="292">
        <f t="shared" si="1107"/>
        <v>-20145</v>
      </c>
      <c r="BD201" s="292">
        <f t="shared" ref="BD201" si="1108">SUM(BD210,BD219,BD228)</f>
        <v>-19870</v>
      </c>
      <c r="BE201" s="292">
        <f t="shared" ref="BE201:BF201" si="1109">SUM(BE210,BE219,BE228)</f>
        <v>-7703</v>
      </c>
      <c r="BF201" s="292">
        <f t="shared" si="1109"/>
        <v>-27848</v>
      </c>
      <c r="BG201" s="292">
        <f t="shared" ref="BG201:BH201" si="1110">SUM(BG210,BG219,BG228)</f>
        <v>-47718</v>
      </c>
      <c r="BH201" s="292">
        <f t="shared" si="1110"/>
        <v>-7918</v>
      </c>
      <c r="BI201" s="292">
        <f t="shared" ref="BI201:BL201" si="1111">SUM(BI210,BI219,BI228)</f>
        <v>-2459</v>
      </c>
      <c r="BJ201" s="292">
        <f t="shared" si="1111"/>
        <v>-6826</v>
      </c>
      <c r="BK201" s="292">
        <f t="shared" si="1111"/>
        <v>-7214</v>
      </c>
      <c r="BL201" s="292">
        <f t="shared" si="1111"/>
        <v>-10377</v>
      </c>
      <c r="BM201" s="292">
        <f t="shared" ref="BM201:BN201" si="1112">SUM(BM210,BM219,BM228)</f>
        <v>-17203</v>
      </c>
      <c r="BN201" s="292">
        <f t="shared" si="1112"/>
        <v>-24417</v>
      </c>
      <c r="BO201" s="292">
        <f t="shared" ref="BO201:BS201" si="1113">SUM(BO210,BO219,BO228)</f>
        <v>-8394</v>
      </c>
      <c r="BP201" s="292">
        <f t="shared" si="1113"/>
        <v>-7910</v>
      </c>
      <c r="BQ201" s="292">
        <f t="shared" si="1113"/>
        <v>-10251</v>
      </c>
      <c r="BR201" s="292">
        <f t="shared" si="1113"/>
        <v>-7957</v>
      </c>
      <c r="BS201" s="292">
        <f t="shared" si="1113"/>
        <v>-16304</v>
      </c>
      <c r="BT201" s="292">
        <f t="shared" ref="BT201:BU201" si="1114">SUM(BT210,BT219,BT228)</f>
        <v>-26555</v>
      </c>
      <c r="BU201" s="292">
        <f t="shared" si="1114"/>
        <v>-34512</v>
      </c>
      <c r="BV201" s="292">
        <f t="shared" ref="BV201:BY201" si="1115">SUM(BV210,BV219,BV228)</f>
        <v>-14669</v>
      </c>
      <c r="BW201" s="292">
        <f t="shared" si="1115"/>
        <v>-13186</v>
      </c>
      <c r="BX201" s="292">
        <f t="shared" si="1115"/>
        <v>-12614</v>
      </c>
      <c r="BY201" s="292">
        <f t="shared" si="1115"/>
        <v>-17337</v>
      </c>
      <c r="BZ201" s="292">
        <f t="shared" ref="BZ201:CA201" si="1116">SUM(BZ210,BZ219,BZ228)</f>
        <v>-27855</v>
      </c>
      <c r="CA201" s="292">
        <f t="shared" si="1116"/>
        <v>-40469</v>
      </c>
      <c r="CB201" s="292">
        <f t="shared" ref="CB201:CC201" si="1117">SUM(CB210,CB219,CB228)</f>
        <v>-57806</v>
      </c>
      <c r="CC201" s="292">
        <f t="shared" si="1117"/>
        <v>-12829</v>
      </c>
      <c r="CD201" s="292">
        <f t="shared" ref="CD201" si="1118">SUM(CD210,CD219,CD228)</f>
        <v>-14867</v>
      </c>
      <c r="CE201" s="292">
        <f t="shared" ref="CE201:CG201" si="1119">SUM(CE210,CE219,CE228)</f>
        <v>-13791</v>
      </c>
      <c r="CF201" s="292">
        <f t="shared" si="1119"/>
        <v>-9446</v>
      </c>
      <c r="CG201" s="292">
        <f t="shared" si="1119"/>
        <v>-27696</v>
      </c>
      <c r="CH201" s="292">
        <f t="shared" ref="CH201:CI201" si="1120">SUM(CH210,CH219,CH228)</f>
        <v>-41487</v>
      </c>
      <c r="CI201" s="292">
        <f t="shared" si="1120"/>
        <v>-50933</v>
      </c>
      <c r="CJ201" s="292">
        <v>-19740</v>
      </c>
      <c r="CK201" s="292">
        <f t="shared" ref="CK201" si="1121">SUM(CK210,CK219,CK228)</f>
        <v>-9921</v>
      </c>
      <c r="CL201" s="292">
        <f t="shared" ref="CL201:CO201" si="1122">SUM(CL210,CL219,CL228)</f>
        <v>0</v>
      </c>
      <c r="CM201" s="292">
        <f t="shared" si="1122"/>
        <v>0</v>
      </c>
      <c r="CN201" s="292">
        <f t="shared" si="1122"/>
        <v>-29661</v>
      </c>
      <c r="CO201" s="292">
        <f t="shared" si="1122"/>
        <v>0</v>
      </c>
    </row>
    <row r="202" spans="1:93" s="289" customFormat="1" x14ac:dyDescent="0.25">
      <c r="A202" s="455" t="str">
        <f>Language!C157</f>
        <v>Econorte</v>
      </c>
      <c r="B202" s="289">
        <f t="shared" ref="B202:P202" si="1123">SUM(B211,B220,B229)</f>
        <v>-3421</v>
      </c>
      <c r="C202" s="289">
        <f t="shared" si="1123"/>
        <v>-3364</v>
      </c>
      <c r="D202" s="289">
        <f t="shared" si="1123"/>
        <v>-6069</v>
      </c>
      <c r="E202" s="289">
        <f t="shared" si="1123"/>
        <v>-2661</v>
      </c>
      <c r="F202" s="290">
        <f t="shared" si="1123"/>
        <v>-3041</v>
      </c>
      <c r="G202" s="289">
        <f t="shared" si="1123"/>
        <v>-3926</v>
      </c>
      <c r="H202" s="289">
        <f t="shared" si="1123"/>
        <v>-3702</v>
      </c>
      <c r="I202" s="289">
        <f t="shared" si="1123"/>
        <v>-3949</v>
      </c>
      <c r="J202" s="290">
        <f t="shared" si="1123"/>
        <v>-4485</v>
      </c>
      <c r="K202" s="289">
        <f t="shared" si="1123"/>
        <v>-3530</v>
      </c>
      <c r="L202" s="289">
        <f t="shared" si="1123"/>
        <v>-4328</v>
      </c>
      <c r="M202" s="289">
        <f t="shared" si="1123"/>
        <v>-5678</v>
      </c>
      <c r="N202" s="290">
        <f t="shared" si="1123"/>
        <v>-5172</v>
      </c>
      <c r="O202" s="289">
        <f t="shared" si="1123"/>
        <v>-7152</v>
      </c>
      <c r="P202" s="289">
        <f t="shared" si="1123"/>
        <v>-4640</v>
      </c>
      <c r="Q202" s="289">
        <f t="shared" ref="Q202:AM202" si="1124">SUM(Q211,Q220,Q229)</f>
        <v>-6268</v>
      </c>
      <c r="R202" s="290">
        <f t="shared" si="1124"/>
        <v>-5980</v>
      </c>
      <c r="S202" s="291">
        <f t="shared" si="1124"/>
        <v>-4644</v>
      </c>
      <c r="T202" s="291">
        <f t="shared" si="1124"/>
        <v>-4200</v>
      </c>
      <c r="U202" s="291">
        <f t="shared" si="1124"/>
        <v>-15472</v>
      </c>
      <c r="V202" s="291">
        <f t="shared" si="1124"/>
        <v>-10624</v>
      </c>
      <c r="W202" s="292">
        <f t="shared" si="1124"/>
        <v>-14824</v>
      </c>
      <c r="X202" s="293">
        <f t="shared" si="1124"/>
        <v>-30296</v>
      </c>
      <c r="Y202" s="294">
        <f t="shared" si="1124"/>
        <v>-8044</v>
      </c>
      <c r="Z202" s="292">
        <f t="shared" si="1124"/>
        <v>-7909</v>
      </c>
      <c r="AA202" s="291">
        <f t="shared" si="1124"/>
        <v>-8327</v>
      </c>
      <c r="AB202" s="291">
        <f t="shared" si="1124"/>
        <v>-11121</v>
      </c>
      <c r="AC202" s="292">
        <f t="shared" si="1124"/>
        <v>-15953</v>
      </c>
      <c r="AD202" s="292">
        <f t="shared" si="1124"/>
        <v>-24280</v>
      </c>
      <c r="AE202" s="293">
        <f t="shared" si="1124"/>
        <v>-35401</v>
      </c>
      <c r="AF202" s="292">
        <f t="shared" si="1124"/>
        <v>-7482.7851016416225</v>
      </c>
      <c r="AG202" s="292">
        <f t="shared" si="584"/>
        <v>-8768.1973945132631</v>
      </c>
      <c r="AH202" s="292">
        <f t="shared" si="974"/>
        <v>-7021.394292305542</v>
      </c>
      <c r="AI202" s="292">
        <f t="shared" si="975"/>
        <v>-9866.6232115395724</v>
      </c>
      <c r="AJ202" s="292">
        <f t="shared" si="1124"/>
        <v>-16250.982496154886</v>
      </c>
      <c r="AK202" s="292">
        <f t="shared" si="1124"/>
        <v>-23272.376788460428</v>
      </c>
      <c r="AL202" s="293">
        <f t="shared" si="1124"/>
        <v>-33139</v>
      </c>
      <c r="AM202" s="292">
        <f t="shared" si="1124"/>
        <v>-9226.3928089887631</v>
      </c>
      <c r="AN202" s="292">
        <f t="shared" si="976"/>
        <v>-8954.0489165336185</v>
      </c>
      <c r="AO202" s="292">
        <f t="shared" si="977"/>
        <v>-8691.1170414166263</v>
      </c>
      <c r="AP202" s="292">
        <f t="shared" si="977"/>
        <v>-194374.78463167101</v>
      </c>
      <c r="AQ202" s="292">
        <f t="shared" ref="AQ202:AR202" si="1125">SUM(AQ211,AQ220,AQ229)</f>
        <v>-18180.441725522382</v>
      </c>
      <c r="AR202" s="292">
        <f t="shared" si="1125"/>
        <v>-26871.558766939008</v>
      </c>
      <c r="AS202" s="293">
        <f t="shared" ref="AS202:AT202" si="1126">SUM(AS211,AS220,AS229)</f>
        <v>-221246.34339861001</v>
      </c>
      <c r="AT202" s="292">
        <f t="shared" si="1126"/>
        <v>-5933</v>
      </c>
      <c r="AU202" s="292">
        <f t="shared" si="1104"/>
        <v>-8899</v>
      </c>
      <c r="AV202" s="292">
        <f t="shared" ref="AV202:AY202" si="1127">SUM(AV211,AV220,AV229)</f>
        <v>-9572</v>
      </c>
      <c r="AW202" s="292">
        <f t="shared" si="978"/>
        <v>6648</v>
      </c>
      <c r="AX202" s="292">
        <f t="shared" si="1083"/>
        <v>-14832</v>
      </c>
      <c r="AY202" s="292">
        <f t="shared" si="1127"/>
        <v>-23142</v>
      </c>
      <c r="AZ202" s="292">
        <f t="shared" ref="AZ202:BA202" si="1128">SUM(AZ211,AZ220,AZ229)</f>
        <v>-16494</v>
      </c>
      <c r="BA202" s="292">
        <f t="shared" si="1128"/>
        <v>-7456</v>
      </c>
      <c r="BB202" s="292">
        <f t="shared" ref="BB202:BC202" si="1129">SUM(BB211,BB220,BB229)</f>
        <v>-5815</v>
      </c>
      <c r="BC202" s="292">
        <f t="shared" si="1129"/>
        <v>-6481</v>
      </c>
      <c r="BD202" s="292">
        <f t="shared" ref="BD202" si="1130">SUM(BD211,BD220,BD229)</f>
        <v>-3938</v>
      </c>
      <c r="BE202" s="292">
        <f t="shared" ref="BE202:BF202" si="1131">SUM(BE211,BE220,BE229)</f>
        <v>-13271</v>
      </c>
      <c r="BF202" s="292">
        <f t="shared" si="1131"/>
        <v>-19752</v>
      </c>
      <c r="BG202" s="292">
        <f t="shared" ref="BG202:BH202" si="1132">SUM(BG211,BG220,BG229)</f>
        <v>-23690</v>
      </c>
      <c r="BH202" s="292">
        <f t="shared" si="1132"/>
        <v>-6990</v>
      </c>
      <c r="BI202" s="292">
        <f t="shared" ref="BI202:BL202" si="1133">SUM(BI211,BI220,BI229)</f>
        <v>-6878</v>
      </c>
      <c r="BJ202" s="292">
        <f t="shared" si="1133"/>
        <v>-7362</v>
      </c>
      <c r="BK202" s="292">
        <f t="shared" si="1133"/>
        <v>-839</v>
      </c>
      <c r="BL202" s="292">
        <f t="shared" si="1133"/>
        <v>-13868</v>
      </c>
      <c r="BM202" s="292">
        <f t="shared" ref="BM202:BN202" si="1134">SUM(BM211,BM220,BM229)</f>
        <v>-21230</v>
      </c>
      <c r="BN202" s="292">
        <f t="shared" si="1134"/>
        <v>-22069</v>
      </c>
      <c r="BO202" s="292">
        <f t="shared" ref="BO202:BS202" si="1135">SUM(BO211,BO220,BO229)</f>
        <v>-1996</v>
      </c>
      <c r="BP202" s="292">
        <f t="shared" si="1135"/>
        <v>-2577</v>
      </c>
      <c r="BQ202" s="292">
        <f t="shared" si="1135"/>
        <v>-2768</v>
      </c>
      <c r="BR202" s="292">
        <f t="shared" si="1135"/>
        <v>-1807</v>
      </c>
      <c r="BS202" s="292">
        <f t="shared" si="1135"/>
        <v>-4573</v>
      </c>
      <c r="BT202" s="292">
        <f t="shared" ref="BT202:BU202" si="1136">SUM(BT211,BT220,BT229)</f>
        <v>-7341</v>
      </c>
      <c r="BU202" s="292">
        <f t="shared" si="1136"/>
        <v>-9148</v>
      </c>
      <c r="BV202" s="292">
        <f t="shared" ref="BV202:BY202" si="1137">SUM(BV211,BV220,BV229)</f>
        <v>0</v>
      </c>
      <c r="BW202" s="292">
        <f t="shared" si="1137"/>
        <v>0</v>
      </c>
      <c r="BX202" s="292">
        <f t="shared" si="1137"/>
        <v>0</v>
      </c>
      <c r="BY202" s="292">
        <f t="shared" si="1137"/>
        <v>0</v>
      </c>
      <c r="BZ202" s="292">
        <f t="shared" ref="BZ202:CA202" si="1138">SUM(BZ211,BZ220,BZ229)</f>
        <v>0</v>
      </c>
      <c r="CA202" s="292">
        <f t="shared" si="1138"/>
        <v>0</v>
      </c>
      <c r="CB202" s="292">
        <f t="shared" ref="CB202:CC202" si="1139">SUM(CB211,CB220,CB229)</f>
        <v>0</v>
      </c>
      <c r="CC202" s="292">
        <f t="shared" si="1139"/>
        <v>0</v>
      </c>
      <c r="CD202" s="292">
        <f t="shared" ref="CD202" si="1140">SUM(CD211,CD220,CD229)</f>
        <v>0</v>
      </c>
      <c r="CE202" s="292">
        <f t="shared" ref="CE202:CG202" si="1141">SUM(CE211,CE220,CE229)</f>
        <v>0</v>
      </c>
      <c r="CF202" s="292">
        <f t="shared" si="1141"/>
        <v>0</v>
      </c>
      <c r="CG202" s="292">
        <f t="shared" si="1141"/>
        <v>0</v>
      </c>
      <c r="CH202" s="292">
        <f t="shared" ref="CH202:CI202" si="1142">SUM(CH211,CH220,CH229)</f>
        <v>0</v>
      </c>
      <c r="CI202" s="292">
        <f t="shared" si="1142"/>
        <v>0</v>
      </c>
      <c r="CJ202" s="292">
        <v>0</v>
      </c>
      <c r="CK202" s="292">
        <f t="shared" ref="CK202" si="1143">SUM(CK211,CK220,CK229)</f>
        <v>0</v>
      </c>
      <c r="CL202" s="292">
        <f t="shared" ref="CL202:CO202" si="1144">SUM(CL211,CL220,CL229)</f>
        <v>0</v>
      </c>
      <c r="CM202" s="292">
        <f t="shared" si="1144"/>
        <v>0</v>
      </c>
      <c r="CN202" s="292">
        <f t="shared" si="1144"/>
        <v>0</v>
      </c>
      <c r="CO202" s="292">
        <f t="shared" si="1144"/>
        <v>0</v>
      </c>
    </row>
    <row r="203" spans="1:93" s="289" customFormat="1" x14ac:dyDescent="0.25">
      <c r="A203" s="455" t="str">
        <f>Language!C158</f>
        <v>Convale</v>
      </c>
      <c r="B203" s="289">
        <f t="shared" ref="B203:P203" si="1145">SUM(B212,B221,B230)</f>
        <v>0</v>
      </c>
      <c r="C203" s="289">
        <f t="shared" si="1145"/>
        <v>0</v>
      </c>
      <c r="D203" s="289">
        <f t="shared" si="1145"/>
        <v>0</v>
      </c>
      <c r="E203" s="289">
        <f t="shared" si="1145"/>
        <v>0</v>
      </c>
      <c r="F203" s="290">
        <f t="shared" si="1145"/>
        <v>0</v>
      </c>
      <c r="G203" s="289">
        <f t="shared" si="1145"/>
        <v>0</v>
      </c>
      <c r="H203" s="289">
        <f t="shared" si="1145"/>
        <v>0</v>
      </c>
      <c r="I203" s="289">
        <f t="shared" si="1145"/>
        <v>-29</v>
      </c>
      <c r="J203" s="290">
        <f t="shared" si="1145"/>
        <v>-20</v>
      </c>
      <c r="K203" s="289">
        <f t="shared" si="1145"/>
        <v>0</v>
      </c>
      <c r="L203" s="289">
        <f t="shared" si="1145"/>
        <v>-7</v>
      </c>
      <c r="M203" s="289">
        <f t="shared" si="1145"/>
        <v>-2</v>
      </c>
      <c r="N203" s="290">
        <f t="shared" si="1145"/>
        <v>0</v>
      </c>
      <c r="O203" s="289">
        <f t="shared" si="1145"/>
        <v>-20</v>
      </c>
      <c r="P203" s="289">
        <f t="shared" si="1145"/>
        <v>-3</v>
      </c>
      <c r="Q203" s="289">
        <f t="shared" ref="Q203:AM203" si="1146">SUM(Q212,Q221,Q230)</f>
        <v>-1</v>
      </c>
      <c r="R203" s="290">
        <f t="shared" si="1146"/>
        <v>0</v>
      </c>
      <c r="S203" s="291">
        <f t="shared" si="1146"/>
        <v>-20</v>
      </c>
      <c r="T203" s="291">
        <f t="shared" si="1146"/>
        <v>-118</v>
      </c>
      <c r="U203" s="291">
        <f t="shared" si="1146"/>
        <v>-88</v>
      </c>
      <c r="V203" s="291">
        <f t="shared" si="1146"/>
        <v>-20</v>
      </c>
      <c r="W203" s="292">
        <f t="shared" si="1146"/>
        <v>-138</v>
      </c>
      <c r="X203" s="293">
        <f t="shared" si="1146"/>
        <v>-226</v>
      </c>
      <c r="Y203" s="294">
        <f t="shared" si="1146"/>
        <v>-85</v>
      </c>
      <c r="Z203" s="292">
        <f t="shared" si="1146"/>
        <v>-13</v>
      </c>
      <c r="AA203" s="291">
        <f t="shared" si="1146"/>
        <v>-415</v>
      </c>
      <c r="AB203" s="291">
        <f t="shared" si="1146"/>
        <v>-530</v>
      </c>
      <c r="AC203" s="292">
        <f t="shared" si="1146"/>
        <v>-98</v>
      </c>
      <c r="AD203" s="292">
        <f t="shared" si="1146"/>
        <v>-513</v>
      </c>
      <c r="AE203" s="293">
        <f t="shared" si="1146"/>
        <v>-1043</v>
      </c>
      <c r="AF203" s="292">
        <f t="shared" si="1146"/>
        <v>-7.9152530006201891</v>
      </c>
      <c r="AG203" s="292">
        <f t="shared" si="584"/>
        <v>-65.567139415576833</v>
      </c>
      <c r="AH203" s="292">
        <f t="shared" si="974"/>
        <v>1.1123226503615484</v>
      </c>
      <c r="AI203" s="292">
        <f t="shared" si="975"/>
        <v>4.370069765835467</v>
      </c>
      <c r="AJ203" s="292">
        <f t="shared" si="1146"/>
        <v>-73.482392416197015</v>
      </c>
      <c r="AK203" s="292">
        <f t="shared" si="1146"/>
        <v>-72.370069765835467</v>
      </c>
      <c r="AL203" s="293">
        <f t="shared" si="1146"/>
        <v>-68</v>
      </c>
      <c r="AM203" s="292">
        <f t="shared" si="1146"/>
        <v>-8.6184269662921356</v>
      </c>
      <c r="AN203" s="292">
        <f t="shared" si="976"/>
        <v>-81.671187077021756</v>
      </c>
      <c r="AO203" s="292">
        <f t="shared" si="977"/>
        <v>0.41686365596336827</v>
      </c>
      <c r="AP203" s="292">
        <f t="shared" si="977"/>
        <v>-9.5216494032958536</v>
      </c>
      <c r="AQ203" s="292">
        <f t="shared" ref="AQ203:AR203" si="1147">SUM(AQ212,AQ221,AQ230)</f>
        <v>-90.28961404331389</v>
      </c>
      <c r="AR203" s="292">
        <f t="shared" si="1147"/>
        <v>-89.872750387350521</v>
      </c>
      <c r="AS203" s="293">
        <f t="shared" ref="AS203:AT203" si="1148">SUM(AS212,AS221,AS230)</f>
        <v>-99.394399790646375</v>
      </c>
      <c r="AT203" s="292">
        <f t="shared" si="1148"/>
        <v>0</v>
      </c>
      <c r="AU203" s="292">
        <f t="shared" si="1104"/>
        <v>-55</v>
      </c>
      <c r="AV203" s="292">
        <f t="shared" ref="AV203:AY203" si="1149">SUM(AV212,AV221,AV230)</f>
        <v>-5</v>
      </c>
      <c r="AW203" s="292">
        <f t="shared" si="978"/>
        <v>60</v>
      </c>
      <c r="AX203" s="292">
        <f t="shared" si="1083"/>
        <v>-55</v>
      </c>
      <c r="AY203" s="292">
        <f t="shared" si="1149"/>
        <v>-60</v>
      </c>
      <c r="AZ203" s="292">
        <f t="shared" ref="AZ203:BA203" si="1150">SUM(AZ212,AZ221,AZ230)</f>
        <v>0</v>
      </c>
      <c r="BA203" s="292">
        <f t="shared" si="1150"/>
        <v>0</v>
      </c>
      <c r="BB203" s="292">
        <f t="shared" ref="BB203:BC203" si="1151">SUM(BB212,BB221,BB230)</f>
        <v>0</v>
      </c>
      <c r="BC203" s="292">
        <f t="shared" si="1151"/>
        <v>0</v>
      </c>
      <c r="BD203" s="292">
        <f t="shared" ref="BD203" si="1152">SUM(BD212,BD221,BD230)</f>
        <v>0</v>
      </c>
      <c r="BE203" s="292">
        <f t="shared" ref="BE203:BF203" si="1153">SUM(BE212,BE221,BE230)</f>
        <v>0</v>
      </c>
      <c r="BF203" s="292">
        <f t="shared" si="1153"/>
        <v>0</v>
      </c>
      <c r="BG203" s="292">
        <f t="shared" ref="BG203:BH203" si="1154">SUM(BG212,BG221,BG230)</f>
        <v>0</v>
      </c>
      <c r="BH203" s="292">
        <f t="shared" si="1154"/>
        <v>0</v>
      </c>
      <c r="BI203" s="292">
        <f t="shared" ref="BI203:BL203" si="1155">SUM(BI212,BI221,BI230)</f>
        <v>0</v>
      </c>
      <c r="BJ203" s="292">
        <f t="shared" si="1155"/>
        <v>0</v>
      </c>
      <c r="BK203" s="292">
        <f t="shared" si="1155"/>
        <v>0</v>
      </c>
      <c r="BL203" s="292">
        <f t="shared" si="1155"/>
        <v>0</v>
      </c>
      <c r="BM203" s="292">
        <f t="shared" ref="BM203:BN203" si="1156">SUM(BM212,BM221,BM230)</f>
        <v>0</v>
      </c>
      <c r="BN203" s="292">
        <f t="shared" si="1156"/>
        <v>0</v>
      </c>
      <c r="BO203" s="292">
        <f t="shared" ref="BO203:BS203" si="1157">SUM(BO212,BO221,BO230)</f>
        <v>0</v>
      </c>
      <c r="BP203" s="292">
        <f t="shared" si="1157"/>
        <v>0</v>
      </c>
      <c r="BQ203" s="292">
        <f t="shared" si="1157"/>
        <v>0</v>
      </c>
      <c r="BR203" s="292">
        <f t="shared" si="1157"/>
        <v>0</v>
      </c>
      <c r="BS203" s="292">
        <f t="shared" si="1157"/>
        <v>0</v>
      </c>
      <c r="BT203" s="292">
        <f t="shared" ref="BT203:BU203" si="1158">SUM(BT212,BT221,BT230)</f>
        <v>0</v>
      </c>
      <c r="BU203" s="292">
        <f t="shared" si="1158"/>
        <v>0</v>
      </c>
      <c r="BV203" s="292">
        <f t="shared" ref="BV203:BY203" si="1159">SUM(BV212,BV221,BV230)</f>
        <v>0</v>
      </c>
      <c r="BW203" s="292">
        <f t="shared" si="1159"/>
        <v>0</v>
      </c>
      <c r="BX203" s="292">
        <f t="shared" si="1159"/>
        <v>0</v>
      </c>
      <c r="BY203" s="292">
        <f t="shared" si="1159"/>
        <v>0</v>
      </c>
      <c r="BZ203" s="292">
        <f t="shared" ref="BZ203:CA203" si="1160">SUM(BZ212,BZ221,BZ230)</f>
        <v>0</v>
      </c>
      <c r="CA203" s="292">
        <f t="shared" si="1160"/>
        <v>0</v>
      </c>
      <c r="CB203" s="292">
        <f t="shared" ref="CB203:CC203" si="1161">SUM(CB212,CB221,CB230)</f>
        <v>0</v>
      </c>
      <c r="CC203" s="292">
        <f t="shared" si="1161"/>
        <v>0</v>
      </c>
      <c r="CD203" s="292">
        <f t="shared" ref="CD203" si="1162">SUM(CD212,CD221,CD230)</f>
        <v>0</v>
      </c>
      <c r="CE203" s="292">
        <f t="shared" ref="CE203:CG203" si="1163">SUM(CE212,CE221,CE230)</f>
        <v>0</v>
      </c>
      <c r="CF203" s="292">
        <f t="shared" si="1163"/>
        <v>0</v>
      </c>
      <c r="CG203" s="292">
        <f t="shared" si="1163"/>
        <v>0</v>
      </c>
      <c r="CH203" s="292">
        <f t="shared" ref="CH203:CI203" si="1164">SUM(CH212,CH221,CH230)</f>
        <v>0</v>
      </c>
      <c r="CI203" s="292">
        <f t="shared" si="1164"/>
        <v>0</v>
      </c>
      <c r="CJ203" s="292">
        <v>0</v>
      </c>
      <c r="CK203" s="292">
        <f t="shared" ref="CK203" si="1165">SUM(CK212,CK221,CK230)</f>
        <v>0</v>
      </c>
      <c r="CL203" s="292">
        <f t="shared" ref="CL203:CO203" si="1166">SUM(CL212,CL221,CL230)</f>
        <v>0</v>
      </c>
      <c r="CM203" s="292">
        <f t="shared" si="1166"/>
        <v>0</v>
      </c>
      <c r="CN203" s="292">
        <f t="shared" si="1166"/>
        <v>0</v>
      </c>
      <c r="CO203" s="292">
        <f t="shared" si="1166"/>
        <v>0</v>
      </c>
    </row>
    <row r="204" spans="1:93" s="289" customFormat="1" x14ac:dyDescent="0.25">
      <c r="A204" s="455" t="str">
        <f>Language!C159</f>
        <v>Concebra</v>
      </c>
      <c r="B204" s="289">
        <f t="shared" ref="B204:P204" si="1167">SUM(B213,B222,B231)</f>
        <v>0</v>
      </c>
      <c r="C204" s="289">
        <f t="shared" si="1167"/>
        <v>0</v>
      </c>
      <c r="D204" s="289">
        <f t="shared" si="1167"/>
        <v>0</v>
      </c>
      <c r="E204" s="289">
        <f t="shared" si="1167"/>
        <v>0</v>
      </c>
      <c r="F204" s="290">
        <f t="shared" si="1167"/>
        <v>0</v>
      </c>
      <c r="G204" s="289">
        <f t="shared" si="1167"/>
        <v>0</v>
      </c>
      <c r="H204" s="289">
        <f t="shared" si="1167"/>
        <v>0</v>
      </c>
      <c r="I204" s="289">
        <f t="shared" si="1167"/>
        <v>0</v>
      </c>
      <c r="J204" s="290">
        <f t="shared" si="1167"/>
        <v>0</v>
      </c>
      <c r="K204" s="289">
        <f t="shared" si="1167"/>
        <v>0</v>
      </c>
      <c r="L204" s="289">
        <f t="shared" si="1167"/>
        <v>0</v>
      </c>
      <c r="M204" s="289">
        <f t="shared" si="1167"/>
        <v>0</v>
      </c>
      <c r="N204" s="290">
        <f t="shared" si="1167"/>
        <v>-2581</v>
      </c>
      <c r="O204" s="289">
        <f t="shared" si="1167"/>
        <v>199</v>
      </c>
      <c r="P204" s="289">
        <f t="shared" si="1167"/>
        <v>-1770</v>
      </c>
      <c r="Q204" s="289">
        <f t="shared" ref="Q204:AM204" si="1168">SUM(Q213,Q222,Q231)</f>
        <v>-2836</v>
      </c>
      <c r="R204" s="290">
        <f t="shared" si="1168"/>
        <v>-12178</v>
      </c>
      <c r="S204" s="291">
        <f t="shared" si="1168"/>
        <v>-4299</v>
      </c>
      <c r="T204" s="291">
        <f t="shared" si="1168"/>
        <v>-14694</v>
      </c>
      <c r="U204" s="291">
        <f t="shared" si="1168"/>
        <v>-15541</v>
      </c>
      <c r="V204" s="291">
        <f t="shared" si="1168"/>
        <v>-16477</v>
      </c>
      <c r="W204" s="292">
        <f t="shared" si="1168"/>
        <v>-31171</v>
      </c>
      <c r="X204" s="293">
        <f t="shared" si="1168"/>
        <v>-46712</v>
      </c>
      <c r="Y204" s="294">
        <f t="shared" si="1168"/>
        <v>-10300</v>
      </c>
      <c r="Z204" s="292">
        <f t="shared" si="1168"/>
        <v>-9711</v>
      </c>
      <c r="AA204" s="291">
        <f t="shared" si="1168"/>
        <v>-7778</v>
      </c>
      <c r="AB204" s="291">
        <f t="shared" si="1168"/>
        <v>-15194</v>
      </c>
      <c r="AC204" s="292">
        <f t="shared" si="1168"/>
        <v>-20011</v>
      </c>
      <c r="AD204" s="292">
        <f t="shared" si="1168"/>
        <v>-27789</v>
      </c>
      <c r="AE204" s="293">
        <f t="shared" si="1168"/>
        <v>-42983</v>
      </c>
      <c r="AF204" s="292">
        <f t="shared" si="1168"/>
        <v>-9337.924032082652</v>
      </c>
      <c r="AG204" s="292">
        <f t="shared" si="584"/>
        <v>-16932.473214443053</v>
      </c>
      <c r="AH204" s="292">
        <f t="shared" si="974"/>
        <v>-12475.618976072561</v>
      </c>
      <c r="AI204" s="292">
        <f t="shared" si="975"/>
        <v>-9865.983777401736</v>
      </c>
      <c r="AJ204" s="292">
        <f t="shared" si="1168"/>
        <v>-26270.397246525703</v>
      </c>
      <c r="AK204" s="292">
        <f t="shared" si="1168"/>
        <v>-38746.016222598264</v>
      </c>
      <c r="AL204" s="293">
        <f t="shared" si="1168"/>
        <v>-48612</v>
      </c>
      <c r="AM204" s="292">
        <f t="shared" si="1168"/>
        <v>-6477.9959550561798</v>
      </c>
      <c r="AN204" s="292">
        <f t="shared" si="976"/>
        <v>-8632.5782910534817</v>
      </c>
      <c r="AO204" s="292">
        <f t="shared" si="977"/>
        <v>-6881.7105119924654</v>
      </c>
      <c r="AP204" s="292">
        <f t="shared" si="977"/>
        <v>-6142.2883842425726</v>
      </c>
      <c r="AQ204" s="292">
        <f t="shared" ref="AQ204:AR204" si="1169">SUM(AQ213,AQ222,AQ231)</f>
        <v>-15110.574246109662</v>
      </c>
      <c r="AR204" s="292">
        <f t="shared" si="1169"/>
        <v>-21992.284758102127</v>
      </c>
      <c r="AS204" s="293">
        <f t="shared" ref="AS204:AT204" si="1170">SUM(AS213,AS222,AS231)</f>
        <v>-28134.5731423447</v>
      </c>
      <c r="AT204" s="292">
        <f t="shared" si="1170"/>
        <v>-7531</v>
      </c>
      <c r="AU204" s="292">
        <f t="shared" si="1104"/>
        <v>-12850</v>
      </c>
      <c r="AV204" s="292">
        <f t="shared" ref="AV204:AY204" si="1171">SUM(AV213,AV222,AV231)</f>
        <v>-14072</v>
      </c>
      <c r="AW204" s="292">
        <f t="shared" si="978"/>
        <v>-8666</v>
      </c>
      <c r="AX204" s="292">
        <f t="shared" si="1083"/>
        <v>-20381</v>
      </c>
      <c r="AY204" s="292">
        <f t="shared" si="1171"/>
        <v>-34453</v>
      </c>
      <c r="AZ204" s="292">
        <f t="shared" ref="AZ204:BA204" si="1172">SUM(AZ213,AZ222,AZ231)</f>
        <v>-43119</v>
      </c>
      <c r="BA204" s="292">
        <f t="shared" si="1172"/>
        <v>-8813</v>
      </c>
      <c r="BB204" s="292">
        <f t="shared" ref="BB204:BC204" si="1173">SUM(BB213,BB222,BB231)</f>
        <v>-9090</v>
      </c>
      <c r="BC204" s="292">
        <f t="shared" si="1173"/>
        <v>-10020</v>
      </c>
      <c r="BD204" s="292">
        <f t="shared" ref="BD204" si="1174">SUM(BD213,BD222,BD231)</f>
        <v>213328</v>
      </c>
      <c r="BE204" s="292">
        <f t="shared" ref="BE204:BF204" si="1175">SUM(BE213,BE222,BE231)</f>
        <v>-17903</v>
      </c>
      <c r="BF204" s="292">
        <f t="shared" si="1175"/>
        <v>-27923</v>
      </c>
      <c r="BG204" s="292">
        <f t="shared" ref="BG204:BH204" si="1176">SUM(BG213,BG222,BG231)</f>
        <v>185405</v>
      </c>
      <c r="BH204" s="292">
        <f t="shared" si="1176"/>
        <v>-2731</v>
      </c>
      <c r="BI204" s="292">
        <f t="shared" ref="BI204:BL204" si="1177">SUM(BI213,BI222,BI231)</f>
        <v>-6741</v>
      </c>
      <c r="BJ204" s="292">
        <f t="shared" si="1177"/>
        <v>-7171</v>
      </c>
      <c r="BK204" s="292">
        <f t="shared" si="1177"/>
        <v>-5722</v>
      </c>
      <c r="BL204" s="292">
        <f t="shared" si="1177"/>
        <v>-9472</v>
      </c>
      <c r="BM204" s="292">
        <f t="shared" ref="BM204:BN204" si="1178">SUM(BM213,BM222,BM231)</f>
        <v>-16643</v>
      </c>
      <c r="BN204" s="292">
        <f t="shared" si="1178"/>
        <v>-22365</v>
      </c>
      <c r="BO204" s="292">
        <f t="shared" ref="BO204:BS204" si="1179">SUM(BO213,BO222,BO231)</f>
        <v>-4608</v>
      </c>
      <c r="BP204" s="292">
        <f t="shared" si="1179"/>
        <v>-10841</v>
      </c>
      <c r="BQ204" s="292">
        <f t="shared" si="1179"/>
        <v>-12666</v>
      </c>
      <c r="BR204" s="292">
        <f t="shared" si="1179"/>
        <v>4321</v>
      </c>
      <c r="BS204" s="292">
        <f t="shared" si="1179"/>
        <v>-15449</v>
      </c>
      <c r="BT204" s="292">
        <f t="shared" ref="BT204:BU204" si="1180">SUM(BT213,BT222,BT231)</f>
        <v>-28115</v>
      </c>
      <c r="BU204" s="292">
        <f t="shared" si="1180"/>
        <v>-23794</v>
      </c>
      <c r="BV204" s="292">
        <f t="shared" ref="BV204:BY204" si="1181">SUM(BV213,BV222,BV231)</f>
        <v>-12698</v>
      </c>
      <c r="BW204" s="292">
        <f t="shared" si="1181"/>
        <v>-5919</v>
      </c>
      <c r="BX204" s="292">
        <f t="shared" si="1181"/>
        <v>-8573</v>
      </c>
      <c r="BY204" s="292">
        <f t="shared" si="1181"/>
        <v>-1024</v>
      </c>
      <c r="BZ204" s="292">
        <f t="shared" ref="BZ204:CA204" si="1182">SUM(BZ213,BZ222,BZ231)</f>
        <v>-18617</v>
      </c>
      <c r="CA204" s="292">
        <f t="shared" si="1182"/>
        <v>-27190</v>
      </c>
      <c r="CB204" s="292">
        <f t="shared" ref="CB204:CC204" si="1183">SUM(CB213,CB222,CB231)</f>
        <v>-28214</v>
      </c>
      <c r="CC204" s="292">
        <f t="shared" si="1183"/>
        <v>-8109</v>
      </c>
      <c r="CD204" s="292">
        <f t="shared" ref="CD204" si="1184">SUM(CD213,CD222,CD231)</f>
        <v>-10425</v>
      </c>
      <c r="CE204" s="292">
        <f t="shared" ref="CE204:CG204" si="1185">SUM(CE213,CE222,CE231)</f>
        <v>-23541</v>
      </c>
      <c r="CF204" s="292">
        <f t="shared" si="1185"/>
        <v>-16357</v>
      </c>
      <c r="CG204" s="292">
        <f t="shared" si="1185"/>
        <v>-18534</v>
      </c>
      <c r="CH204" s="292">
        <f t="shared" ref="CH204:CI204" si="1186">SUM(CH213,CH222,CH231)</f>
        <v>-42075</v>
      </c>
      <c r="CI204" s="292">
        <f t="shared" si="1186"/>
        <v>-58432</v>
      </c>
      <c r="CJ204" s="292">
        <v>-17893</v>
      </c>
      <c r="CK204" s="292">
        <f t="shared" ref="CK204" si="1187">SUM(CK213,CK222,CK231)</f>
        <v>-14881</v>
      </c>
      <c r="CL204" s="292">
        <f t="shared" ref="CL204:CO204" si="1188">SUM(CL213,CL222,CL231)</f>
        <v>0</v>
      </c>
      <c r="CM204" s="292">
        <f t="shared" si="1188"/>
        <v>0</v>
      </c>
      <c r="CN204" s="292">
        <f t="shared" si="1188"/>
        <v>-32774</v>
      </c>
      <c r="CO204" s="292">
        <f t="shared" si="1188"/>
        <v>0</v>
      </c>
    </row>
    <row r="205" spans="1:93" s="289" customFormat="1" x14ac:dyDescent="0.25">
      <c r="A205" s="455" t="str">
        <f>Language!C160</f>
        <v>Transbrasiliana</v>
      </c>
      <c r="B205" s="289">
        <f t="shared" ref="B205:P205" si="1189">SUM(B214,B223,B232)</f>
        <v>0</v>
      </c>
      <c r="C205" s="289">
        <f t="shared" si="1189"/>
        <v>0</v>
      </c>
      <c r="D205" s="289">
        <f t="shared" si="1189"/>
        <v>0</v>
      </c>
      <c r="E205" s="289">
        <f t="shared" si="1189"/>
        <v>0</v>
      </c>
      <c r="F205" s="290">
        <f t="shared" si="1189"/>
        <v>0</v>
      </c>
      <c r="G205" s="289">
        <f t="shared" si="1189"/>
        <v>0</v>
      </c>
      <c r="H205" s="289">
        <f t="shared" si="1189"/>
        <v>0</v>
      </c>
      <c r="I205" s="289">
        <f t="shared" si="1189"/>
        <v>0</v>
      </c>
      <c r="J205" s="290">
        <f t="shared" si="1189"/>
        <v>0</v>
      </c>
      <c r="K205" s="289">
        <f t="shared" si="1189"/>
        <v>0</v>
      </c>
      <c r="L205" s="289">
        <f t="shared" si="1189"/>
        <v>0</v>
      </c>
      <c r="M205" s="289">
        <f t="shared" si="1189"/>
        <v>0</v>
      </c>
      <c r="N205" s="290">
        <f t="shared" si="1189"/>
        <v>0</v>
      </c>
      <c r="O205" s="289">
        <f t="shared" si="1189"/>
        <v>0</v>
      </c>
      <c r="P205" s="289">
        <f t="shared" si="1189"/>
        <v>0</v>
      </c>
      <c r="Q205" s="289">
        <f t="shared" ref="Q205:AM205" si="1190">SUM(Q214,Q223,Q232)</f>
        <v>0</v>
      </c>
      <c r="R205" s="290">
        <f t="shared" si="1190"/>
        <v>15530</v>
      </c>
      <c r="S205" s="291">
        <f t="shared" si="1190"/>
        <v>-3543</v>
      </c>
      <c r="T205" s="291">
        <f t="shared" si="1190"/>
        <v>-4025</v>
      </c>
      <c r="U205" s="291">
        <f t="shared" si="1190"/>
        <v>-4440</v>
      </c>
      <c r="V205" s="291">
        <f t="shared" si="1190"/>
        <v>11987</v>
      </c>
      <c r="W205" s="292">
        <f t="shared" si="1190"/>
        <v>7962</v>
      </c>
      <c r="X205" s="293">
        <f t="shared" si="1190"/>
        <v>3522</v>
      </c>
      <c r="Y205" s="294">
        <f t="shared" si="1190"/>
        <v>-4247</v>
      </c>
      <c r="Z205" s="292">
        <f t="shared" si="1190"/>
        <v>-6537</v>
      </c>
      <c r="AA205" s="291">
        <f t="shared" si="1190"/>
        <v>-6987</v>
      </c>
      <c r="AB205" s="291">
        <f t="shared" si="1190"/>
        <v>-219</v>
      </c>
      <c r="AC205" s="292">
        <f t="shared" si="1190"/>
        <v>-10784</v>
      </c>
      <c r="AD205" s="292">
        <f t="shared" si="1190"/>
        <v>-17771</v>
      </c>
      <c r="AE205" s="293">
        <f t="shared" si="1190"/>
        <v>-17990</v>
      </c>
      <c r="AF205" s="292">
        <f t="shared" si="1190"/>
        <v>-4795.4962518204102</v>
      </c>
      <c r="AG205" s="292">
        <f t="shared" si="584"/>
        <v>-8943.6984124920709</v>
      </c>
      <c r="AH205" s="292">
        <f t="shared" si="974"/>
        <v>-7596.3009173019327</v>
      </c>
      <c r="AI205" s="292">
        <f t="shared" si="975"/>
        <v>-1622.5107822691862</v>
      </c>
      <c r="AJ205" s="292">
        <f t="shared" si="1190"/>
        <v>-13739.194664312481</v>
      </c>
      <c r="AK205" s="292">
        <f t="shared" si="1190"/>
        <v>-21335.495581614414</v>
      </c>
      <c r="AL205" s="293">
        <f t="shared" si="1190"/>
        <v>-22958.0063638836</v>
      </c>
      <c r="AM205" s="292">
        <f t="shared" si="1190"/>
        <v>-4426.3465168539333</v>
      </c>
      <c r="AN205" s="292">
        <f t="shared" si="976"/>
        <v>-7017.6757115550572</v>
      </c>
      <c r="AO205" s="292">
        <f t="shared" si="977"/>
        <v>-8624.8907986413178</v>
      </c>
      <c r="AP205" s="292">
        <f t="shared" si="977"/>
        <v>-5220.2942627229895</v>
      </c>
      <c r="AQ205" s="292">
        <f>SUM(AQ214,AQ223,AQ232)</f>
        <v>-11444.02222840899</v>
      </c>
      <c r="AR205" s="292">
        <f t="shared" ref="AR205:AS205" si="1191">SUM(AR214,AR223,AR232)</f>
        <v>-20068.913027050308</v>
      </c>
      <c r="AS205" s="293">
        <f t="shared" si="1191"/>
        <v>-25289.207289773298</v>
      </c>
      <c r="AT205" s="292">
        <f t="shared" ref="AT205" si="1192">SUM(AT214,AT223,AT232)</f>
        <v>-4172</v>
      </c>
      <c r="AU205" s="292">
        <f t="shared" si="1104"/>
        <v>-14096</v>
      </c>
      <c r="AV205" s="292">
        <f t="shared" ref="AV205:AY205" si="1193">SUM(AV214,AV223,AV232)</f>
        <v>4473</v>
      </c>
      <c r="AW205" s="292">
        <f t="shared" si="978"/>
        <v>-5554</v>
      </c>
      <c r="AX205" s="292">
        <f t="shared" si="1193"/>
        <v>-18268</v>
      </c>
      <c r="AY205" s="292">
        <f t="shared" si="1193"/>
        <v>-15311</v>
      </c>
      <c r="AZ205" s="292">
        <f t="shared" ref="AZ205:BA205" si="1194">SUM(AZ214,AZ223,AZ232)</f>
        <v>-20865</v>
      </c>
      <c r="BA205" s="292">
        <f t="shared" si="1194"/>
        <v>-5707</v>
      </c>
      <c r="BB205" s="292">
        <f t="shared" ref="BB205:BC205" si="1195">SUM(BB214,BB223,BB232)</f>
        <v>-3697</v>
      </c>
      <c r="BC205" s="292">
        <f t="shared" si="1195"/>
        <v>-5091</v>
      </c>
      <c r="BD205" s="292">
        <f t="shared" ref="BD205" si="1196">SUM(BD214,BD223,BD232)</f>
        <v>-5839</v>
      </c>
      <c r="BE205" s="292">
        <f t="shared" ref="BE205:BF205" si="1197">SUM(BE214,BE223,BE232)</f>
        <v>-9404</v>
      </c>
      <c r="BF205" s="515">
        <f t="shared" si="1197"/>
        <v>-14495</v>
      </c>
      <c r="BG205" s="515">
        <f t="shared" ref="BG205:BH205" si="1198">SUM(BG214,BG223,BG232)</f>
        <v>-20334</v>
      </c>
      <c r="BH205" s="515">
        <f t="shared" si="1198"/>
        <v>-11824</v>
      </c>
      <c r="BI205" s="515">
        <f t="shared" ref="BI205:BL205" si="1199">SUM(BI214,BI223,BI232)</f>
        <v>-5258</v>
      </c>
      <c r="BJ205" s="515">
        <f t="shared" si="1199"/>
        <v>-8147</v>
      </c>
      <c r="BK205" s="515">
        <f t="shared" si="1199"/>
        <v>-4720</v>
      </c>
      <c r="BL205" s="515">
        <f t="shared" si="1199"/>
        <v>-17082</v>
      </c>
      <c r="BM205" s="515">
        <f t="shared" ref="BM205:BN205" si="1200">SUM(BM214,BM223,BM232)</f>
        <v>-25229</v>
      </c>
      <c r="BN205" s="515">
        <f t="shared" si="1200"/>
        <v>-29949</v>
      </c>
      <c r="BO205" s="515">
        <f t="shared" ref="BO205:BS205" si="1201">SUM(BO214,BO223,BO232)</f>
        <v>-6369</v>
      </c>
      <c r="BP205" s="515">
        <f t="shared" si="1201"/>
        <v>-2249</v>
      </c>
      <c r="BQ205" s="515">
        <f t="shared" si="1201"/>
        <v>-6362</v>
      </c>
      <c r="BR205" s="515">
        <f t="shared" si="1201"/>
        <v>-6353</v>
      </c>
      <c r="BS205" s="515">
        <f t="shared" si="1201"/>
        <v>-8618</v>
      </c>
      <c r="BT205" s="515">
        <f t="shared" ref="BT205:BU205" si="1202">SUM(BT214,BT223,BT232)</f>
        <v>-14980</v>
      </c>
      <c r="BU205" s="515">
        <f t="shared" si="1202"/>
        <v>-21333</v>
      </c>
      <c r="BV205" s="515">
        <f t="shared" ref="BV205:BY205" si="1203">SUM(BV214,BV223,BV232)</f>
        <v>-7132</v>
      </c>
      <c r="BW205" s="515">
        <f t="shared" si="1203"/>
        <v>-8992</v>
      </c>
      <c r="BX205" s="515">
        <f t="shared" si="1203"/>
        <v>-9250</v>
      </c>
      <c r="BY205" s="515">
        <f t="shared" si="1203"/>
        <v>-8086</v>
      </c>
      <c r="BZ205" s="515">
        <f t="shared" ref="BZ205:CA205" si="1204">SUM(BZ214,BZ223,BZ232)</f>
        <v>-16124</v>
      </c>
      <c r="CA205" s="515">
        <f t="shared" si="1204"/>
        <v>-25374</v>
      </c>
      <c r="CB205" s="515">
        <f t="shared" ref="CB205:CC205" si="1205">SUM(CB214,CB223,CB232)</f>
        <v>-33460</v>
      </c>
      <c r="CC205" s="515">
        <f t="shared" si="1205"/>
        <v>-8677</v>
      </c>
      <c r="CD205" s="515">
        <f t="shared" ref="CD205" si="1206">SUM(CD214,CD223,CD232)</f>
        <v>-8235</v>
      </c>
      <c r="CE205" s="515">
        <f t="shared" ref="CE205:CG205" si="1207">SUM(CE214,CE223,CE232)</f>
        <v>-9152</v>
      </c>
      <c r="CF205" s="515">
        <f t="shared" si="1207"/>
        <v>-7632</v>
      </c>
      <c r="CG205" s="515">
        <f t="shared" si="1207"/>
        <v>-16912</v>
      </c>
      <c r="CH205" s="515">
        <f t="shared" ref="CH205:CI205" si="1208">SUM(CH214,CH223,CH232)</f>
        <v>-26064</v>
      </c>
      <c r="CI205" s="515">
        <f t="shared" si="1208"/>
        <v>-33696</v>
      </c>
      <c r="CJ205" s="515">
        <v>-30150</v>
      </c>
      <c r="CK205" s="515">
        <f>SUM(CK214,CK223,CK232)</f>
        <v>-7979</v>
      </c>
      <c r="CL205" s="515">
        <f t="shared" ref="CL205:CO205" si="1209">SUM(CL214,CL223,CL232)</f>
        <v>0</v>
      </c>
      <c r="CM205" s="515">
        <f t="shared" si="1209"/>
        <v>0</v>
      </c>
      <c r="CN205" s="515">
        <f t="shared" si="1209"/>
        <v>-38129</v>
      </c>
      <c r="CO205" s="515">
        <f t="shared" si="1209"/>
        <v>0</v>
      </c>
    </row>
    <row r="206" spans="1:93" s="289" customFormat="1" x14ac:dyDescent="0.25">
      <c r="A206" s="455" t="s">
        <v>670</v>
      </c>
      <c r="F206" s="290"/>
      <c r="J206" s="290"/>
      <c r="N206" s="290"/>
      <c r="R206" s="290"/>
      <c r="S206" s="291"/>
      <c r="T206" s="291"/>
      <c r="U206" s="291"/>
      <c r="V206" s="291"/>
      <c r="W206" s="292"/>
      <c r="X206" s="293"/>
      <c r="Y206" s="294"/>
      <c r="Z206" s="292"/>
      <c r="AA206" s="291"/>
      <c r="AB206" s="291"/>
      <c r="AC206" s="292"/>
      <c r="AD206" s="292"/>
      <c r="AE206" s="293"/>
      <c r="AF206" s="292"/>
      <c r="AG206" s="292">
        <f t="shared" si="584"/>
        <v>0</v>
      </c>
      <c r="AH206" s="292">
        <f t="shared" si="974"/>
        <v>0</v>
      </c>
      <c r="AI206" s="292">
        <f t="shared" si="975"/>
        <v>0</v>
      </c>
      <c r="AJ206" s="292"/>
      <c r="AK206" s="292"/>
      <c r="AL206" s="293"/>
      <c r="AM206" s="292">
        <f>SUM(AM215,AM224,AM233)</f>
        <v>-620.44449438202253</v>
      </c>
      <c r="AN206" s="292">
        <f t="shared" si="976"/>
        <v>-368.43441427196444</v>
      </c>
      <c r="AO206" s="292">
        <f t="shared" si="977"/>
        <v>-413.08763949915635</v>
      </c>
      <c r="AP206" s="292">
        <f t="shared" si="977"/>
        <v>-400.65646914431909</v>
      </c>
      <c r="AQ206" s="292">
        <f>SUM(AQ215,AQ224,AQ233)</f>
        <v>-988.87890865398697</v>
      </c>
      <c r="AR206" s="292">
        <f t="shared" ref="AR206:AS206" si="1210">SUM(AR215,AR224,AR233)</f>
        <v>-1401.9665481531433</v>
      </c>
      <c r="AS206" s="293">
        <f t="shared" si="1210"/>
        <v>-1802.6230172974624</v>
      </c>
      <c r="AT206" s="292">
        <f t="shared" ref="AT206" si="1211">SUM(AT215,AT224,AT233)</f>
        <v>0</v>
      </c>
      <c r="AU206" s="292">
        <f t="shared" si="1104"/>
        <v>-621</v>
      </c>
      <c r="AV206" s="292">
        <f t="shared" ref="AV206:AY206" si="1212">SUM(AV215,AV224,AV233)</f>
        <v>-314</v>
      </c>
      <c r="AW206" s="292">
        <f t="shared" si="978"/>
        <v>935</v>
      </c>
      <c r="AX206" s="292">
        <f t="shared" si="1083"/>
        <v>-621</v>
      </c>
      <c r="AY206" s="292">
        <f t="shared" si="1212"/>
        <v>-935</v>
      </c>
      <c r="AZ206" s="292">
        <f t="shared" ref="AZ206:BA206" si="1213">SUM(AZ215,AZ224,AZ233)</f>
        <v>0</v>
      </c>
      <c r="BA206" s="292">
        <f t="shared" si="1213"/>
        <v>0</v>
      </c>
      <c r="BB206" s="292">
        <f t="shared" ref="BB206:BC206" si="1214">SUM(BB215,BB224,BB233)</f>
        <v>0</v>
      </c>
      <c r="BC206" s="292">
        <f t="shared" si="1214"/>
        <v>0</v>
      </c>
      <c r="BD206" s="292">
        <f t="shared" ref="BD206" si="1215">SUM(BD215,BD224,BD233)</f>
        <v>0</v>
      </c>
      <c r="BE206" s="292">
        <f t="shared" ref="BE206" si="1216">SUM(BE215,BE224,BE233)</f>
        <v>0</v>
      </c>
      <c r="BF206" s="292">
        <f>SUM(BF215,BF224,BF233)</f>
        <v>0</v>
      </c>
      <c r="BG206" s="292">
        <f>SUM(BG215,BG224,BG233)</f>
        <v>0</v>
      </c>
      <c r="BH206" s="292">
        <f>SUM(BH215,BH224,BH233)</f>
        <v>0</v>
      </c>
      <c r="BI206" s="292">
        <f t="shared" ref="BI206:BL206" si="1217">SUM(BI215,BI224,BI233)</f>
        <v>0</v>
      </c>
      <c r="BJ206" s="292">
        <f t="shared" si="1217"/>
        <v>0</v>
      </c>
      <c r="BK206" s="292">
        <f t="shared" si="1217"/>
        <v>0</v>
      </c>
      <c r="BL206" s="292">
        <f t="shared" si="1217"/>
        <v>0</v>
      </c>
      <c r="BM206" s="292">
        <f t="shared" ref="BM206:BN206" si="1218">SUM(BM215,BM224,BM233)</f>
        <v>0</v>
      </c>
      <c r="BN206" s="292">
        <f t="shared" si="1218"/>
        <v>0</v>
      </c>
      <c r="BO206" s="292">
        <f t="shared" ref="BO206:BS207" si="1219">SUM(BO215,BO224,BO233)</f>
        <v>0</v>
      </c>
      <c r="BP206" s="292">
        <f t="shared" si="1219"/>
        <v>0</v>
      </c>
      <c r="BQ206" s="292">
        <f t="shared" si="1219"/>
        <v>0</v>
      </c>
      <c r="BR206" s="292">
        <f t="shared" si="1219"/>
        <v>0</v>
      </c>
      <c r="BS206" s="292">
        <f t="shared" si="1219"/>
        <v>0</v>
      </c>
      <c r="BT206" s="292">
        <f t="shared" ref="BT206:BU206" si="1220">SUM(BT215,BT224,BT233)</f>
        <v>0</v>
      </c>
      <c r="BU206" s="292">
        <f t="shared" si="1220"/>
        <v>0</v>
      </c>
      <c r="BV206" s="292">
        <f t="shared" ref="BV206:BY206" si="1221">SUM(BV215,BV224,BV233)</f>
        <v>0</v>
      </c>
      <c r="BW206" s="292">
        <f t="shared" si="1221"/>
        <v>0</v>
      </c>
      <c r="BX206" s="292">
        <f t="shared" si="1221"/>
        <v>0</v>
      </c>
      <c r="BY206" s="292">
        <f t="shared" si="1221"/>
        <v>0</v>
      </c>
      <c r="BZ206" s="292">
        <f t="shared" ref="BZ206:CA206" si="1222">SUM(BZ215,BZ224,BZ233)</f>
        <v>0</v>
      </c>
      <c r="CA206" s="292">
        <f t="shared" si="1222"/>
        <v>0</v>
      </c>
      <c r="CB206" s="292">
        <f t="shared" ref="CB206:CC206" si="1223">SUM(CB215,CB224,CB233)</f>
        <v>0</v>
      </c>
      <c r="CC206" s="292">
        <f t="shared" si="1223"/>
        <v>0</v>
      </c>
      <c r="CD206" s="292">
        <f t="shared" ref="CD206" si="1224">SUM(CD215,CD224,CD233)</f>
        <v>0</v>
      </c>
      <c r="CE206" s="292">
        <f t="shared" ref="CE206:CG206" si="1225">SUM(CE215,CE224,CE233)</f>
        <v>0</v>
      </c>
      <c r="CF206" s="292">
        <f t="shared" si="1225"/>
        <v>0</v>
      </c>
      <c r="CG206" s="292">
        <f t="shared" si="1225"/>
        <v>0</v>
      </c>
      <c r="CH206" s="292">
        <f t="shared" ref="CH206:CI206" si="1226">SUM(CH215,CH224,CH233)</f>
        <v>0</v>
      </c>
      <c r="CI206" s="292">
        <f t="shared" si="1226"/>
        <v>0</v>
      </c>
      <c r="CJ206" s="292">
        <v>0</v>
      </c>
      <c r="CK206" s="292">
        <f t="shared" ref="CK206" si="1227">SUM(CK215,CK224,CK233)</f>
        <v>0</v>
      </c>
      <c r="CL206" s="292">
        <f t="shared" ref="CL206:CO206" si="1228">SUM(CL215,CL224,CL233)</f>
        <v>0</v>
      </c>
      <c r="CM206" s="292">
        <f t="shared" si="1228"/>
        <v>0</v>
      </c>
      <c r="CN206" s="292">
        <f t="shared" si="1228"/>
        <v>0</v>
      </c>
      <c r="CO206" s="292">
        <f t="shared" si="1228"/>
        <v>0</v>
      </c>
    </row>
    <row r="207" spans="1:93" s="289" customFormat="1" x14ac:dyDescent="0.25">
      <c r="A207" s="713" t="s">
        <v>695</v>
      </c>
      <c r="F207" s="290"/>
      <c r="J207" s="290"/>
      <c r="N207" s="290"/>
      <c r="R207" s="290"/>
      <c r="S207" s="291"/>
      <c r="T207" s="291"/>
      <c r="U207" s="291"/>
      <c r="V207" s="291"/>
      <c r="W207" s="292"/>
      <c r="X207" s="293"/>
      <c r="Y207" s="294"/>
      <c r="Z207" s="292"/>
      <c r="AA207" s="291"/>
      <c r="AB207" s="291"/>
      <c r="AC207" s="292"/>
      <c r="AD207" s="292"/>
      <c r="AE207" s="293"/>
      <c r="AF207" s="292"/>
      <c r="AG207" s="292"/>
      <c r="AH207" s="292"/>
      <c r="AI207" s="292"/>
      <c r="AJ207" s="292"/>
      <c r="AK207" s="292"/>
      <c r="AL207" s="293"/>
      <c r="AM207" s="292"/>
      <c r="AN207" s="292"/>
      <c r="AO207" s="292"/>
      <c r="AP207" s="292"/>
      <c r="AQ207" s="292"/>
      <c r="AR207" s="292"/>
      <c r="AS207" s="293"/>
      <c r="AT207" s="292">
        <v>200</v>
      </c>
      <c r="AU207" s="292">
        <v>16161</v>
      </c>
      <c r="AV207" s="292"/>
      <c r="AW207" s="292"/>
      <c r="AX207" s="292">
        <v>16161</v>
      </c>
      <c r="AY207" s="292">
        <v>8458</v>
      </c>
      <c r="AZ207" s="292"/>
      <c r="BA207" s="292"/>
      <c r="BB207" s="292"/>
      <c r="BC207" s="292">
        <f>BF207-BE207</f>
        <v>565</v>
      </c>
      <c r="BD207" s="292">
        <f>BG207-BF207</f>
        <v>215</v>
      </c>
      <c r="BE207" s="292"/>
      <c r="BF207" s="292">
        <v>565</v>
      </c>
      <c r="BG207" s="292">
        <v>780</v>
      </c>
      <c r="BH207" s="292">
        <v>194</v>
      </c>
      <c r="BI207" s="292">
        <f>BL207-BH207</f>
        <v>194</v>
      </c>
      <c r="BJ207" s="292">
        <f>BM207-BL207</f>
        <v>193</v>
      </c>
      <c r="BK207" s="292">
        <f>BN207-BM207</f>
        <v>195</v>
      </c>
      <c r="BL207" s="292">
        <v>388</v>
      </c>
      <c r="BM207" s="292">
        <v>581</v>
      </c>
      <c r="BN207" s="292">
        <v>776</v>
      </c>
      <c r="BO207" s="292"/>
      <c r="BP207" s="292">
        <f t="shared" si="1219"/>
        <v>95</v>
      </c>
      <c r="BQ207" s="292">
        <f t="shared" si="1219"/>
        <v>-95</v>
      </c>
      <c r="BR207" s="292"/>
      <c r="BS207" s="292">
        <v>95</v>
      </c>
      <c r="BT207" s="292"/>
      <c r="BU207" s="292"/>
      <c r="BV207" s="292"/>
      <c r="BW207" s="292"/>
      <c r="BX207" s="292"/>
      <c r="BY207" s="292"/>
      <c r="BZ207" s="292"/>
      <c r="CA207" s="292"/>
      <c r="CB207" s="292"/>
      <c r="CC207" s="292"/>
      <c r="CD207" s="292"/>
      <c r="CE207" s="292"/>
      <c r="CF207" s="292"/>
      <c r="CG207" s="292"/>
      <c r="CH207" s="292"/>
      <c r="CI207" s="292"/>
      <c r="CJ207" s="292"/>
      <c r="CK207" s="292"/>
      <c r="CL207" s="292"/>
      <c r="CM207" s="292"/>
      <c r="CN207" s="292"/>
      <c r="CO207" s="292"/>
    </row>
    <row r="208" spans="1:93" s="289" customFormat="1" x14ac:dyDescent="0.25">
      <c r="A208" s="484" t="str">
        <f>Language!C161</f>
        <v>Gerais e Administrativas</v>
      </c>
      <c r="B208" s="485">
        <f t="shared" ref="B208:AJ208" si="1229">SUM(B209,B210,B211,B212,B213,B214)</f>
        <v>-9016</v>
      </c>
      <c r="C208" s="485">
        <f t="shared" si="1229"/>
        <v>-10190</v>
      </c>
      <c r="D208" s="485">
        <f t="shared" si="1229"/>
        <v>-12620</v>
      </c>
      <c r="E208" s="485">
        <f t="shared" si="1229"/>
        <v>-8674</v>
      </c>
      <c r="F208" s="486">
        <f t="shared" si="1229"/>
        <v>-9964</v>
      </c>
      <c r="G208" s="485">
        <f t="shared" si="1229"/>
        <v>-11459</v>
      </c>
      <c r="H208" s="485">
        <f t="shared" si="1229"/>
        <v>-10076</v>
      </c>
      <c r="I208" s="485">
        <f t="shared" si="1229"/>
        <v>-13039</v>
      </c>
      <c r="J208" s="486">
        <f t="shared" si="1229"/>
        <v>-11693</v>
      </c>
      <c r="K208" s="485">
        <f t="shared" si="1229"/>
        <v>-13278</v>
      </c>
      <c r="L208" s="485">
        <f t="shared" si="1229"/>
        <v>-12187</v>
      </c>
      <c r="M208" s="485">
        <f t="shared" si="1229"/>
        <v>-16078</v>
      </c>
      <c r="N208" s="486">
        <f t="shared" si="1229"/>
        <v>-16847</v>
      </c>
      <c r="O208" s="485">
        <f t="shared" si="1229"/>
        <v>-19880</v>
      </c>
      <c r="P208" s="485">
        <f t="shared" si="1229"/>
        <v>-15395</v>
      </c>
      <c r="Q208" s="485">
        <f t="shared" si="1229"/>
        <v>-20492</v>
      </c>
      <c r="R208" s="486">
        <f t="shared" si="1229"/>
        <v>-19047</v>
      </c>
      <c r="S208" s="485">
        <f t="shared" si="1229"/>
        <v>-24435</v>
      </c>
      <c r="T208" s="485">
        <f t="shared" si="1229"/>
        <v>-29931</v>
      </c>
      <c r="U208" s="485">
        <f t="shared" si="1229"/>
        <v>-47040</v>
      </c>
      <c r="V208" s="485">
        <f t="shared" si="1229"/>
        <v>-43482</v>
      </c>
      <c r="W208" s="487">
        <f t="shared" si="1229"/>
        <v>-73413</v>
      </c>
      <c r="X208" s="488">
        <f t="shared" si="1229"/>
        <v>-120453</v>
      </c>
      <c r="Y208" s="489">
        <f t="shared" si="1229"/>
        <v>-33253</v>
      </c>
      <c r="Z208" s="487">
        <f t="shared" si="1229"/>
        <v>-34567</v>
      </c>
      <c r="AA208" s="485">
        <f t="shared" si="1229"/>
        <v>-33502</v>
      </c>
      <c r="AB208" s="485">
        <f t="shared" si="1229"/>
        <v>-40544</v>
      </c>
      <c r="AC208" s="487">
        <f t="shared" si="1229"/>
        <v>-67820</v>
      </c>
      <c r="AD208" s="487">
        <f t="shared" si="1229"/>
        <v>-101322</v>
      </c>
      <c r="AE208" s="488">
        <f t="shared" si="1229"/>
        <v>-141866</v>
      </c>
      <c r="AF208" s="487">
        <f t="shared" si="1229"/>
        <v>-30995.000000000004</v>
      </c>
      <c r="AG208" s="487">
        <f t="shared" ref="AG208:AG293" si="1230">AJ208-AF208</f>
        <v>-36339</v>
      </c>
      <c r="AH208" s="487">
        <f t="shared" si="974"/>
        <v>-55924.999999999985</v>
      </c>
      <c r="AI208" s="487">
        <f t="shared" si="975"/>
        <v>-24838.000000000015</v>
      </c>
      <c r="AJ208" s="487">
        <f t="shared" si="1229"/>
        <v>-67334</v>
      </c>
      <c r="AK208" s="487">
        <f>SUM(AK209,AK210,AK211,AK212,AK213,AK214)</f>
        <v>-123258.99999999999</v>
      </c>
      <c r="AL208" s="488">
        <f>SUM(AL209,AL210,AL211,AL212,AL213,AL214)</f>
        <v>-148097</v>
      </c>
      <c r="AM208" s="487">
        <f>SUM(AM209:AM215)</f>
        <v>-31274</v>
      </c>
      <c r="AN208" s="487">
        <f t="shared" si="976"/>
        <v>-40822.000000000015</v>
      </c>
      <c r="AO208" s="487">
        <f t="shared" si="977"/>
        <v>-33121.999999999985</v>
      </c>
      <c r="AP208" s="487">
        <f t="shared" si="977"/>
        <v>-33256</v>
      </c>
      <c r="AQ208" s="487">
        <f>SUM(AQ209:AQ215)</f>
        <v>-72096.000000000015</v>
      </c>
      <c r="AR208" s="487">
        <f>SUM(AR209:AR215)</f>
        <v>-105218</v>
      </c>
      <c r="AS208" s="488">
        <f>SUM(AS209:AS215)</f>
        <v>-138474</v>
      </c>
      <c r="AT208" s="487">
        <f>SUM(AT209:AT215)</f>
        <v>-19423.962599999999</v>
      </c>
      <c r="AU208" s="487">
        <f>SUM(AU209:AU216)</f>
        <v>-29033.531000000003</v>
      </c>
      <c r="AV208" s="487">
        <f>SUM(AV209:AV215)</f>
        <v>-17620.462599999999</v>
      </c>
      <c r="AW208" s="487">
        <f t="shared" si="978"/>
        <v>-34624.407200000001</v>
      </c>
      <c r="AX208" s="487">
        <f>SUM(AX209:AX216)</f>
        <v>-48457.493600000002</v>
      </c>
      <c r="AY208" s="487">
        <f>SUM(AY209:AY216)</f>
        <v>-73263.956200000001</v>
      </c>
      <c r="AZ208" s="487">
        <f>SUM(AZ209:AZ215)-1</f>
        <v>-107888.3634</v>
      </c>
      <c r="BA208" s="487">
        <f t="shared" ref="BA208:BE208" si="1231">SUM(BA209:BA215)</f>
        <v>-23154</v>
      </c>
      <c r="BB208" s="487">
        <f t="shared" si="1231"/>
        <v>-17365</v>
      </c>
      <c r="BC208" s="487">
        <f>SUM(BC209:BC216)</f>
        <v>-23453</v>
      </c>
      <c r="BD208" s="487">
        <f t="shared" si="1231"/>
        <v>-23296</v>
      </c>
      <c r="BE208" s="487">
        <f t="shared" si="1231"/>
        <v>-40519</v>
      </c>
      <c r="BF208" s="487">
        <f>SUM(BF209:BF216)</f>
        <v>-63972</v>
      </c>
      <c r="BG208" s="487">
        <f>SUM(BG209:BG216)</f>
        <v>-87051</v>
      </c>
      <c r="BH208" s="487">
        <f>SUM(BH209:BH216)</f>
        <v>-29554</v>
      </c>
      <c r="BI208" s="487">
        <f t="shared" ref="BI208:BL208" si="1232">SUM(BI209:BI216)</f>
        <v>-24090</v>
      </c>
      <c r="BJ208" s="487">
        <f t="shared" si="1232"/>
        <v>-26369</v>
      </c>
      <c r="BK208" s="487">
        <f t="shared" si="1232"/>
        <v>-26152</v>
      </c>
      <c r="BL208" s="487">
        <f t="shared" si="1232"/>
        <v>-53644</v>
      </c>
      <c r="BM208" s="487">
        <f t="shared" ref="BM208:BN208" si="1233">SUM(BM209:BM216)</f>
        <v>-80013</v>
      </c>
      <c r="BN208" s="487">
        <f t="shared" si="1233"/>
        <v>-106165</v>
      </c>
      <c r="BO208" s="487">
        <f t="shared" ref="BO208:BS208" si="1234">SUM(BO209:BO216)</f>
        <v>-20698</v>
      </c>
      <c r="BP208" s="487">
        <f t="shared" si="1234"/>
        <v>-24596</v>
      </c>
      <c r="BQ208" s="487">
        <f t="shared" si="1234"/>
        <v>-23485</v>
      </c>
      <c r="BR208" s="487">
        <f t="shared" si="1234"/>
        <v>-24863</v>
      </c>
      <c r="BS208" s="487">
        <f t="shared" si="1234"/>
        <v>-45294</v>
      </c>
      <c r="BT208" s="487">
        <f t="shared" ref="BT208:BU208" si="1235">SUM(BT209:BT216)</f>
        <v>-68779</v>
      </c>
      <c r="BU208" s="487">
        <f t="shared" si="1235"/>
        <v>-93642</v>
      </c>
      <c r="BV208" s="487">
        <f t="shared" ref="BV208:BY208" si="1236">SUM(BV209:BV216)</f>
        <v>-26340</v>
      </c>
      <c r="BW208" s="487">
        <f t="shared" si="1236"/>
        <v>-29176</v>
      </c>
      <c r="BX208" s="487">
        <f t="shared" si="1236"/>
        <v>-28206</v>
      </c>
      <c r="BY208" s="487">
        <f t="shared" si="1236"/>
        <v>-30163</v>
      </c>
      <c r="BZ208" s="487">
        <f t="shared" ref="BZ208:CA208" si="1237">SUM(BZ209:BZ216)</f>
        <v>-55516</v>
      </c>
      <c r="CA208" s="487">
        <f t="shared" si="1237"/>
        <v>-83722</v>
      </c>
      <c r="CB208" s="487">
        <f t="shared" ref="CB208:CC208" si="1238">SUM(CB209:CB216)</f>
        <v>-113885</v>
      </c>
      <c r="CC208" s="487">
        <f t="shared" si="1238"/>
        <v>-27270</v>
      </c>
      <c r="CD208" s="487">
        <f t="shared" ref="CD208" si="1239">SUM(CD209:CD216)</f>
        <v>-31753</v>
      </c>
      <c r="CE208" s="487">
        <f>SUM(CE209:CE216)-1</f>
        <v>-45863</v>
      </c>
      <c r="CF208" s="487">
        <f>SUM(CF209:CF216)+1</f>
        <v>-41531</v>
      </c>
      <c r="CG208" s="487">
        <f t="shared" ref="CG208" si="1240">SUM(CG209:CG216)</f>
        <v>-59023</v>
      </c>
      <c r="CH208" s="487">
        <f>SUM(CH209:CH216)-1</f>
        <v>-104886</v>
      </c>
      <c r="CI208" s="487">
        <f t="shared" ref="CI208" si="1241">SUM(CI209:CI216)</f>
        <v>-146417</v>
      </c>
      <c r="CJ208" s="487">
        <v>-61491</v>
      </c>
      <c r="CK208" s="487">
        <f t="shared" ref="CK208:CO208" si="1242">SUM(CK209:CK216)</f>
        <v>-35719</v>
      </c>
      <c r="CL208" s="487">
        <f t="shared" si="1242"/>
        <v>0</v>
      </c>
      <c r="CM208" s="487">
        <f t="shared" si="1242"/>
        <v>0</v>
      </c>
      <c r="CN208" s="487">
        <f t="shared" si="1242"/>
        <v>-97210</v>
      </c>
      <c r="CO208" s="487">
        <f t="shared" si="1242"/>
        <v>0</v>
      </c>
    </row>
    <row r="209" spans="1:93" s="289" customFormat="1" x14ac:dyDescent="0.25">
      <c r="A209" s="455" t="str">
        <f>Language!C162</f>
        <v>Concepa</v>
      </c>
      <c r="B209" s="280">
        <v>-2729</v>
      </c>
      <c r="C209" s="280">
        <v>-3445</v>
      </c>
      <c r="D209" s="280">
        <v>-2576</v>
      </c>
      <c r="E209" s="280">
        <v>-2512</v>
      </c>
      <c r="F209" s="279">
        <v>-2309</v>
      </c>
      <c r="G209" s="280">
        <v>-3926</v>
      </c>
      <c r="H209" s="280">
        <v>-3241</v>
      </c>
      <c r="I209" s="280">
        <v>-3796</v>
      </c>
      <c r="J209" s="279">
        <v>-3021</v>
      </c>
      <c r="K209" s="280">
        <v>-4612</v>
      </c>
      <c r="L209" s="280">
        <v>-3568</v>
      </c>
      <c r="M209" s="280">
        <v>-4571</v>
      </c>
      <c r="N209" s="279">
        <v>-5369</v>
      </c>
      <c r="O209" s="280">
        <v>-8851</v>
      </c>
      <c r="P209" s="280">
        <v>-5288</v>
      </c>
      <c r="Q209" s="280">
        <v>-5640</v>
      </c>
      <c r="R209" s="279">
        <v>-3846</v>
      </c>
      <c r="S209" s="280">
        <v>-6214</v>
      </c>
      <c r="T209" s="280">
        <f t="shared" ref="T209:T214" si="1243">W209-S209-R209</f>
        <v>-4761</v>
      </c>
      <c r="U209" s="280">
        <f t="shared" ref="U209:U214" si="1244">X209-W209</f>
        <v>-13807</v>
      </c>
      <c r="V209" s="280">
        <f t="shared" ref="V209:V214" si="1245">R209+S209</f>
        <v>-10060</v>
      </c>
      <c r="W209" s="281">
        <v>-14821</v>
      </c>
      <c r="X209" s="505">
        <v>-28628</v>
      </c>
      <c r="Y209" s="506">
        <v>-8464</v>
      </c>
      <c r="Z209" s="302">
        <f t="shared" ref="Z209:Z214" si="1246">AC209-Y209</f>
        <v>-8543</v>
      </c>
      <c r="AA209" s="280">
        <f t="shared" ref="AA209:AA214" si="1247">AD209-Z209-Y209</f>
        <v>-10063</v>
      </c>
      <c r="AB209" s="280">
        <f t="shared" ref="AB209:AB214" si="1248">AE209-AD209</f>
        <v>-7979</v>
      </c>
      <c r="AC209" s="302">
        <v>-17007</v>
      </c>
      <c r="AD209" s="302">
        <v>-27070</v>
      </c>
      <c r="AE209" s="505">
        <v>-35049</v>
      </c>
      <c r="AF209" s="302">
        <v>-7238.0481116072497</v>
      </c>
      <c r="AG209" s="302">
        <f t="shared" si="1230"/>
        <v>-8981.6835134693501</v>
      </c>
      <c r="AH209" s="302">
        <f t="shared" si="974"/>
        <v>-24595.492576416247</v>
      </c>
      <c r="AI209" s="302">
        <f t="shared" si="975"/>
        <v>3684.2305653764488</v>
      </c>
      <c r="AJ209" s="302">
        <v>-16219.7316250766</v>
      </c>
      <c r="AK209" s="302">
        <v>-40815.224201492849</v>
      </c>
      <c r="AL209" s="505">
        <v>-37130.9936361164</v>
      </c>
      <c r="AM209" s="302">
        <v>-6143.6719101123599</v>
      </c>
      <c r="AN209" s="302">
        <f t="shared" si="976"/>
        <v>-12198.928740475221</v>
      </c>
      <c r="AO209" s="302">
        <f t="shared" si="977"/>
        <v>-2864.2333448833961</v>
      </c>
      <c r="AP209" s="302">
        <f t="shared" si="977"/>
        <v>-4336.4913923939894</v>
      </c>
      <c r="AQ209" s="302">
        <v>-18342.600650587581</v>
      </c>
      <c r="AR209" s="302">
        <v>-21206.833995470977</v>
      </c>
      <c r="AS209" s="505">
        <v>-25543.325387864967</v>
      </c>
      <c r="AT209" s="302">
        <v>0</v>
      </c>
      <c r="AU209" s="281">
        <f t="shared" ref="AU209:AU233" si="1249">AX209-AT209</f>
        <v>-5697</v>
      </c>
      <c r="AV209" s="302">
        <f t="shared" ref="AV209:AV215" si="1250">AY209-AX209</f>
        <v>-1218</v>
      </c>
      <c r="AW209" s="302">
        <f t="shared" si="978"/>
        <v>6915</v>
      </c>
      <c r="AX209" s="302">
        <v>-5697</v>
      </c>
      <c r="AY209" s="302">
        <v>-6915</v>
      </c>
      <c r="AZ209" s="302">
        <v>0</v>
      </c>
      <c r="BA209" s="302">
        <v>0</v>
      </c>
      <c r="BB209" s="302">
        <f>BE209-BA209</f>
        <v>0</v>
      </c>
      <c r="BC209" s="302">
        <f>BF209-BE209</f>
        <v>0</v>
      </c>
      <c r="BD209" s="302">
        <f>BG209-BF209</f>
        <v>0</v>
      </c>
      <c r="BE209" s="302">
        <v>0</v>
      </c>
      <c r="BF209" s="302">
        <v>0</v>
      </c>
      <c r="BG209" s="302">
        <v>0</v>
      </c>
      <c r="BH209" s="302">
        <v>0</v>
      </c>
      <c r="BI209" s="302">
        <v>0</v>
      </c>
      <c r="BJ209" s="302">
        <v>0</v>
      </c>
      <c r="BK209" s="302">
        <v>0</v>
      </c>
      <c r="BL209" s="302">
        <v>0</v>
      </c>
      <c r="BM209" s="302">
        <v>0</v>
      </c>
      <c r="BN209" s="302">
        <v>0</v>
      </c>
      <c r="BO209" s="302">
        <v>0</v>
      </c>
      <c r="BP209" s="302">
        <f>BS209-BO209</f>
        <v>0</v>
      </c>
      <c r="BQ209" s="302">
        <f>BT209-BS209</f>
        <v>0</v>
      </c>
      <c r="BR209" s="302">
        <f>BU209-BT209</f>
        <v>0</v>
      </c>
      <c r="BS209" s="302">
        <v>0</v>
      </c>
      <c r="BT209" s="302">
        <v>0</v>
      </c>
      <c r="BU209" s="302">
        <v>0</v>
      </c>
      <c r="BV209" s="302">
        <v>0</v>
      </c>
      <c r="BW209" s="302">
        <f>BZ209-BV209</f>
        <v>0</v>
      </c>
      <c r="BX209" s="302">
        <f>CA209-BZ209</f>
        <v>0</v>
      </c>
      <c r="BY209" s="302"/>
      <c r="BZ209" s="302">
        <v>0</v>
      </c>
      <c r="CA209" s="302">
        <v>0</v>
      </c>
      <c r="CB209" s="302">
        <v>0</v>
      </c>
      <c r="CC209" s="302">
        <v>0</v>
      </c>
      <c r="CD209" s="302">
        <f>CG209-CC209</f>
        <v>0</v>
      </c>
      <c r="CE209" s="302">
        <f>CH209-CG209</f>
        <v>0</v>
      </c>
      <c r="CF209" s="302">
        <f>CI209-CH209</f>
        <v>0</v>
      </c>
      <c r="CG209" s="302">
        <v>0</v>
      </c>
      <c r="CH209" s="302">
        <v>0</v>
      </c>
      <c r="CI209" s="302">
        <v>0</v>
      </c>
      <c r="CJ209" s="302">
        <v>0</v>
      </c>
      <c r="CK209" s="302">
        <f>CN209-CJ209</f>
        <v>0</v>
      </c>
      <c r="CL209" s="302"/>
      <c r="CM209" s="302"/>
      <c r="CN209" s="302">
        <v>0</v>
      </c>
      <c r="CO209" s="302"/>
    </row>
    <row r="210" spans="1:93" s="289" customFormat="1" x14ac:dyDescent="0.25">
      <c r="A210" s="455" t="str">
        <f>Language!C163</f>
        <v>Concer</v>
      </c>
      <c r="B210" s="280">
        <v>-2881</v>
      </c>
      <c r="C210" s="280">
        <v>-3768</v>
      </c>
      <c r="D210" s="280">
        <v>-3661</v>
      </c>
      <c r="E210" s="280">
        <v>-3543</v>
      </c>
      <c r="F210" s="279">
        <v>-4658</v>
      </c>
      <c r="G210" s="280">
        <v>-3648</v>
      </c>
      <c r="H210" s="280">
        <v>-3170</v>
      </c>
      <c r="I210" s="280">
        <v>-5325</v>
      </c>
      <c r="J210" s="279">
        <v>-4223</v>
      </c>
      <c r="K210" s="280">
        <v>-5192</v>
      </c>
      <c r="L210" s="280">
        <v>-4330</v>
      </c>
      <c r="M210" s="280">
        <v>-5891</v>
      </c>
      <c r="N210" s="279">
        <v>-3789</v>
      </c>
      <c r="O210" s="280">
        <v>-4347</v>
      </c>
      <c r="P210" s="280">
        <v>-3967</v>
      </c>
      <c r="Q210" s="280">
        <v>-7444</v>
      </c>
      <c r="R210" s="279">
        <v>-4165</v>
      </c>
      <c r="S210" s="280">
        <v>-4851</v>
      </c>
      <c r="T210" s="280">
        <f t="shared" si="1243"/>
        <v>-2560</v>
      </c>
      <c r="U210" s="280">
        <f t="shared" si="1244"/>
        <v>-6168</v>
      </c>
      <c r="V210" s="280">
        <f t="shared" si="1245"/>
        <v>-9016</v>
      </c>
      <c r="W210" s="281">
        <v>-11576</v>
      </c>
      <c r="X210" s="282">
        <v>-17744</v>
      </c>
      <c r="Y210" s="283">
        <v>-3712</v>
      </c>
      <c r="Z210" s="281">
        <f t="shared" si="1246"/>
        <v>-3836</v>
      </c>
      <c r="AA210" s="280">
        <f t="shared" si="1247"/>
        <v>-4201</v>
      </c>
      <c r="AB210" s="280">
        <f t="shared" si="1248"/>
        <v>-7239</v>
      </c>
      <c r="AC210" s="281">
        <v>-7548</v>
      </c>
      <c r="AD210" s="281">
        <v>-11749</v>
      </c>
      <c r="AE210" s="282">
        <v>-18988</v>
      </c>
      <c r="AF210" s="281">
        <v>-4639.4690087920908</v>
      </c>
      <c r="AG210" s="281">
        <f t="shared" si="1230"/>
        <v>-4789.3090151190399</v>
      </c>
      <c r="AH210" s="281">
        <f t="shared" si="974"/>
        <v>-4808.9689367851461</v>
      </c>
      <c r="AI210" s="281">
        <f t="shared" si="975"/>
        <v>-8688.2530393037232</v>
      </c>
      <c r="AJ210" s="281">
        <v>-9428.7780239111307</v>
      </c>
      <c r="AK210" s="281">
        <v>-14237.746960696277</v>
      </c>
      <c r="AL210" s="282">
        <v>-22926</v>
      </c>
      <c r="AM210" s="281">
        <v>-5205.5298876404486</v>
      </c>
      <c r="AN210" s="281">
        <f t="shared" si="976"/>
        <v>-4390.6627390336416</v>
      </c>
      <c r="AO210" s="281">
        <f t="shared" si="977"/>
        <v>-6380.2563026493372</v>
      </c>
      <c r="AP210" s="281">
        <f t="shared" si="977"/>
        <v>-7440.2504463541682</v>
      </c>
      <c r="AQ210" s="281">
        <v>-9596.1926266740902</v>
      </c>
      <c r="AR210" s="281">
        <v>-15976.448929323427</v>
      </c>
      <c r="AS210" s="282">
        <v>-23416.699375677596</v>
      </c>
      <c r="AT210" s="281">
        <v>-4379.9625999999998</v>
      </c>
      <c r="AU210" s="281">
        <f t="shared" si="1249"/>
        <v>-5978.5309999999999</v>
      </c>
      <c r="AV210" s="281">
        <f t="shared" si="1250"/>
        <v>-4985.4626000000007</v>
      </c>
      <c r="AW210" s="281">
        <f t="shared" si="978"/>
        <v>-7587.4071999999978</v>
      </c>
      <c r="AX210" s="281">
        <v>-10358.4936</v>
      </c>
      <c r="AY210" s="281">
        <v>-15343.956200000001</v>
      </c>
      <c r="AZ210" s="281">
        <v>-22931.363399999998</v>
      </c>
      <c r="BA210" s="281">
        <v>-3834</v>
      </c>
      <c r="BB210" s="302">
        <f t="shared" ref="BB210:BB215" si="1251">BE210-BA210</f>
        <v>-4284</v>
      </c>
      <c r="BC210" s="302">
        <f t="shared" ref="BC210:BC216" si="1252">BF210-BE210</f>
        <v>-6858</v>
      </c>
      <c r="BD210" s="302">
        <f t="shared" ref="BD210:BD216" si="1253">BG210-BF210</f>
        <v>-7496</v>
      </c>
      <c r="BE210" s="281">
        <v>-8118</v>
      </c>
      <c r="BF210" s="281">
        <v>-14976</v>
      </c>
      <c r="BG210" s="281">
        <v>-22472</v>
      </c>
      <c r="BH210" s="281">
        <v>-7204</v>
      </c>
      <c r="BI210" s="281">
        <f>BL210-BH210</f>
        <v>-8145</v>
      </c>
      <c r="BJ210" s="281">
        <f>BM210-BL210</f>
        <v>-8107</v>
      </c>
      <c r="BK210" s="281">
        <f>BN210-BM210</f>
        <v>-7435</v>
      </c>
      <c r="BL210" s="281">
        <v>-15349</v>
      </c>
      <c r="BM210" s="281">
        <v>-23456</v>
      </c>
      <c r="BN210" s="281">
        <v>-30891</v>
      </c>
      <c r="BO210" s="281">
        <v>-7467</v>
      </c>
      <c r="BP210" s="302">
        <f t="shared" ref="BP210:BP216" si="1254">BS210-BO210</f>
        <v>-8478</v>
      </c>
      <c r="BQ210" s="302">
        <f t="shared" ref="BQ210:BQ216" si="1255">BT210-BS210</f>
        <v>-8554</v>
      </c>
      <c r="BR210" s="302">
        <f t="shared" ref="BR210:BR216" si="1256">BU210-BT210</f>
        <v>-9350</v>
      </c>
      <c r="BS210" s="281">
        <v>-15945</v>
      </c>
      <c r="BT210" s="281">
        <v>-24499</v>
      </c>
      <c r="BU210" s="281">
        <v>-33849</v>
      </c>
      <c r="BV210" s="281">
        <v>-14158</v>
      </c>
      <c r="BW210" s="302">
        <f t="shared" ref="BW210:BW216" si="1257">BZ210-BV210</f>
        <v>-12834</v>
      </c>
      <c r="BX210" s="302">
        <f t="shared" ref="BX210:BX216" si="1258">CA210-BZ210</f>
        <v>-12614</v>
      </c>
      <c r="BY210" s="281">
        <f>CB210-CA210</f>
        <v>-14121</v>
      </c>
      <c r="BZ210" s="281">
        <v>-26992</v>
      </c>
      <c r="CA210" s="281">
        <v>-39606</v>
      </c>
      <c r="CB210" s="281">
        <v>-53727</v>
      </c>
      <c r="CC210" s="281">
        <v>-12776</v>
      </c>
      <c r="CD210" s="302">
        <f t="shared" ref="CD210:CD214" si="1259">CG210-CC210</f>
        <v>-14868</v>
      </c>
      <c r="CE210" s="302">
        <f t="shared" ref="CE210:CE216" si="1260">CH210-CG210</f>
        <v>-14909</v>
      </c>
      <c r="CF210" s="302">
        <f t="shared" ref="CF210:CF216" si="1261">CI210-CH210</f>
        <v>-15602</v>
      </c>
      <c r="CG210" s="281">
        <v>-27644</v>
      </c>
      <c r="CH210" s="281">
        <v>-42553</v>
      </c>
      <c r="CI210" s="281">
        <v>-58155</v>
      </c>
      <c r="CJ210" s="281">
        <v>-14867</v>
      </c>
      <c r="CK210" s="302">
        <f t="shared" ref="CK210:CK216" si="1262">CN210-CJ210</f>
        <v>-12044</v>
      </c>
      <c r="CL210" s="281"/>
      <c r="CM210" s="281"/>
      <c r="CN210" s="281">
        <v>-26911</v>
      </c>
      <c r="CO210" s="281"/>
    </row>
    <row r="211" spans="1:93" s="289" customFormat="1" x14ac:dyDescent="0.25">
      <c r="A211" s="455" t="str">
        <f>Language!C164</f>
        <v>Econorte</v>
      </c>
      <c r="B211" s="280">
        <v>-3406</v>
      </c>
      <c r="C211" s="280">
        <v>-2977</v>
      </c>
      <c r="D211" s="280">
        <v>-6383</v>
      </c>
      <c r="E211" s="280">
        <v>-2619</v>
      </c>
      <c r="F211" s="279">
        <v>-2997</v>
      </c>
      <c r="G211" s="280">
        <v>-3885</v>
      </c>
      <c r="H211" s="280">
        <v>-3665</v>
      </c>
      <c r="I211" s="280">
        <v>-3889</v>
      </c>
      <c r="J211" s="279">
        <v>-4429</v>
      </c>
      <c r="K211" s="280">
        <v>-3474</v>
      </c>
      <c r="L211" s="280">
        <v>-4282</v>
      </c>
      <c r="M211" s="280">
        <v>-5614</v>
      </c>
      <c r="N211" s="279">
        <v>-5108</v>
      </c>
      <c r="O211" s="280">
        <v>-7087</v>
      </c>
      <c r="P211" s="280">
        <v>-4683</v>
      </c>
      <c r="Q211" s="280">
        <v>-5075</v>
      </c>
      <c r="R211" s="279">
        <v>-5782</v>
      </c>
      <c r="S211" s="280">
        <v>-6766</v>
      </c>
      <c r="T211" s="280">
        <f t="shared" si="1243"/>
        <v>-5413</v>
      </c>
      <c r="U211" s="280">
        <f t="shared" si="1244"/>
        <v>-11251</v>
      </c>
      <c r="V211" s="280">
        <f t="shared" si="1245"/>
        <v>-12548</v>
      </c>
      <c r="W211" s="281">
        <v>-17961</v>
      </c>
      <c r="X211" s="282">
        <v>-29212</v>
      </c>
      <c r="Y211" s="283">
        <v>-7723</v>
      </c>
      <c r="Z211" s="281">
        <f t="shared" si="1246"/>
        <v>-7470</v>
      </c>
      <c r="AA211" s="280">
        <f t="shared" si="1247"/>
        <v>-7976</v>
      </c>
      <c r="AB211" s="280">
        <f t="shared" si="1248"/>
        <v>-10739</v>
      </c>
      <c r="AC211" s="281">
        <v>-15193</v>
      </c>
      <c r="AD211" s="281">
        <v>-23169</v>
      </c>
      <c r="AE211" s="282">
        <v>-33908</v>
      </c>
      <c r="AF211" s="281">
        <v>-7310.3015212870741</v>
      </c>
      <c r="AG211" s="281">
        <f t="shared" si="1230"/>
        <v>-8227.3858422989451</v>
      </c>
      <c r="AH211" s="281">
        <f t="shared" si="974"/>
        <v>-7308.9051020491297</v>
      </c>
      <c r="AI211" s="281">
        <f t="shared" si="975"/>
        <v>-10049.407534364851</v>
      </c>
      <c r="AJ211" s="281">
        <v>-15537.687363586019</v>
      </c>
      <c r="AK211" s="281">
        <v>-22846.592465635149</v>
      </c>
      <c r="AL211" s="282">
        <v>-32896</v>
      </c>
      <c r="AM211" s="281">
        <v>-9175.3928089887631</v>
      </c>
      <c r="AN211" s="281">
        <f t="shared" si="976"/>
        <v>-8904.0489165336185</v>
      </c>
      <c r="AO211" s="281">
        <f t="shared" si="977"/>
        <v>-8623.2154593332089</v>
      </c>
      <c r="AP211" s="281">
        <f t="shared" si="977"/>
        <v>-8330.7626663537958</v>
      </c>
      <c r="AQ211" s="281">
        <v>-18079.441725522382</v>
      </c>
      <c r="AR211" s="281">
        <v>-26702.65718485559</v>
      </c>
      <c r="AS211" s="282">
        <v>-35033.419851209386</v>
      </c>
      <c r="AT211" s="281">
        <v>-5897</v>
      </c>
      <c r="AU211" s="281">
        <f t="shared" si="1249"/>
        <v>-8862</v>
      </c>
      <c r="AV211" s="281">
        <f t="shared" si="1250"/>
        <v>-9536</v>
      </c>
      <c r="AW211" s="281">
        <f t="shared" si="978"/>
        <v>-6772</v>
      </c>
      <c r="AX211" s="281">
        <v>-14759</v>
      </c>
      <c r="AY211" s="281">
        <v>-24295</v>
      </c>
      <c r="AZ211" s="281">
        <v>-31067</v>
      </c>
      <c r="BA211" s="281">
        <v>-7420</v>
      </c>
      <c r="BB211" s="302">
        <f t="shared" si="1251"/>
        <v>-5459</v>
      </c>
      <c r="BC211" s="302">
        <f t="shared" si="1252"/>
        <v>-6537</v>
      </c>
      <c r="BD211" s="302">
        <f t="shared" si="1253"/>
        <v>-6578</v>
      </c>
      <c r="BE211" s="281">
        <v>-12879</v>
      </c>
      <c r="BF211" s="281">
        <v>-19416</v>
      </c>
      <c r="BG211" s="281">
        <v>-25994</v>
      </c>
      <c r="BH211" s="281">
        <v>-6842</v>
      </c>
      <c r="BI211" s="281">
        <f t="shared" ref="BI211:BI216" si="1263">BL211-BH211</f>
        <v>-6902</v>
      </c>
      <c r="BJ211" s="281">
        <f t="shared" ref="BJ211:BJ216" si="1264">BM211-BL211</f>
        <v>-7404</v>
      </c>
      <c r="BK211" s="281">
        <f>BN211-BM211</f>
        <v>-10862</v>
      </c>
      <c r="BL211" s="281">
        <v>-13744</v>
      </c>
      <c r="BM211" s="281">
        <v>-21148</v>
      </c>
      <c r="BN211" s="281">
        <v>-32010</v>
      </c>
      <c r="BO211" s="281">
        <v>-3101</v>
      </c>
      <c r="BP211" s="302">
        <f t="shared" si="1254"/>
        <v>-971</v>
      </c>
      <c r="BQ211" s="302">
        <f t="shared" si="1255"/>
        <v>-2409</v>
      </c>
      <c r="BR211" s="302">
        <f t="shared" si="1256"/>
        <v>-2261</v>
      </c>
      <c r="BS211" s="281">
        <v>-4072</v>
      </c>
      <c r="BT211" s="281">
        <v>-6481</v>
      </c>
      <c r="BU211" s="281">
        <v>-8742</v>
      </c>
      <c r="BV211" s="281">
        <v>0</v>
      </c>
      <c r="BW211" s="302">
        <f t="shared" si="1257"/>
        <v>0</v>
      </c>
      <c r="BX211" s="302">
        <f t="shared" si="1258"/>
        <v>0</v>
      </c>
      <c r="BY211" s="281">
        <f t="shared" ref="BY211:BY216" si="1265">CB211-CA211</f>
        <v>0</v>
      </c>
      <c r="BZ211" s="281">
        <v>0</v>
      </c>
      <c r="CA211" s="281">
        <v>0</v>
      </c>
      <c r="CB211" s="281">
        <v>0</v>
      </c>
      <c r="CC211" s="281">
        <v>0</v>
      </c>
      <c r="CD211" s="302">
        <f t="shared" si="1259"/>
        <v>0</v>
      </c>
      <c r="CE211" s="302">
        <f t="shared" si="1260"/>
        <v>0</v>
      </c>
      <c r="CF211" s="302">
        <f t="shared" si="1261"/>
        <v>0</v>
      </c>
      <c r="CG211" s="281">
        <v>0</v>
      </c>
      <c r="CH211" s="281">
        <v>0</v>
      </c>
      <c r="CI211" s="281">
        <v>0</v>
      </c>
      <c r="CJ211" s="281">
        <v>0</v>
      </c>
      <c r="CK211" s="302">
        <f t="shared" si="1262"/>
        <v>0</v>
      </c>
      <c r="CL211" s="281"/>
      <c r="CM211" s="281"/>
      <c r="CN211" s="281">
        <v>0</v>
      </c>
      <c r="CO211" s="281"/>
    </row>
    <row r="212" spans="1:93" s="289" customFormat="1" x14ac:dyDescent="0.25">
      <c r="A212" s="455" t="str">
        <f>Language!C165</f>
        <v>Convale</v>
      </c>
      <c r="B212" s="280">
        <v>0</v>
      </c>
      <c r="C212" s="280">
        <v>0</v>
      </c>
      <c r="D212" s="280">
        <v>0</v>
      </c>
      <c r="E212" s="280">
        <v>0</v>
      </c>
      <c r="F212" s="279">
        <v>0</v>
      </c>
      <c r="G212" s="280">
        <v>0</v>
      </c>
      <c r="H212" s="280">
        <v>0</v>
      </c>
      <c r="I212" s="280">
        <v>-29</v>
      </c>
      <c r="J212" s="279">
        <v>-20</v>
      </c>
      <c r="K212" s="280">
        <v>0</v>
      </c>
      <c r="L212" s="280">
        <v>-7</v>
      </c>
      <c r="M212" s="280">
        <v>-2</v>
      </c>
      <c r="N212" s="279">
        <v>0</v>
      </c>
      <c r="O212" s="280">
        <v>-20</v>
      </c>
      <c r="P212" s="280">
        <v>-3</v>
      </c>
      <c r="Q212" s="280">
        <v>-1</v>
      </c>
      <c r="R212" s="279">
        <v>0</v>
      </c>
      <c r="S212" s="280">
        <v>-20</v>
      </c>
      <c r="T212" s="280">
        <f t="shared" si="1243"/>
        <v>-118</v>
      </c>
      <c r="U212" s="280">
        <f t="shared" si="1244"/>
        <v>-88</v>
      </c>
      <c r="V212" s="280">
        <f t="shared" si="1245"/>
        <v>-20</v>
      </c>
      <c r="W212" s="281">
        <v>-138</v>
      </c>
      <c r="X212" s="282">
        <v>-226</v>
      </c>
      <c r="Y212" s="283">
        <v>-85</v>
      </c>
      <c r="Z212" s="281">
        <f t="shared" si="1246"/>
        <v>-13</v>
      </c>
      <c r="AA212" s="280">
        <f t="shared" si="1247"/>
        <v>-415</v>
      </c>
      <c r="AB212" s="280">
        <f t="shared" si="1248"/>
        <v>-530</v>
      </c>
      <c r="AC212" s="281">
        <v>-98</v>
      </c>
      <c r="AD212" s="281">
        <v>-513</v>
      </c>
      <c r="AE212" s="282">
        <v>-1043</v>
      </c>
      <c r="AF212" s="281">
        <v>-7.9152530006201891</v>
      </c>
      <c r="AG212" s="281">
        <f t="shared" si="1230"/>
        <v>-65.567139415576833</v>
      </c>
      <c r="AH212" s="281">
        <f t="shared" si="974"/>
        <v>1.1123226503615484</v>
      </c>
      <c r="AI212" s="281">
        <f t="shared" si="975"/>
        <v>4.370069765835467</v>
      </c>
      <c r="AJ212" s="281">
        <v>-73.482392416197015</v>
      </c>
      <c r="AK212" s="281">
        <v>-72.370069765835467</v>
      </c>
      <c r="AL212" s="282">
        <v>-68</v>
      </c>
      <c r="AM212" s="281">
        <v>-8.6184269662921356</v>
      </c>
      <c r="AN212" s="281">
        <f t="shared" si="976"/>
        <v>-81.671187077021756</v>
      </c>
      <c r="AO212" s="281">
        <f t="shared" si="977"/>
        <v>0.41686365596336827</v>
      </c>
      <c r="AP212" s="281">
        <f t="shared" si="977"/>
        <v>-9.5216494032958536</v>
      </c>
      <c r="AQ212" s="281">
        <v>-90.28961404331389</v>
      </c>
      <c r="AR212" s="281">
        <v>-89.872750387350521</v>
      </c>
      <c r="AS212" s="282">
        <v>-99.394399790646375</v>
      </c>
      <c r="AT212" s="281"/>
      <c r="AU212" s="281">
        <f t="shared" si="1249"/>
        <v>-55</v>
      </c>
      <c r="AV212" s="281">
        <f t="shared" si="1250"/>
        <v>-5</v>
      </c>
      <c r="AW212" s="281">
        <f t="shared" si="978"/>
        <v>60</v>
      </c>
      <c r="AX212" s="281">
        <v>-55</v>
      </c>
      <c r="AY212" s="281">
        <v>-60</v>
      </c>
      <c r="AZ212" s="281">
        <v>0</v>
      </c>
      <c r="BA212" s="281">
        <v>0</v>
      </c>
      <c r="BB212" s="302">
        <f t="shared" si="1251"/>
        <v>0</v>
      </c>
      <c r="BC212" s="302">
        <f t="shared" si="1252"/>
        <v>0</v>
      </c>
      <c r="BD212" s="302">
        <f t="shared" si="1253"/>
        <v>0</v>
      </c>
      <c r="BE212" s="281">
        <v>0</v>
      </c>
      <c r="BF212" s="281">
        <v>0</v>
      </c>
      <c r="BG212" s="281">
        <v>0</v>
      </c>
      <c r="BH212" s="281">
        <v>0</v>
      </c>
      <c r="BI212" s="281">
        <f t="shared" si="1263"/>
        <v>0</v>
      </c>
      <c r="BJ212" s="281">
        <f t="shared" si="1264"/>
        <v>0</v>
      </c>
      <c r="BK212" s="281">
        <f t="shared" ref="BK212:BK216" si="1266">BN212-BM212</f>
        <v>0</v>
      </c>
      <c r="BL212" s="281">
        <v>0</v>
      </c>
      <c r="BM212" s="281">
        <v>0</v>
      </c>
      <c r="BN212" s="281">
        <v>0</v>
      </c>
      <c r="BO212" s="281">
        <v>0</v>
      </c>
      <c r="BP212" s="302">
        <f t="shared" si="1254"/>
        <v>0</v>
      </c>
      <c r="BQ212" s="302">
        <f t="shared" si="1255"/>
        <v>0</v>
      </c>
      <c r="BR212" s="302">
        <f t="shared" si="1256"/>
        <v>0</v>
      </c>
      <c r="BS212" s="281">
        <v>0</v>
      </c>
      <c r="BT212" s="281">
        <v>0</v>
      </c>
      <c r="BU212" s="281">
        <v>0</v>
      </c>
      <c r="BV212" s="281">
        <v>0</v>
      </c>
      <c r="BW212" s="302">
        <f t="shared" si="1257"/>
        <v>0</v>
      </c>
      <c r="BX212" s="302">
        <f t="shared" si="1258"/>
        <v>0</v>
      </c>
      <c r="BY212" s="281">
        <f t="shared" si="1265"/>
        <v>0</v>
      </c>
      <c r="BZ212" s="281">
        <v>0</v>
      </c>
      <c r="CA212" s="281">
        <v>0</v>
      </c>
      <c r="CB212" s="281">
        <v>0</v>
      </c>
      <c r="CC212" s="281">
        <v>0</v>
      </c>
      <c r="CD212" s="302">
        <f t="shared" si="1259"/>
        <v>0</v>
      </c>
      <c r="CE212" s="302">
        <f t="shared" si="1260"/>
        <v>0</v>
      </c>
      <c r="CF212" s="302">
        <f t="shared" si="1261"/>
        <v>0</v>
      </c>
      <c r="CG212" s="281">
        <v>0</v>
      </c>
      <c r="CH212" s="281">
        <v>0</v>
      </c>
      <c r="CI212" s="281">
        <v>0</v>
      </c>
      <c r="CJ212" s="281">
        <v>0</v>
      </c>
      <c r="CK212" s="302">
        <f t="shared" si="1262"/>
        <v>0</v>
      </c>
      <c r="CL212" s="281"/>
      <c r="CM212" s="281"/>
      <c r="CN212" s="281">
        <v>0</v>
      </c>
      <c r="CO212" s="281"/>
    </row>
    <row r="213" spans="1:93" s="289" customFormat="1" x14ac:dyDescent="0.25">
      <c r="A213" s="455" t="str">
        <f>Language!C166</f>
        <v>Concebra</v>
      </c>
      <c r="B213" s="280">
        <v>0</v>
      </c>
      <c r="C213" s="280">
        <v>0</v>
      </c>
      <c r="D213" s="280">
        <v>0</v>
      </c>
      <c r="E213" s="280">
        <v>0</v>
      </c>
      <c r="F213" s="279">
        <v>0</v>
      </c>
      <c r="G213" s="280">
        <v>0</v>
      </c>
      <c r="H213" s="280">
        <v>0</v>
      </c>
      <c r="I213" s="280">
        <v>0</v>
      </c>
      <c r="J213" s="279">
        <v>0</v>
      </c>
      <c r="K213" s="280">
        <v>0</v>
      </c>
      <c r="L213" s="280">
        <v>0</v>
      </c>
      <c r="M213" s="280">
        <v>0</v>
      </c>
      <c r="N213" s="279">
        <v>-2581</v>
      </c>
      <c r="O213" s="280">
        <v>425</v>
      </c>
      <c r="P213" s="280">
        <v>-1454</v>
      </c>
      <c r="Q213" s="280">
        <v>-2332</v>
      </c>
      <c r="R213" s="279">
        <v>-2983</v>
      </c>
      <c r="S213" s="280">
        <v>-3041</v>
      </c>
      <c r="T213" s="280">
        <f t="shared" si="1243"/>
        <v>-13014</v>
      </c>
      <c r="U213" s="280">
        <f t="shared" si="1244"/>
        <v>-12500</v>
      </c>
      <c r="V213" s="280">
        <f t="shared" si="1245"/>
        <v>-6024</v>
      </c>
      <c r="W213" s="281">
        <v>-19038</v>
      </c>
      <c r="X213" s="282">
        <v>-31538</v>
      </c>
      <c r="Y213" s="283">
        <v>-9505</v>
      </c>
      <c r="Z213" s="281">
        <f t="shared" si="1246"/>
        <v>-8660</v>
      </c>
      <c r="AA213" s="280">
        <f t="shared" si="1247"/>
        <v>-6785</v>
      </c>
      <c r="AB213" s="280">
        <f t="shared" si="1248"/>
        <v>-10771</v>
      </c>
      <c r="AC213" s="281">
        <v>-18165</v>
      </c>
      <c r="AD213" s="281">
        <v>-24950</v>
      </c>
      <c r="AE213" s="282">
        <v>-35721</v>
      </c>
      <c r="AF213" s="281">
        <v>-7167.8269672759106</v>
      </c>
      <c r="AG213" s="281">
        <f t="shared" si="1230"/>
        <v>-9977.6990124615204</v>
      </c>
      <c r="AH213" s="281">
        <f t="shared" si="974"/>
        <v>-7779.5774602017773</v>
      </c>
      <c r="AI213" s="281">
        <f t="shared" si="975"/>
        <v>-4410.8965600607917</v>
      </c>
      <c r="AJ213" s="281">
        <v>-17145.525979737431</v>
      </c>
      <c r="AK213" s="281">
        <v>-24925.103439939208</v>
      </c>
      <c r="AL213" s="282">
        <v>-29336</v>
      </c>
      <c r="AM213" s="281">
        <v>-6102.9959550561798</v>
      </c>
      <c r="AN213" s="281">
        <f t="shared" si="976"/>
        <v>-8398.5782910534817</v>
      </c>
      <c r="AO213" s="281">
        <f t="shared" si="977"/>
        <v>-6275.7516050682807</v>
      </c>
      <c r="AP213" s="281">
        <f t="shared" si="977"/>
        <v>-5283.6787022633071</v>
      </c>
      <c r="AQ213" s="281">
        <v>-14501.574246109662</v>
      </c>
      <c r="AR213" s="281">
        <v>-20777.325851177942</v>
      </c>
      <c r="AS213" s="282">
        <v>-26061.004553441249</v>
      </c>
      <c r="AT213" s="281">
        <v>-5395</v>
      </c>
      <c r="AU213" s="281">
        <f t="shared" si="1249"/>
        <v>-10225</v>
      </c>
      <c r="AV213" s="281">
        <f t="shared" si="1250"/>
        <v>-6598</v>
      </c>
      <c r="AW213" s="281">
        <f t="shared" si="978"/>
        <v>-12938</v>
      </c>
      <c r="AX213" s="281">
        <v>-15620</v>
      </c>
      <c r="AY213" s="281">
        <v>-22218</v>
      </c>
      <c r="AZ213" s="281">
        <v>-35156</v>
      </c>
      <c r="BA213" s="281">
        <v>-6950</v>
      </c>
      <c r="BB213" s="302">
        <f t="shared" si="1251"/>
        <v>-4464</v>
      </c>
      <c r="BC213" s="302">
        <f t="shared" si="1252"/>
        <v>-5518</v>
      </c>
      <c r="BD213" s="302">
        <f t="shared" si="1253"/>
        <v>-4769</v>
      </c>
      <c r="BE213" s="281">
        <v>-11414</v>
      </c>
      <c r="BF213" s="281">
        <v>-16932</v>
      </c>
      <c r="BG213" s="281">
        <v>-21701</v>
      </c>
      <c r="BH213" s="281">
        <v>-4422</v>
      </c>
      <c r="BI213" s="281">
        <f t="shared" si="1263"/>
        <v>-4468</v>
      </c>
      <c r="BJ213" s="281">
        <f t="shared" si="1264"/>
        <v>-4472</v>
      </c>
      <c r="BK213" s="281">
        <f t="shared" si="1266"/>
        <v>-4220</v>
      </c>
      <c r="BL213" s="281">
        <v>-8890</v>
      </c>
      <c r="BM213" s="281">
        <v>-13362</v>
      </c>
      <c r="BN213" s="281">
        <v>-17582</v>
      </c>
      <c r="BO213" s="281">
        <v>-4744</v>
      </c>
      <c r="BP213" s="302">
        <f t="shared" si="1254"/>
        <v>-8863</v>
      </c>
      <c r="BQ213" s="302">
        <f t="shared" si="1255"/>
        <v>-7564</v>
      </c>
      <c r="BR213" s="302">
        <f t="shared" si="1256"/>
        <v>-7484</v>
      </c>
      <c r="BS213" s="281">
        <v>-13607</v>
      </c>
      <c r="BT213" s="281">
        <v>-21171</v>
      </c>
      <c r="BU213" s="281">
        <v>-28655</v>
      </c>
      <c r="BV213" s="281">
        <v>-6311</v>
      </c>
      <c r="BW213" s="302">
        <f t="shared" si="1257"/>
        <v>-8285</v>
      </c>
      <c r="BX213" s="302">
        <f t="shared" si="1258"/>
        <v>-7527</v>
      </c>
      <c r="BY213" s="281">
        <f t="shared" si="1265"/>
        <v>-7644</v>
      </c>
      <c r="BZ213" s="281">
        <v>-14596</v>
      </c>
      <c r="CA213" s="281">
        <v>-22123</v>
      </c>
      <c r="CB213" s="281">
        <v>-29767</v>
      </c>
      <c r="CC213" s="281">
        <v>-6026</v>
      </c>
      <c r="CD213" s="302">
        <f t="shared" si="1259"/>
        <v>-8847</v>
      </c>
      <c r="CE213" s="302">
        <f t="shared" si="1260"/>
        <v>-22696</v>
      </c>
      <c r="CF213" s="302">
        <f t="shared" si="1261"/>
        <v>-17510</v>
      </c>
      <c r="CG213" s="281">
        <v>-14873</v>
      </c>
      <c r="CH213" s="281">
        <v>-37569</v>
      </c>
      <c r="CI213" s="281">
        <v>-55079</v>
      </c>
      <c r="CJ213" s="281">
        <v>-17484</v>
      </c>
      <c r="CK213" s="302">
        <f t="shared" si="1262"/>
        <v>-15923</v>
      </c>
      <c r="CL213" s="281"/>
      <c r="CM213" s="281"/>
      <c r="CN213" s="281">
        <v>-33407</v>
      </c>
      <c r="CO213" s="281"/>
    </row>
    <row r="214" spans="1:93" s="289" customFormat="1" x14ac:dyDescent="0.25">
      <c r="A214" s="455" t="str">
        <f>Language!C167</f>
        <v>Transbrasiliana</v>
      </c>
      <c r="B214" s="280">
        <v>0</v>
      </c>
      <c r="C214" s="280">
        <v>0</v>
      </c>
      <c r="D214" s="280">
        <v>0</v>
      </c>
      <c r="E214" s="280">
        <v>0</v>
      </c>
      <c r="F214" s="279">
        <v>0</v>
      </c>
      <c r="G214" s="280">
        <v>0</v>
      </c>
      <c r="H214" s="280">
        <v>0</v>
      </c>
      <c r="I214" s="280">
        <v>0</v>
      </c>
      <c r="J214" s="279">
        <v>0</v>
      </c>
      <c r="K214" s="280">
        <v>0</v>
      </c>
      <c r="L214" s="280">
        <v>0</v>
      </c>
      <c r="M214" s="280">
        <v>0</v>
      </c>
      <c r="N214" s="279">
        <v>0</v>
      </c>
      <c r="O214" s="280">
        <v>0</v>
      </c>
      <c r="P214" s="280">
        <v>0</v>
      </c>
      <c r="Q214" s="280">
        <v>0</v>
      </c>
      <c r="R214" s="279">
        <v>-2271</v>
      </c>
      <c r="S214" s="280">
        <v>-3543</v>
      </c>
      <c r="T214" s="280">
        <f t="shared" si="1243"/>
        <v>-4065</v>
      </c>
      <c r="U214" s="280">
        <f t="shared" si="1244"/>
        <v>-3226</v>
      </c>
      <c r="V214" s="280">
        <f t="shared" si="1245"/>
        <v>-5814</v>
      </c>
      <c r="W214" s="281">
        <v>-9879</v>
      </c>
      <c r="X214" s="282">
        <v>-13105</v>
      </c>
      <c r="Y214" s="283">
        <v>-3764</v>
      </c>
      <c r="Z214" s="281">
        <f t="shared" si="1246"/>
        <v>-6045</v>
      </c>
      <c r="AA214" s="280">
        <f t="shared" si="1247"/>
        <v>-4062</v>
      </c>
      <c r="AB214" s="280">
        <f t="shared" si="1248"/>
        <v>-3286</v>
      </c>
      <c r="AC214" s="281">
        <v>-9809</v>
      </c>
      <c r="AD214" s="281">
        <v>-13871</v>
      </c>
      <c r="AE214" s="282">
        <v>-17157</v>
      </c>
      <c r="AF214" s="281">
        <v>-4631.4391380370544</v>
      </c>
      <c r="AG214" s="281">
        <f t="shared" si="1230"/>
        <v>-4297.3554772355692</v>
      </c>
      <c r="AH214" s="281">
        <f t="shared" si="974"/>
        <v>-11433.168247198044</v>
      </c>
      <c r="AI214" s="281">
        <f t="shared" si="975"/>
        <v>-5378.0435014129325</v>
      </c>
      <c r="AJ214" s="281">
        <v>-8928.7946152726236</v>
      </c>
      <c r="AK214" s="281">
        <v>-20361.962862470667</v>
      </c>
      <c r="AL214" s="282">
        <v>-25740.0063638836</v>
      </c>
      <c r="AM214" s="281">
        <v>-4032.3465168539328</v>
      </c>
      <c r="AN214" s="281">
        <f t="shared" si="976"/>
        <v>-6482.6757115550572</v>
      </c>
      <c r="AO214" s="281">
        <f t="shared" si="977"/>
        <v>-8589.2074207904843</v>
      </c>
      <c r="AP214" s="281">
        <f t="shared" si="977"/>
        <v>-7467.2065614999919</v>
      </c>
      <c r="AQ214" s="281">
        <v>-10515.02222840899</v>
      </c>
      <c r="AR214" s="281">
        <v>-19104.229649199475</v>
      </c>
      <c r="AS214" s="282">
        <v>-26571.436210699467</v>
      </c>
      <c r="AT214" s="281">
        <v>-3752</v>
      </c>
      <c r="AU214" s="281">
        <f t="shared" si="1249"/>
        <v>-13602</v>
      </c>
      <c r="AV214" s="281">
        <f t="shared" si="1250"/>
        <v>5025</v>
      </c>
      <c r="AW214" s="281">
        <f t="shared" si="978"/>
        <v>-6404</v>
      </c>
      <c r="AX214" s="281">
        <v>-17354</v>
      </c>
      <c r="AY214" s="281">
        <v>-12329</v>
      </c>
      <c r="AZ214" s="281">
        <v>-18733</v>
      </c>
      <c r="BA214" s="281">
        <v>-4950</v>
      </c>
      <c r="BB214" s="302">
        <f t="shared" si="1251"/>
        <v>-3158</v>
      </c>
      <c r="BC214" s="302">
        <f t="shared" si="1252"/>
        <v>-5104</v>
      </c>
      <c r="BD214" s="302">
        <f t="shared" si="1253"/>
        <v>-4453</v>
      </c>
      <c r="BE214" s="281">
        <v>-8108</v>
      </c>
      <c r="BF214" s="281">
        <v>-13212</v>
      </c>
      <c r="BG214" s="281">
        <v>-17665</v>
      </c>
      <c r="BH214" s="281">
        <v>-11281</v>
      </c>
      <c r="BI214" s="281">
        <f t="shared" si="1263"/>
        <v>-4768</v>
      </c>
      <c r="BJ214" s="281">
        <f t="shared" si="1264"/>
        <v>-6580</v>
      </c>
      <c r="BK214" s="281">
        <f t="shared" si="1266"/>
        <v>-3829</v>
      </c>
      <c r="BL214" s="281">
        <v>-16049</v>
      </c>
      <c r="BM214" s="281">
        <v>-22629</v>
      </c>
      <c r="BN214" s="281">
        <v>-26458</v>
      </c>
      <c r="BO214" s="281">
        <v>-5386</v>
      </c>
      <c r="BP214" s="302">
        <f t="shared" si="1254"/>
        <v>-6379</v>
      </c>
      <c r="BQ214" s="302">
        <f t="shared" si="1255"/>
        <v>-4863</v>
      </c>
      <c r="BR214" s="302">
        <f t="shared" si="1256"/>
        <v>-5768</v>
      </c>
      <c r="BS214" s="281">
        <v>-11765</v>
      </c>
      <c r="BT214" s="281">
        <v>-16628</v>
      </c>
      <c r="BU214" s="281">
        <v>-22396</v>
      </c>
      <c r="BV214" s="281">
        <v>-5871</v>
      </c>
      <c r="BW214" s="302">
        <f t="shared" si="1257"/>
        <v>-8057</v>
      </c>
      <c r="BX214" s="302">
        <f t="shared" si="1258"/>
        <v>-8065</v>
      </c>
      <c r="BY214" s="281">
        <f t="shared" si="1265"/>
        <v>-8398</v>
      </c>
      <c r="BZ214" s="281">
        <v>-13928</v>
      </c>
      <c r="CA214" s="281">
        <v>-21993</v>
      </c>
      <c r="CB214" s="281">
        <v>-30391</v>
      </c>
      <c r="CC214" s="281">
        <v>-8468</v>
      </c>
      <c r="CD214" s="302">
        <f t="shared" si="1259"/>
        <v>-8038</v>
      </c>
      <c r="CE214" s="302">
        <f t="shared" si="1260"/>
        <v>-8257</v>
      </c>
      <c r="CF214" s="302">
        <f t="shared" si="1261"/>
        <v>-8420</v>
      </c>
      <c r="CG214" s="281">
        <v>-16506</v>
      </c>
      <c r="CH214" s="281">
        <v>-24763</v>
      </c>
      <c r="CI214" s="281">
        <v>-33183</v>
      </c>
      <c r="CJ214" s="281">
        <v>-29140</v>
      </c>
      <c r="CK214" s="302">
        <f t="shared" si="1262"/>
        <v>-7752</v>
      </c>
      <c r="CL214" s="281"/>
      <c r="CM214" s="281"/>
      <c r="CN214" s="281">
        <v>-36892</v>
      </c>
      <c r="CO214" s="281"/>
    </row>
    <row r="215" spans="1:93" s="289" customFormat="1" x14ac:dyDescent="0.25">
      <c r="A215" s="455" t="s">
        <v>670</v>
      </c>
      <c r="B215" s="280"/>
      <c r="C215" s="280"/>
      <c r="D215" s="280"/>
      <c r="E215" s="280"/>
      <c r="F215" s="279"/>
      <c r="G215" s="280"/>
      <c r="H215" s="280"/>
      <c r="I215" s="280"/>
      <c r="J215" s="279"/>
      <c r="K215" s="280"/>
      <c r="L215" s="280"/>
      <c r="M215" s="280"/>
      <c r="N215" s="279"/>
      <c r="O215" s="280"/>
      <c r="P215" s="280"/>
      <c r="Q215" s="280"/>
      <c r="R215" s="279"/>
      <c r="S215" s="280"/>
      <c r="T215" s="280"/>
      <c r="U215" s="280"/>
      <c r="V215" s="280"/>
      <c r="W215" s="281"/>
      <c r="X215" s="282"/>
      <c r="Y215" s="283"/>
      <c r="Z215" s="281"/>
      <c r="AA215" s="280"/>
      <c r="AB215" s="280"/>
      <c r="AC215" s="281"/>
      <c r="AD215" s="281"/>
      <c r="AE215" s="282"/>
      <c r="AF215" s="281"/>
      <c r="AG215" s="281">
        <f t="shared" si="1230"/>
        <v>0</v>
      </c>
      <c r="AH215" s="281">
        <f t="shared" si="974"/>
        <v>0</v>
      </c>
      <c r="AI215" s="281">
        <f t="shared" si="975"/>
        <v>0</v>
      </c>
      <c r="AJ215" s="281"/>
      <c r="AK215" s="281"/>
      <c r="AL215" s="282"/>
      <c r="AM215" s="281">
        <v>-605.44449438202253</v>
      </c>
      <c r="AN215" s="281">
        <f t="shared" si="976"/>
        <v>-365.43441427196444</v>
      </c>
      <c r="AO215" s="281">
        <f t="shared" si="977"/>
        <v>-389.75273093125008</v>
      </c>
      <c r="AP215" s="281">
        <f t="shared" si="977"/>
        <v>-388.08858173144768</v>
      </c>
      <c r="AQ215" s="281">
        <v>-970.87890865398697</v>
      </c>
      <c r="AR215" s="281">
        <v>-1360.6316395852371</v>
      </c>
      <c r="AS215" s="282">
        <v>-1748.7202213166847</v>
      </c>
      <c r="AT215" s="281">
        <v>0</v>
      </c>
      <c r="AU215" s="281">
        <f t="shared" si="1249"/>
        <v>-599</v>
      </c>
      <c r="AV215" s="281">
        <f t="shared" si="1250"/>
        <v>-303</v>
      </c>
      <c r="AW215" s="281">
        <f t="shared" si="978"/>
        <v>902</v>
      </c>
      <c r="AX215" s="281">
        <v>-599</v>
      </c>
      <c r="AY215" s="281">
        <v>-902</v>
      </c>
      <c r="AZ215" s="281">
        <v>0</v>
      </c>
      <c r="BA215" s="281">
        <v>0</v>
      </c>
      <c r="BB215" s="302">
        <f t="shared" si="1251"/>
        <v>0</v>
      </c>
      <c r="BC215" s="302">
        <f t="shared" si="1252"/>
        <v>0</v>
      </c>
      <c r="BD215" s="302">
        <f t="shared" si="1253"/>
        <v>0</v>
      </c>
      <c r="BE215" s="281">
        <v>0</v>
      </c>
      <c r="BF215" s="281">
        <v>0</v>
      </c>
      <c r="BG215" s="281">
        <v>0</v>
      </c>
      <c r="BH215" s="281">
        <v>0</v>
      </c>
      <c r="BI215" s="281">
        <f t="shared" si="1263"/>
        <v>0</v>
      </c>
      <c r="BJ215" s="281">
        <f t="shared" si="1264"/>
        <v>0</v>
      </c>
      <c r="BK215" s="281">
        <f t="shared" si="1266"/>
        <v>0</v>
      </c>
      <c r="BL215" s="281">
        <v>0</v>
      </c>
      <c r="BM215" s="281">
        <v>0</v>
      </c>
      <c r="BN215" s="281">
        <v>0</v>
      </c>
      <c r="BO215" s="281">
        <v>0</v>
      </c>
      <c r="BP215" s="302">
        <f t="shared" si="1254"/>
        <v>0</v>
      </c>
      <c r="BQ215" s="302">
        <f t="shared" si="1255"/>
        <v>0</v>
      </c>
      <c r="BR215" s="302">
        <f t="shared" si="1256"/>
        <v>0</v>
      </c>
      <c r="BS215" s="281">
        <v>0</v>
      </c>
      <c r="BT215" s="281">
        <v>0</v>
      </c>
      <c r="BU215" s="281">
        <v>0</v>
      </c>
      <c r="BV215" s="281">
        <v>0</v>
      </c>
      <c r="BW215" s="302">
        <f t="shared" si="1257"/>
        <v>0</v>
      </c>
      <c r="BX215" s="302">
        <f t="shared" si="1258"/>
        <v>0</v>
      </c>
      <c r="BY215" s="281">
        <f t="shared" si="1265"/>
        <v>0</v>
      </c>
      <c r="BZ215" s="281">
        <v>0</v>
      </c>
      <c r="CA215" s="281">
        <v>0</v>
      </c>
      <c r="CB215" s="281">
        <v>0</v>
      </c>
      <c r="CC215" s="281">
        <v>0</v>
      </c>
      <c r="CD215" s="281">
        <v>0</v>
      </c>
      <c r="CE215" s="302">
        <f t="shared" si="1260"/>
        <v>0</v>
      </c>
      <c r="CF215" s="302">
        <f t="shared" si="1261"/>
        <v>0</v>
      </c>
      <c r="CG215" s="281">
        <v>0</v>
      </c>
      <c r="CH215" s="281">
        <v>0</v>
      </c>
      <c r="CI215" s="281">
        <v>0</v>
      </c>
      <c r="CJ215" s="281">
        <v>0</v>
      </c>
      <c r="CK215" s="302">
        <f t="shared" si="1262"/>
        <v>0</v>
      </c>
      <c r="CL215" s="281"/>
      <c r="CM215" s="281"/>
      <c r="CN215" s="281">
        <v>0</v>
      </c>
      <c r="CO215" s="281"/>
    </row>
    <row r="216" spans="1:93" s="289" customFormat="1" x14ac:dyDescent="0.25">
      <c r="A216" s="713" t="s">
        <v>695</v>
      </c>
      <c r="B216" s="280"/>
      <c r="C216" s="280"/>
      <c r="D216" s="280"/>
      <c r="E216" s="280"/>
      <c r="F216" s="279"/>
      <c r="G216" s="280"/>
      <c r="H216" s="280"/>
      <c r="I216" s="280"/>
      <c r="J216" s="279"/>
      <c r="K216" s="280"/>
      <c r="L216" s="280"/>
      <c r="M216" s="280"/>
      <c r="N216" s="279"/>
      <c r="O216" s="280"/>
      <c r="P216" s="280"/>
      <c r="Q216" s="280"/>
      <c r="R216" s="279"/>
      <c r="S216" s="280"/>
      <c r="T216" s="280"/>
      <c r="U216" s="280"/>
      <c r="V216" s="280"/>
      <c r="W216" s="281"/>
      <c r="X216" s="282"/>
      <c r="Y216" s="283"/>
      <c r="Z216" s="281"/>
      <c r="AA216" s="280"/>
      <c r="AB216" s="280"/>
      <c r="AC216" s="281"/>
      <c r="AD216" s="281"/>
      <c r="AE216" s="282"/>
      <c r="AF216" s="281"/>
      <c r="AG216" s="281"/>
      <c r="AH216" s="281"/>
      <c r="AI216" s="281"/>
      <c r="AJ216" s="281"/>
      <c r="AK216" s="281"/>
      <c r="AL216" s="282"/>
      <c r="AM216" s="281"/>
      <c r="AN216" s="281"/>
      <c r="AO216" s="281"/>
      <c r="AP216" s="281"/>
      <c r="AQ216" s="281"/>
      <c r="AR216" s="281"/>
      <c r="AS216" s="282"/>
      <c r="AT216" s="281"/>
      <c r="AU216" s="281">
        <f t="shared" si="1249"/>
        <v>15985</v>
      </c>
      <c r="AV216" s="281"/>
      <c r="AW216" s="281"/>
      <c r="AX216" s="281">
        <v>15985</v>
      </c>
      <c r="AY216" s="281">
        <v>8799</v>
      </c>
      <c r="AZ216" s="281"/>
      <c r="BA216" s="281"/>
      <c r="BB216" s="302"/>
      <c r="BC216" s="302">
        <f t="shared" si="1252"/>
        <v>564</v>
      </c>
      <c r="BD216" s="302">
        <f t="shared" si="1253"/>
        <v>217</v>
      </c>
      <c r="BE216" s="281"/>
      <c r="BF216" s="281">
        <v>564</v>
      </c>
      <c r="BG216" s="281">
        <v>781</v>
      </c>
      <c r="BH216" s="281">
        <v>195</v>
      </c>
      <c r="BI216" s="281">
        <f t="shared" si="1263"/>
        <v>193</v>
      </c>
      <c r="BJ216" s="281">
        <f t="shared" si="1264"/>
        <v>194</v>
      </c>
      <c r="BK216" s="281">
        <f t="shared" si="1266"/>
        <v>194</v>
      </c>
      <c r="BL216" s="281">
        <v>388</v>
      </c>
      <c r="BM216" s="281">
        <v>582</v>
      </c>
      <c r="BN216" s="281">
        <v>776</v>
      </c>
      <c r="BO216" s="281">
        <v>0</v>
      </c>
      <c r="BP216" s="302">
        <f t="shared" si="1254"/>
        <v>95</v>
      </c>
      <c r="BQ216" s="302">
        <f t="shared" si="1255"/>
        <v>-95</v>
      </c>
      <c r="BR216" s="302">
        <f t="shared" si="1256"/>
        <v>0</v>
      </c>
      <c r="BS216" s="281">
        <v>95</v>
      </c>
      <c r="BT216" s="281">
        <v>0</v>
      </c>
      <c r="BU216" s="281">
        <v>0</v>
      </c>
      <c r="BV216" s="281">
        <v>0</v>
      </c>
      <c r="BW216" s="302">
        <f t="shared" si="1257"/>
        <v>0</v>
      </c>
      <c r="BX216" s="302">
        <f t="shared" si="1258"/>
        <v>0</v>
      </c>
      <c r="BY216" s="281">
        <f t="shared" si="1265"/>
        <v>0</v>
      </c>
      <c r="BZ216" s="281">
        <v>0</v>
      </c>
      <c r="CA216" s="281">
        <v>0</v>
      </c>
      <c r="CB216" s="281">
        <v>0</v>
      </c>
      <c r="CC216" s="281">
        <v>0</v>
      </c>
      <c r="CD216" s="281">
        <v>0</v>
      </c>
      <c r="CE216" s="302">
        <f t="shared" si="1260"/>
        <v>0</v>
      </c>
      <c r="CF216" s="302">
        <f t="shared" si="1261"/>
        <v>0</v>
      </c>
      <c r="CG216" s="281">
        <v>0</v>
      </c>
      <c r="CH216" s="281">
        <v>0</v>
      </c>
      <c r="CI216" s="281">
        <v>0</v>
      </c>
      <c r="CJ216" s="281">
        <v>0</v>
      </c>
      <c r="CK216" s="302">
        <f t="shared" si="1262"/>
        <v>0</v>
      </c>
      <c r="CL216" s="281"/>
      <c r="CM216" s="281"/>
      <c r="CN216" s="281">
        <v>0</v>
      </c>
      <c r="CO216" s="281"/>
    </row>
    <row r="217" spans="1:93" s="289" customFormat="1" x14ac:dyDescent="0.25">
      <c r="A217" s="484" t="str">
        <f>Language!C168</f>
        <v>Depreciação e Amortização</v>
      </c>
      <c r="B217" s="485">
        <f t="shared" ref="B217:AL217" si="1267">SUM(B218,B219,B220,B221,B222,B223)</f>
        <v>-458</v>
      </c>
      <c r="C217" s="485">
        <f t="shared" si="1267"/>
        <v>-708</v>
      </c>
      <c r="D217" s="485">
        <f t="shared" si="1267"/>
        <v>-233</v>
      </c>
      <c r="E217" s="485">
        <f t="shared" si="1267"/>
        <v>-171</v>
      </c>
      <c r="F217" s="486">
        <f t="shared" si="1267"/>
        <v>-532</v>
      </c>
      <c r="G217" s="485">
        <f t="shared" si="1267"/>
        <v>-631</v>
      </c>
      <c r="H217" s="485">
        <f t="shared" si="1267"/>
        <v>-650</v>
      </c>
      <c r="I217" s="485">
        <f t="shared" si="1267"/>
        <v>-743</v>
      </c>
      <c r="J217" s="486">
        <f t="shared" si="1267"/>
        <v>-777</v>
      </c>
      <c r="K217" s="485">
        <f t="shared" si="1267"/>
        <v>-775</v>
      </c>
      <c r="L217" s="485">
        <f t="shared" si="1267"/>
        <v>-778</v>
      </c>
      <c r="M217" s="485">
        <f t="shared" si="1267"/>
        <v>-849</v>
      </c>
      <c r="N217" s="486">
        <f t="shared" si="1267"/>
        <v>-875</v>
      </c>
      <c r="O217" s="485">
        <f t="shared" si="1267"/>
        <v>-1116</v>
      </c>
      <c r="P217" s="485">
        <f t="shared" si="1267"/>
        <v>-1212</v>
      </c>
      <c r="Q217" s="485">
        <f t="shared" si="1267"/>
        <v>-1413</v>
      </c>
      <c r="R217" s="486">
        <f t="shared" si="1267"/>
        <v>-1680</v>
      </c>
      <c r="S217" s="485">
        <f t="shared" si="1267"/>
        <v>-2016</v>
      </c>
      <c r="T217" s="485">
        <f t="shared" si="1267"/>
        <v>-1960</v>
      </c>
      <c r="U217" s="485">
        <f t="shared" si="1267"/>
        <v>-3387</v>
      </c>
      <c r="V217" s="485">
        <f t="shared" si="1267"/>
        <v>-3696</v>
      </c>
      <c r="W217" s="487">
        <f t="shared" si="1267"/>
        <v>-5656</v>
      </c>
      <c r="X217" s="488">
        <f t="shared" si="1267"/>
        <v>-9043</v>
      </c>
      <c r="Y217" s="489">
        <f t="shared" si="1267"/>
        <v>-2644</v>
      </c>
      <c r="Z217" s="487">
        <f t="shared" si="1267"/>
        <v>-2874</v>
      </c>
      <c r="AA217" s="485">
        <f t="shared" si="1267"/>
        <v>-2663</v>
      </c>
      <c r="AB217" s="485">
        <f t="shared" si="1267"/>
        <v>-1217</v>
      </c>
      <c r="AC217" s="487">
        <f t="shared" si="1267"/>
        <v>-5518</v>
      </c>
      <c r="AD217" s="487">
        <f t="shared" si="1267"/>
        <v>-8181</v>
      </c>
      <c r="AE217" s="488">
        <f t="shared" si="1267"/>
        <v>-9398</v>
      </c>
      <c r="AF217" s="487">
        <f t="shared" si="1267"/>
        <v>-3618.9999999999995</v>
      </c>
      <c r="AG217" s="487">
        <f t="shared" si="1230"/>
        <v>-945.00000000000045</v>
      </c>
      <c r="AH217" s="487">
        <f t="shared" si="974"/>
        <v>-3340.9999999999991</v>
      </c>
      <c r="AI217" s="487">
        <f t="shared" si="975"/>
        <v>-2051.0000000000009</v>
      </c>
      <c r="AJ217" s="487">
        <f t="shared" si="1267"/>
        <v>-4564</v>
      </c>
      <c r="AK217" s="487">
        <f t="shared" si="1267"/>
        <v>-7904.9999999999991</v>
      </c>
      <c r="AL217" s="488">
        <f t="shared" si="1267"/>
        <v>-9956</v>
      </c>
      <c r="AM217" s="487">
        <f>SUM(AM218:AM224)</f>
        <v>-1851</v>
      </c>
      <c r="AN217" s="487">
        <f t="shared" si="976"/>
        <v>-1766</v>
      </c>
      <c r="AO217" s="487">
        <f t="shared" si="977"/>
        <v>-1826.9999999999991</v>
      </c>
      <c r="AP217" s="487">
        <f t="shared" si="977"/>
        <v>97</v>
      </c>
      <c r="AQ217" s="487">
        <f>SUM(AQ218:AQ224)</f>
        <v>-3617</v>
      </c>
      <c r="AR217" s="487">
        <f>SUM(AR218:AR224)</f>
        <v>-5443.9999999999991</v>
      </c>
      <c r="AS217" s="488">
        <f>SUM(AS218:AS224)</f>
        <v>-5346.9999999999991</v>
      </c>
      <c r="AT217" s="487">
        <f>SUM(AT218:AT224)</f>
        <v>-3530.5619999999999</v>
      </c>
      <c r="AU217" s="487">
        <f>SUM(AU218:AU225)</f>
        <v>-4258.9542000000001</v>
      </c>
      <c r="AV217" s="487">
        <f>SUM(AV218:AV224)</f>
        <v>-3218.6343999999999</v>
      </c>
      <c r="AW217" s="487">
        <f t="shared" si="978"/>
        <v>-3108.4768000000004</v>
      </c>
      <c r="AX217" s="487">
        <f>SUM(AX218:AX225)</f>
        <v>-7789.5162</v>
      </c>
      <c r="AY217" s="487">
        <f>SUM(AY218:AY225)</f>
        <v>-11011.150600000001</v>
      </c>
      <c r="AZ217" s="487">
        <f t="shared" ref="AZ217:BE217" si="1268">SUM(AZ218:AZ224)</f>
        <v>-14119.627400000001</v>
      </c>
      <c r="BA217" s="487">
        <f t="shared" si="1268"/>
        <v>-3753</v>
      </c>
      <c r="BB217" s="487">
        <f t="shared" si="1268"/>
        <v>-2281</v>
      </c>
      <c r="BC217" s="487">
        <f t="shared" si="1268"/>
        <v>-5133</v>
      </c>
      <c r="BD217" s="487">
        <f t="shared" si="1268"/>
        <v>-4741</v>
      </c>
      <c r="BE217" s="487">
        <f t="shared" si="1268"/>
        <v>-6034</v>
      </c>
      <c r="BF217" s="487">
        <f t="shared" ref="BF217:BG217" si="1269">SUM(BF218:BF224)</f>
        <v>-11167</v>
      </c>
      <c r="BG217" s="487">
        <f t="shared" si="1269"/>
        <v>-15908</v>
      </c>
      <c r="BH217" s="487">
        <f t="shared" ref="BH217:BL217" si="1270">SUM(BH218:BH224)</f>
        <v>-1898</v>
      </c>
      <c r="BI217" s="487">
        <f t="shared" si="1270"/>
        <v>-2170</v>
      </c>
      <c r="BJ217" s="487">
        <f t="shared" si="1270"/>
        <v>-2389</v>
      </c>
      <c r="BK217" s="487">
        <f t="shared" si="1270"/>
        <v>-2293</v>
      </c>
      <c r="BL217" s="487">
        <f t="shared" si="1270"/>
        <v>-4068</v>
      </c>
      <c r="BM217" s="487">
        <f t="shared" ref="BM217:BN217" si="1271">SUM(BM218:BM224)</f>
        <v>-6457</v>
      </c>
      <c r="BN217" s="487">
        <f t="shared" si="1271"/>
        <v>-8750</v>
      </c>
      <c r="BO217" s="487">
        <f t="shared" ref="BO217:BS217" si="1272">SUM(BO218:BO224)</f>
        <v>-1436</v>
      </c>
      <c r="BP217" s="487">
        <f t="shared" si="1272"/>
        <v>-2190</v>
      </c>
      <c r="BQ217" s="487">
        <f t="shared" si="1272"/>
        <v>-2437</v>
      </c>
      <c r="BR217" s="487">
        <f t="shared" si="1272"/>
        <v>-2688</v>
      </c>
      <c r="BS217" s="487">
        <f t="shared" si="1272"/>
        <v>-3626</v>
      </c>
      <c r="BT217" s="487">
        <f t="shared" ref="BT217:BU217" si="1273">SUM(BT218:BT224)</f>
        <v>-6063</v>
      </c>
      <c r="BU217" s="487">
        <f t="shared" si="1273"/>
        <v>-8751</v>
      </c>
      <c r="BV217" s="487">
        <f t="shared" ref="BV217:BY217" si="1274">SUM(BV218:BV224)</f>
        <v>-2408</v>
      </c>
      <c r="BW217" s="487">
        <f t="shared" si="1274"/>
        <v>-2070</v>
      </c>
      <c r="BX217" s="487">
        <f t="shared" si="1274"/>
        <v>-1640</v>
      </c>
      <c r="BY217" s="487">
        <f t="shared" si="1274"/>
        <v>-1866</v>
      </c>
      <c r="BZ217" s="487">
        <f t="shared" ref="BZ217:CA217" si="1275">SUM(BZ218:BZ224)</f>
        <v>-4478</v>
      </c>
      <c r="CA217" s="487">
        <f t="shared" si="1275"/>
        <v>-6118</v>
      </c>
      <c r="CB217" s="487">
        <f t="shared" ref="CB217:CC217" si="1276">SUM(CB218:CB224)</f>
        <v>-7984</v>
      </c>
      <c r="CC217" s="487">
        <f t="shared" si="1276"/>
        <v>-2029</v>
      </c>
      <c r="CD217" s="487">
        <f t="shared" ref="CD217" si="1277">SUM(CD218:CD224)</f>
        <v>-3044</v>
      </c>
      <c r="CE217" s="487">
        <f t="shared" ref="CE217:CG217" si="1278">SUM(CE218:CE224)</f>
        <v>-2539</v>
      </c>
      <c r="CF217" s="487">
        <f t="shared" si="1278"/>
        <v>-936</v>
      </c>
      <c r="CG217" s="487">
        <f t="shared" si="1278"/>
        <v>-5073</v>
      </c>
      <c r="CH217" s="487">
        <f t="shared" ref="CH217:CI217" si="1279">SUM(CH218:CH224)</f>
        <v>-7612</v>
      </c>
      <c r="CI217" s="487">
        <f t="shared" si="1279"/>
        <v>-8548</v>
      </c>
      <c r="CJ217" s="487">
        <v>-1579</v>
      </c>
      <c r="CK217" s="487">
        <f t="shared" ref="CK217" si="1280">SUM(CK218:CK224)</f>
        <v>-1515</v>
      </c>
      <c r="CL217" s="487">
        <f t="shared" ref="CL217:CO217" si="1281">SUM(CL218:CL224)</f>
        <v>0</v>
      </c>
      <c r="CM217" s="487">
        <f t="shared" si="1281"/>
        <v>0</v>
      </c>
      <c r="CN217" s="487">
        <f t="shared" si="1281"/>
        <v>-3094</v>
      </c>
      <c r="CO217" s="487">
        <f t="shared" si="1281"/>
        <v>0</v>
      </c>
    </row>
    <row r="218" spans="1:93" s="289" customFormat="1" x14ac:dyDescent="0.25">
      <c r="A218" s="455" t="str">
        <f>Language!C169</f>
        <v>Concepa</v>
      </c>
      <c r="B218" s="280">
        <v>-201</v>
      </c>
      <c r="C218" s="280">
        <v>127</v>
      </c>
      <c r="D218" s="280">
        <v>-559</v>
      </c>
      <c r="E218" s="280">
        <v>196</v>
      </c>
      <c r="F218" s="279">
        <v>-117</v>
      </c>
      <c r="G218" s="280">
        <v>-126</v>
      </c>
      <c r="H218" s="280">
        <v>-132</v>
      </c>
      <c r="I218" s="280">
        <v>-157</v>
      </c>
      <c r="J218" s="279">
        <v>-150</v>
      </c>
      <c r="K218" s="280">
        <v>-145</v>
      </c>
      <c r="L218" s="280">
        <v>-131</v>
      </c>
      <c r="M218" s="280">
        <v>-162</v>
      </c>
      <c r="N218" s="279">
        <v>-161</v>
      </c>
      <c r="O218" s="280">
        <v>-169</v>
      </c>
      <c r="P218" s="280">
        <v>-173</v>
      </c>
      <c r="Q218" s="280">
        <v>-186</v>
      </c>
      <c r="R218" s="279">
        <v>-224</v>
      </c>
      <c r="S218" s="280">
        <v>-230</v>
      </c>
      <c r="T218" s="280">
        <f t="shared" ref="T218:T223" si="1282">W218-S218-R218</f>
        <v>-201</v>
      </c>
      <c r="U218" s="280">
        <f t="shared" ref="U218:U223" si="1283">X218-W218</f>
        <v>-199</v>
      </c>
      <c r="V218" s="280">
        <f t="shared" ref="V218:V223" si="1284">R218+S218</f>
        <v>-454</v>
      </c>
      <c r="W218" s="281">
        <v>-655</v>
      </c>
      <c r="X218" s="282">
        <v>-854</v>
      </c>
      <c r="Y218" s="283">
        <v>-200</v>
      </c>
      <c r="Z218" s="281">
        <f t="shared" ref="Z218:Z223" si="1285">AC218-Y218</f>
        <v>-210</v>
      </c>
      <c r="AA218" s="280">
        <f t="shared" ref="AA218:AA223" si="1286">AD218-Z218-Y218</f>
        <v>-214</v>
      </c>
      <c r="AB218" s="280">
        <f t="shared" ref="AB218:AB223" si="1287">AE218-AD218</f>
        <v>-196</v>
      </c>
      <c r="AC218" s="281">
        <v>-410</v>
      </c>
      <c r="AD218" s="281">
        <v>-624</v>
      </c>
      <c r="AE218" s="282">
        <v>-820</v>
      </c>
      <c r="AF218" s="281">
        <v>-197.73771330179352</v>
      </c>
      <c r="AG218" s="281">
        <f t="shared" si="1230"/>
        <v>-120.53935297108427</v>
      </c>
      <c r="AH218" s="281">
        <f t="shared" si="974"/>
        <v>-238.63934071804482</v>
      </c>
      <c r="AI218" s="281">
        <f t="shared" si="975"/>
        <v>-83.08359300907739</v>
      </c>
      <c r="AJ218" s="281">
        <v>-318.27706627287779</v>
      </c>
      <c r="AK218" s="281">
        <v>-556.91640699092261</v>
      </c>
      <c r="AL218" s="282">
        <v>-640</v>
      </c>
      <c r="AM218" s="281">
        <v>-124</v>
      </c>
      <c r="AN218" s="281">
        <f t="shared" si="976"/>
        <v>-121</v>
      </c>
      <c r="AO218" s="281">
        <f t="shared" si="977"/>
        <v>-159.91637559071302</v>
      </c>
      <c r="AP218" s="281">
        <f t="shared" si="977"/>
        <v>-119.50542432191259</v>
      </c>
      <c r="AQ218" s="281">
        <v>-245</v>
      </c>
      <c r="AR218" s="281">
        <v>-404.91637559071302</v>
      </c>
      <c r="AS218" s="282">
        <v>-524.4217999126256</v>
      </c>
      <c r="AT218" s="281">
        <v>0</v>
      </c>
      <c r="AU218" s="281">
        <f t="shared" si="1249"/>
        <v>-158</v>
      </c>
      <c r="AV218" s="281">
        <f>AY218-AX218</f>
        <v>14</v>
      </c>
      <c r="AW218" s="281">
        <f t="shared" si="978"/>
        <v>144</v>
      </c>
      <c r="AX218" s="281">
        <v>-158</v>
      </c>
      <c r="AY218" s="281">
        <v>-144</v>
      </c>
      <c r="AZ218" s="281">
        <v>0</v>
      </c>
      <c r="BA218" s="281">
        <v>0</v>
      </c>
      <c r="BB218" s="281">
        <f>BE218-BA218</f>
        <v>0</v>
      </c>
      <c r="BC218" s="281">
        <f>BF218-BE218</f>
        <v>0</v>
      </c>
      <c r="BD218" s="281">
        <f>BG218-BF218</f>
        <v>0</v>
      </c>
      <c r="BE218" s="281">
        <v>0</v>
      </c>
      <c r="BF218" s="281">
        <v>0</v>
      </c>
      <c r="BG218" s="281">
        <v>0</v>
      </c>
      <c r="BH218" s="281">
        <v>0</v>
      </c>
      <c r="BI218" s="281">
        <v>0</v>
      </c>
      <c r="BJ218" s="281">
        <v>0</v>
      </c>
      <c r="BK218" s="281">
        <v>0</v>
      </c>
      <c r="BL218" s="281">
        <v>0</v>
      </c>
      <c r="BM218" s="281">
        <v>0</v>
      </c>
      <c r="BN218" s="281">
        <v>0</v>
      </c>
      <c r="BO218" s="281">
        <v>0</v>
      </c>
      <c r="BP218" s="281">
        <f>BS218-BO218</f>
        <v>0</v>
      </c>
      <c r="BQ218" s="281">
        <f>BT218-BS218</f>
        <v>0</v>
      </c>
      <c r="BR218" s="281">
        <f>BU218-BT218</f>
        <v>0</v>
      </c>
      <c r="BS218" s="281">
        <v>0</v>
      </c>
      <c r="BT218" s="281">
        <v>0</v>
      </c>
      <c r="BU218" s="281">
        <v>0</v>
      </c>
      <c r="BV218" s="281">
        <v>0</v>
      </c>
      <c r="BW218" s="281">
        <f>BZ218-BV218</f>
        <v>0</v>
      </c>
      <c r="BX218" s="281">
        <f>CA218-BZ218</f>
        <v>0</v>
      </c>
      <c r="BY218" s="281">
        <f>CB218-CA218</f>
        <v>0</v>
      </c>
      <c r="BZ218" s="281">
        <v>0</v>
      </c>
      <c r="CA218" s="302">
        <v>0</v>
      </c>
      <c r="CB218" s="302">
        <v>0</v>
      </c>
      <c r="CC218" s="302">
        <v>0</v>
      </c>
      <c r="CD218" s="302">
        <f>CG218-CC218</f>
        <v>0</v>
      </c>
      <c r="CE218" s="302">
        <f>CH218-CG218</f>
        <v>0</v>
      </c>
      <c r="CF218" s="302">
        <f>CI218-CH218</f>
        <v>0</v>
      </c>
      <c r="CG218" s="302">
        <v>0</v>
      </c>
      <c r="CH218" s="302">
        <v>0</v>
      </c>
      <c r="CI218" s="302">
        <v>0</v>
      </c>
      <c r="CJ218" s="302">
        <v>0</v>
      </c>
      <c r="CK218" s="302">
        <f>CN218-CJ218</f>
        <v>0</v>
      </c>
      <c r="CL218" s="302"/>
      <c r="CM218" s="302"/>
      <c r="CN218" s="302">
        <v>0</v>
      </c>
      <c r="CO218" s="302"/>
    </row>
    <row r="219" spans="1:93" s="289" customFormat="1" x14ac:dyDescent="0.25">
      <c r="A219" s="455" t="str">
        <f>Language!C170</f>
        <v>Concer</v>
      </c>
      <c r="B219" s="280">
        <v>-220</v>
      </c>
      <c r="C219" s="280">
        <v>-448</v>
      </c>
      <c r="D219" s="280">
        <v>12</v>
      </c>
      <c r="E219" s="280">
        <v>-319</v>
      </c>
      <c r="F219" s="279">
        <v>-376</v>
      </c>
      <c r="G219" s="280">
        <v>-464</v>
      </c>
      <c r="H219" s="280">
        <v>-476</v>
      </c>
      <c r="I219" s="280">
        <v>-528</v>
      </c>
      <c r="J219" s="279">
        <v>-571</v>
      </c>
      <c r="K219" s="280">
        <v>-574</v>
      </c>
      <c r="L219" s="280">
        <v>-589</v>
      </c>
      <c r="M219" s="280">
        <v>-623</v>
      </c>
      <c r="N219" s="279">
        <v>-650</v>
      </c>
      <c r="O219" s="280">
        <v>-656</v>
      </c>
      <c r="P219" s="280">
        <v>-658</v>
      </c>
      <c r="Q219" s="280">
        <v>-664</v>
      </c>
      <c r="R219" s="279">
        <v>-673</v>
      </c>
      <c r="S219" s="280">
        <v>-669</v>
      </c>
      <c r="T219" s="280">
        <f t="shared" si="1282"/>
        <v>-657</v>
      </c>
      <c r="U219" s="280">
        <f t="shared" si="1283"/>
        <v>-657</v>
      </c>
      <c r="V219" s="280">
        <f t="shared" si="1284"/>
        <v>-1342</v>
      </c>
      <c r="W219" s="281">
        <v>-1999</v>
      </c>
      <c r="X219" s="282">
        <v>-2656</v>
      </c>
      <c r="Y219" s="283">
        <v>-689</v>
      </c>
      <c r="Z219" s="281">
        <f t="shared" si="1285"/>
        <v>-815</v>
      </c>
      <c r="AA219" s="280">
        <f>AD219-Z219-Y219</f>
        <v>-829</v>
      </c>
      <c r="AB219" s="280">
        <f t="shared" si="1287"/>
        <v>-776</v>
      </c>
      <c r="AC219" s="281">
        <v>-1504</v>
      </c>
      <c r="AD219" s="281">
        <v>-2333</v>
      </c>
      <c r="AE219" s="282">
        <v>-3109</v>
      </c>
      <c r="AF219" s="281">
        <v>-805.62452775355996</v>
      </c>
      <c r="AG219" s="281">
        <f t="shared" si="1230"/>
        <v>-413.17585211348705</v>
      </c>
      <c r="AH219" s="281">
        <f t="shared" si="974"/>
        <v>-1003.5102826448078</v>
      </c>
      <c r="AI219" s="281">
        <f t="shared" si="975"/>
        <v>-512.68933748814516</v>
      </c>
      <c r="AJ219" s="281">
        <v>-1218.800379867047</v>
      </c>
      <c r="AK219" s="281">
        <v>-2222.3106625118548</v>
      </c>
      <c r="AL219" s="282">
        <v>-2735</v>
      </c>
      <c r="AM219" s="281">
        <v>-716</v>
      </c>
      <c r="AN219" s="281">
        <f t="shared" si="976"/>
        <v>-613</v>
      </c>
      <c r="AO219" s="281">
        <f t="shared" si="977"/>
        <v>-956.2048489829458</v>
      </c>
      <c r="AP219" s="281">
        <f t="shared" si="977"/>
        <v>-1201.2073397457561</v>
      </c>
      <c r="AQ219" s="281">
        <v>-1329</v>
      </c>
      <c r="AR219" s="281">
        <v>-2285.2048489829458</v>
      </c>
      <c r="AS219" s="282">
        <v>-3486.4121887287019</v>
      </c>
      <c r="AT219" s="281">
        <v>-834.56200000000001</v>
      </c>
      <c r="AU219" s="281">
        <f t="shared" si="1249"/>
        <v>-895.95420000000001</v>
      </c>
      <c r="AV219" s="281">
        <f t="shared" ref="AV219:AV224" si="1288">AY219-AX219</f>
        <v>-544.63439999999991</v>
      </c>
      <c r="AW219" s="281">
        <f t="shared" si="978"/>
        <v>-687.47680000000037</v>
      </c>
      <c r="AX219" s="281">
        <v>-1730.5162</v>
      </c>
      <c r="AY219" s="281">
        <v>-2275.1505999999999</v>
      </c>
      <c r="AZ219" s="281">
        <v>-2962.6274000000003</v>
      </c>
      <c r="BA219" s="281">
        <v>-863</v>
      </c>
      <c r="BB219" s="281">
        <f t="shared" ref="BB219:BB224" si="1289">BE219-BA219</f>
        <v>-629</v>
      </c>
      <c r="BC219" s="281">
        <f t="shared" ref="BC219:BC224" si="1290">BF219-BE219</f>
        <v>-909</v>
      </c>
      <c r="BD219" s="281">
        <f t="shared" ref="BD219:BD224" si="1291">BG219-BF219</f>
        <v>-659</v>
      </c>
      <c r="BE219" s="281">
        <v>-1492</v>
      </c>
      <c r="BF219" s="281">
        <v>-2401</v>
      </c>
      <c r="BG219" s="281">
        <v>-3060</v>
      </c>
      <c r="BH219" s="281">
        <v>-299</v>
      </c>
      <c r="BI219" s="281">
        <f>BL219-BH219</f>
        <v>-226</v>
      </c>
      <c r="BJ219" s="281">
        <f>BM219-BL219</f>
        <v>-169</v>
      </c>
      <c r="BK219" s="281">
        <f>BN219-BM219</f>
        <v>-179</v>
      </c>
      <c r="BL219" s="281">
        <v>-525</v>
      </c>
      <c r="BM219" s="281">
        <v>-694</v>
      </c>
      <c r="BN219" s="281">
        <v>-873</v>
      </c>
      <c r="BO219" s="281">
        <v>-131</v>
      </c>
      <c r="BP219" s="281">
        <f t="shared" ref="BP219:BP224" si="1292">BS219-BO219</f>
        <v>-125</v>
      </c>
      <c r="BQ219" s="281">
        <f t="shared" ref="BQ219:BQ224" si="1293">BT219-BS219</f>
        <v>-101</v>
      </c>
      <c r="BR219" s="281">
        <f t="shared" ref="BR219:BR224" si="1294">BU219-BT219</f>
        <v>-107</v>
      </c>
      <c r="BS219" s="281">
        <v>-256</v>
      </c>
      <c r="BT219" s="281">
        <v>-357</v>
      </c>
      <c r="BU219" s="281">
        <v>-464</v>
      </c>
      <c r="BV219" s="281">
        <v>-206</v>
      </c>
      <c r="BW219" s="281">
        <f t="shared" ref="BW219:BW224" si="1295">BZ219-BV219</f>
        <v>-202</v>
      </c>
      <c r="BX219" s="281">
        <f t="shared" ref="BX219:BX224" si="1296">CA219-BZ219</f>
        <v>-203</v>
      </c>
      <c r="BY219" s="281">
        <f t="shared" ref="BY219:BY224" si="1297">CB219-CA219</f>
        <v>-204</v>
      </c>
      <c r="BZ219" s="281">
        <v>-408</v>
      </c>
      <c r="CA219" s="281">
        <v>-611</v>
      </c>
      <c r="CB219" s="281">
        <v>-815</v>
      </c>
      <c r="CC219" s="281">
        <v>-201</v>
      </c>
      <c r="CD219" s="302">
        <f t="shared" ref="CD219:CD224" si="1298">CG219-CC219</f>
        <v>-204</v>
      </c>
      <c r="CE219" s="302">
        <f t="shared" ref="CE219:CE224" si="1299">CH219-CG219</f>
        <v>-185</v>
      </c>
      <c r="CF219" s="302">
        <f t="shared" ref="CF219:CF224" si="1300">CI219-CH219</f>
        <v>-201</v>
      </c>
      <c r="CG219" s="281">
        <v>-405</v>
      </c>
      <c r="CH219" s="281">
        <v>-590</v>
      </c>
      <c r="CI219" s="281">
        <v>-791</v>
      </c>
      <c r="CJ219" s="281">
        <v>-198</v>
      </c>
      <c r="CK219" s="302">
        <f t="shared" ref="CK219:CK224" si="1301">CN219-CJ219</f>
        <v>-171</v>
      </c>
      <c r="CL219" s="281"/>
      <c r="CM219" s="281"/>
      <c r="CN219" s="281">
        <v>-369</v>
      </c>
      <c r="CO219" s="281"/>
    </row>
    <row r="220" spans="1:93" s="289" customFormat="1" x14ac:dyDescent="0.25">
      <c r="A220" s="455" t="str">
        <f>Language!C171</f>
        <v>Econorte</v>
      </c>
      <c r="B220" s="280">
        <v>-37</v>
      </c>
      <c r="C220" s="280">
        <v>-387</v>
      </c>
      <c r="D220" s="280">
        <v>314</v>
      </c>
      <c r="E220" s="280">
        <v>-48</v>
      </c>
      <c r="F220" s="279">
        <v>-39</v>
      </c>
      <c r="G220" s="280">
        <v>-41</v>
      </c>
      <c r="H220" s="280">
        <v>-42</v>
      </c>
      <c r="I220" s="280">
        <v>-58</v>
      </c>
      <c r="J220" s="279">
        <v>-56</v>
      </c>
      <c r="K220" s="280">
        <v>-56</v>
      </c>
      <c r="L220" s="280">
        <v>-58</v>
      </c>
      <c r="M220" s="280">
        <v>-64</v>
      </c>
      <c r="N220" s="279">
        <v>-64</v>
      </c>
      <c r="O220" s="280">
        <v>-65</v>
      </c>
      <c r="P220" s="280">
        <v>-65</v>
      </c>
      <c r="Q220" s="280">
        <v>-59</v>
      </c>
      <c r="R220" s="279">
        <v>-73</v>
      </c>
      <c r="S220" s="280">
        <v>-114</v>
      </c>
      <c r="T220" s="280">
        <f t="shared" si="1282"/>
        <v>-123</v>
      </c>
      <c r="U220" s="280">
        <f t="shared" si="1283"/>
        <v>-128</v>
      </c>
      <c r="V220" s="280">
        <f t="shared" si="1284"/>
        <v>-187</v>
      </c>
      <c r="W220" s="281">
        <v>-310</v>
      </c>
      <c r="X220" s="282">
        <v>-438</v>
      </c>
      <c r="Y220" s="283">
        <v>-127</v>
      </c>
      <c r="Z220" s="281">
        <f t="shared" si="1285"/>
        <v>-132</v>
      </c>
      <c r="AA220" s="280">
        <f t="shared" si="1286"/>
        <v>-159</v>
      </c>
      <c r="AB220" s="280">
        <f t="shared" si="1287"/>
        <v>-166</v>
      </c>
      <c r="AC220" s="281">
        <v>-259</v>
      </c>
      <c r="AD220" s="281">
        <v>-418</v>
      </c>
      <c r="AE220" s="282">
        <v>-584</v>
      </c>
      <c r="AF220" s="281">
        <v>-172.48358035454811</v>
      </c>
      <c r="AG220" s="281">
        <f t="shared" si="1230"/>
        <v>-116.17966750869977</v>
      </c>
      <c r="AH220" s="281">
        <f t="shared" si="974"/>
        <v>-209.34853915748101</v>
      </c>
      <c r="AI220" s="281">
        <f t="shared" si="975"/>
        <v>-31.988212979271111</v>
      </c>
      <c r="AJ220" s="281">
        <v>-288.66324786324788</v>
      </c>
      <c r="AK220" s="281">
        <v>-498.01178702072889</v>
      </c>
      <c r="AL220" s="282">
        <v>-530</v>
      </c>
      <c r="AM220" s="281">
        <v>-51</v>
      </c>
      <c r="AN220" s="281">
        <f t="shared" si="976"/>
        <v>-50</v>
      </c>
      <c r="AO220" s="281">
        <f t="shared" si="977"/>
        <v>-67.901582083418901</v>
      </c>
      <c r="AP220" s="281">
        <f t="shared" si="977"/>
        <v>-60.021965317192695</v>
      </c>
      <c r="AQ220" s="281">
        <v>-101</v>
      </c>
      <c r="AR220" s="281">
        <v>-168.9015820834189</v>
      </c>
      <c r="AS220" s="282">
        <v>-228.9235474006116</v>
      </c>
      <c r="AT220" s="281">
        <v>-36</v>
      </c>
      <c r="AU220" s="281">
        <f t="shared" si="1249"/>
        <v>-37</v>
      </c>
      <c r="AV220" s="281">
        <f t="shared" si="1288"/>
        <v>-36</v>
      </c>
      <c r="AW220" s="281">
        <f t="shared" si="978"/>
        <v>-36</v>
      </c>
      <c r="AX220" s="281">
        <v>-73</v>
      </c>
      <c r="AY220" s="281">
        <v>-109</v>
      </c>
      <c r="AZ220" s="281">
        <v>-145</v>
      </c>
      <c r="BA220" s="281">
        <v>-36</v>
      </c>
      <c r="BB220" s="281">
        <f t="shared" si="1289"/>
        <v>-34</v>
      </c>
      <c r="BC220" s="281">
        <f t="shared" si="1290"/>
        <v>-35</v>
      </c>
      <c r="BD220" s="281">
        <f t="shared" si="1291"/>
        <v>-34</v>
      </c>
      <c r="BE220" s="281">
        <v>-70</v>
      </c>
      <c r="BF220" s="281">
        <v>-105</v>
      </c>
      <c r="BG220" s="281">
        <v>-139</v>
      </c>
      <c r="BH220" s="281">
        <v>-34</v>
      </c>
      <c r="BI220" s="281">
        <f>BL220-BH220</f>
        <v>-34</v>
      </c>
      <c r="BJ220" s="281">
        <f t="shared" ref="BJ220:BJ224" si="1302">BM220-BL220</f>
        <v>-34</v>
      </c>
      <c r="BK220" s="281">
        <f>BN220-BM220</f>
        <v>-33</v>
      </c>
      <c r="BL220" s="281">
        <v>-68</v>
      </c>
      <c r="BM220" s="281">
        <v>-102</v>
      </c>
      <c r="BN220" s="281">
        <v>-135</v>
      </c>
      <c r="BO220" s="281">
        <v>-33</v>
      </c>
      <c r="BP220" s="281">
        <f t="shared" si="1292"/>
        <v>-33</v>
      </c>
      <c r="BQ220" s="281">
        <f t="shared" si="1293"/>
        <v>-33</v>
      </c>
      <c r="BR220" s="281">
        <f t="shared" si="1294"/>
        <v>-227</v>
      </c>
      <c r="BS220" s="281">
        <v>-66</v>
      </c>
      <c r="BT220" s="281">
        <v>-99</v>
      </c>
      <c r="BU220" s="281">
        <v>-326</v>
      </c>
      <c r="BV220" s="281">
        <v>0</v>
      </c>
      <c r="BW220" s="281">
        <f t="shared" si="1295"/>
        <v>0</v>
      </c>
      <c r="BX220" s="281">
        <f t="shared" si="1296"/>
        <v>0</v>
      </c>
      <c r="BY220" s="281">
        <f t="shared" si="1297"/>
        <v>0</v>
      </c>
      <c r="BZ220" s="281">
        <v>0</v>
      </c>
      <c r="CA220" s="281">
        <v>0</v>
      </c>
      <c r="CB220" s="281">
        <v>0</v>
      </c>
      <c r="CC220" s="281">
        <v>0</v>
      </c>
      <c r="CD220" s="302">
        <f t="shared" si="1298"/>
        <v>0</v>
      </c>
      <c r="CE220" s="302">
        <f t="shared" si="1299"/>
        <v>0</v>
      </c>
      <c r="CF220" s="302">
        <f t="shared" si="1300"/>
        <v>0</v>
      </c>
      <c r="CG220" s="281">
        <v>0</v>
      </c>
      <c r="CH220" s="281">
        <v>0</v>
      </c>
      <c r="CI220" s="281">
        <v>0</v>
      </c>
      <c r="CJ220" s="281">
        <v>0</v>
      </c>
      <c r="CK220" s="302">
        <f t="shared" si="1301"/>
        <v>0</v>
      </c>
      <c r="CL220" s="281"/>
      <c r="CM220" s="281"/>
      <c r="CN220" s="281">
        <v>0</v>
      </c>
      <c r="CO220" s="281"/>
    </row>
    <row r="221" spans="1:93" s="289" customFormat="1" x14ac:dyDescent="0.25">
      <c r="A221" s="455" t="str">
        <f>Language!C172</f>
        <v>Convale</v>
      </c>
      <c r="B221" s="280">
        <v>0</v>
      </c>
      <c r="C221" s="280">
        <v>0</v>
      </c>
      <c r="D221" s="280"/>
      <c r="E221" s="280">
        <v>0</v>
      </c>
      <c r="F221" s="279">
        <v>0</v>
      </c>
      <c r="G221" s="280">
        <v>0</v>
      </c>
      <c r="H221" s="280">
        <v>0</v>
      </c>
      <c r="I221" s="280">
        <v>0</v>
      </c>
      <c r="J221" s="279">
        <v>0</v>
      </c>
      <c r="K221" s="280">
        <v>0</v>
      </c>
      <c r="L221" s="280">
        <v>0</v>
      </c>
      <c r="M221" s="280">
        <v>0</v>
      </c>
      <c r="N221" s="279">
        <v>0</v>
      </c>
      <c r="O221" s="280">
        <v>0</v>
      </c>
      <c r="P221" s="280">
        <v>0</v>
      </c>
      <c r="Q221" s="280">
        <v>0</v>
      </c>
      <c r="R221" s="279">
        <v>0</v>
      </c>
      <c r="S221" s="280">
        <v>0</v>
      </c>
      <c r="T221" s="280">
        <f t="shared" si="1282"/>
        <v>0</v>
      </c>
      <c r="U221" s="280">
        <f t="shared" si="1283"/>
        <v>0</v>
      </c>
      <c r="V221" s="280">
        <f t="shared" si="1284"/>
        <v>0</v>
      </c>
      <c r="W221" s="281">
        <v>0</v>
      </c>
      <c r="X221" s="282">
        <v>0</v>
      </c>
      <c r="Y221" s="283">
        <v>0</v>
      </c>
      <c r="Z221" s="281">
        <f t="shared" si="1285"/>
        <v>0</v>
      </c>
      <c r="AA221" s="280">
        <f t="shared" si="1286"/>
        <v>0</v>
      </c>
      <c r="AB221" s="280">
        <f t="shared" si="1287"/>
        <v>0</v>
      </c>
      <c r="AC221" s="281">
        <v>0</v>
      </c>
      <c r="AD221" s="281">
        <v>0</v>
      </c>
      <c r="AE221" s="282">
        <v>0</v>
      </c>
      <c r="AF221" s="281">
        <v>0</v>
      </c>
      <c r="AG221" s="281">
        <f t="shared" si="1230"/>
        <v>0</v>
      </c>
      <c r="AH221" s="281">
        <f t="shared" si="974"/>
        <v>0</v>
      </c>
      <c r="AI221" s="281">
        <f t="shared" si="975"/>
        <v>0</v>
      </c>
      <c r="AJ221" s="281">
        <v>0</v>
      </c>
      <c r="AK221" s="281">
        <v>0</v>
      </c>
      <c r="AL221" s="282">
        <v>0</v>
      </c>
      <c r="AM221" s="281">
        <v>0</v>
      </c>
      <c r="AN221" s="281">
        <f t="shared" si="976"/>
        <v>0</v>
      </c>
      <c r="AO221" s="281">
        <f t="shared" si="977"/>
        <v>0</v>
      </c>
      <c r="AP221" s="281">
        <f t="shared" si="977"/>
        <v>0</v>
      </c>
      <c r="AQ221" s="281">
        <v>0</v>
      </c>
      <c r="AR221" s="281">
        <v>0</v>
      </c>
      <c r="AS221" s="282">
        <v>0</v>
      </c>
      <c r="AT221" s="281"/>
      <c r="AU221" s="281">
        <f t="shared" si="1249"/>
        <v>0</v>
      </c>
      <c r="AV221" s="281">
        <f t="shared" si="1288"/>
        <v>0</v>
      </c>
      <c r="AW221" s="281">
        <f t="shared" si="978"/>
        <v>0</v>
      </c>
      <c r="AX221" s="281">
        <v>0</v>
      </c>
      <c r="AY221" s="281">
        <v>0</v>
      </c>
      <c r="AZ221" s="732">
        <v>0</v>
      </c>
      <c r="BA221" s="732">
        <v>0</v>
      </c>
      <c r="BB221" s="281">
        <f t="shared" si="1289"/>
        <v>0</v>
      </c>
      <c r="BC221" s="281">
        <f t="shared" si="1290"/>
        <v>0</v>
      </c>
      <c r="BD221" s="281">
        <f t="shared" si="1291"/>
        <v>0</v>
      </c>
      <c r="BE221" s="732">
        <v>0</v>
      </c>
      <c r="BF221" s="732">
        <v>0</v>
      </c>
      <c r="BG221" s="732">
        <v>0</v>
      </c>
      <c r="BH221" s="732">
        <v>0</v>
      </c>
      <c r="BI221" s="732">
        <v>0</v>
      </c>
      <c r="BJ221" s="281">
        <f t="shared" si="1302"/>
        <v>0</v>
      </c>
      <c r="BK221" s="281">
        <f>BN221-BM221</f>
        <v>0</v>
      </c>
      <c r="BL221" s="732">
        <v>0</v>
      </c>
      <c r="BM221" s="732">
        <v>0</v>
      </c>
      <c r="BN221" s="732">
        <v>0</v>
      </c>
      <c r="BO221" s="732">
        <v>0</v>
      </c>
      <c r="BP221" s="281">
        <f t="shared" si="1292"/>
        <v>0</v>
      </c>
      <c r="BQ221" s="281">
        <f t="shared" si="1293"/>
        <v>0</v>
      </c>
      <c r="BR221" s="281">
        <f t="shared" si="1294"/>
        <v>0</v>
      </c>
      <c r="BS221" s="732">
        <v>0</v>
      </c>
      <c r="BT221" s="732">
        <v>0</v>
      </c>
      <c r="BU221" s="732">
        <v>0</v>
      </c>
      <c r="BV221" s="732">
        <v>0</v>
      </c>
      <c r="BW221" s="281">
        <f t="shared" si="1295"/>
        <v>0</v>
      </c>
      <c r="BX221" s="281">
        <f t="shared" si="1296"/>
        <v>0</v>
      </c>
      <c r="BY221" s="281">
        <f t="shared" si="1297"/>
        <v>0</v>
      </c>
      <c r="BZ221" s="732">
        <v>0</v>
      </c>
      <c r="CA221" s="732">
        <v>0</v>
      </c>
      <c r="CB221" s="732">
        <v>0</v>
      </c>
      <c r="CC221" s="732">
        <v>0</v>
      </c>
      <c r="CD221" s="302">
        <f t="shared" si="1298"/>
        <v>0</v>
      </c>
      <c r="CE221" s="302">
        <f t="shared" si="1299"/>
        <v>0</v>
      </c>
      <c r="CF221" s="302">
        <f t="shared" si="1300"/>
        <v>0</v>
      </c>
      <c r="CG221" s="732">
        <v>0</v>
      </c>
      <c r="CH221" s="732">
        <v>0</v>
      </c>
      <c r="CI221" s="732">
        <v>0</v>
      </c>
      <c r="CJ221" s="732">
        <v>0</v>
      </c>
      <c r="CK221" s="302">
        <f t="shared" si="1301"/>
        <v>0</v>
      </c>
      <c r="CL221" s="732"/>
      <c r="CM221" s="732"/>
      <c r="CN221" s="732">
        <v>0</v>
      </c>
      <c r="CO221" s="732"/>
    </row>
    <row r="222" spans="1:93" s="289" customFormat="1" x14ac:dyDescent="0.25">
      <c r="A222" s="455" t="str">
        <f>Language!C173</f>
        <v>Concebra</v>
      </c>
      <c r="B222" s="280">
        <v>0</v>
      </c>
      <c r="C222" s="280">
        <v>0</v>
      </c>
      <c r="D222" s="280">
        <v>0</v>
      </c>
      <c r="E222" s="280">
        <v>0</v>
      </c>
      <c r="F222" s="279">
        <v>0</v>
      </c>
      <c r="G222" s="280">
        <v>0</v>
      </c>
      <c r="H222" s="280">
        <v>0</v>
      </c>
      <c r="I222" s="280">
        <v>0</v>
      </c>
      <c r="J222" s="279">
        <v>0</v>
      </c>
      <c r="K222" s="280">
        <v>0</v>
      </c>
      <c r="L222" s="280">
        <v>0</v>
      </c>
      <c r="M222" s="280">
        <v>0</v>
      </c>
      <c r="N222" s="279">
        <v>0</v>
      </c>
      <c r="O222" s="280">
        <v>-226</v>
      </c>
      <c r="P222" s="280">
        <v>-316</v>
      </c>
      <c r="Q222" s="280">
        <v>-504</v>
      </c>
      <c r="R222" s="279">
        <v>-710</v>
      </c>
      <c r="S222" s="280">
        <v>-1003</v>
      </c>
      <c r="T222" s="280">
        <f t="shared" si="1282"/>
        <v>-979</v>
      </c>
      <c r="U222" s="280">
        <f t="shared" si="1283"/>
        <v>-1189</v>
      </c>
      <c r="V222" s="280">
        <f t="shared" si="1284"/>
        <v>-1713</v>
      </c>
      <c r="W222" s="281">
        <v>-2692</v>
      </c>
      <c r="X222" s="282">
        <v>-3881</v>
      </c>
      <c r="Y222" s="283">
        <v>-1145</v>
      </c>
      <c r="Z222" s="281">
        <f t="shared" si="1285"/>
        <v>-1225</v>
      </c>
      <c r="AA222" s="280">
        <f t="shared" si="1286"/>
        <v>-1140</v>
      </c>
      <c r="AB222" s="280">
        <f t="shared" si="1287"/>
        <v>-542</v>
      </c>
      <c r="AC222" s="281">
        <v>-2370</v>
      </c>
      <c r="AD222" s="281">
        <v>-3510</v>
      </c>
      <c r="AE222" s="282">
        <v>-4052</v>
      </c>
      <c r="AF222" s="281">
        <v>-2279.0970648067419</v>
      </c>
      <c r="AG222" s="281">
        <f t="shared" si="1230"/>
        <v>66.879021122031645</v>
      </c>
      <c r="AH222" s="281">
        <f t="shared" si="974"/>
        <v>-1442.0103806480356</v>
      </c>
      <c r="AI222" s="281">
        <f t="shared" si="975"/>
        <v>-1200.7715756672542</v>
      </c>
      <c r="AJ222" s="281">
        <v>-2212.2180436847102</v>
      </c>
      <c r="AK222" s="281">
        <v>-3654.2284243327458</v>
      </c>
      <c r="AL222" s="282">
        <v>-4855</v>
      </c>
      <c r="AM222" s="281">
        <v>-551</v>
      </c>
      <c r="AN222" s="281">
        <f t="shared" si="976"/>
        <v>-538</v>
      </c>
      <c r="AO222" s="281">
        <f t="shared" si="977"/>
        <v>-674.95890692418288</v>
      </c>
      <c r="AP222" s="281">
        <f t="shared" si="977"/>
        <v>-673.60968197926832</v>
      </c>
      <c r="AQ222" s="281">
        <v>-1089</v>
      </c>
      <c r="AR222" s="281">
        <v>-1763.9589069241829</v>
      </c>
      <c r="AS222" s="282">
        <v>-2437.5685889034512</v>
      </c>
      <c r="AT222" s="281">
        <v>-2240</v>
      </c>
      <c r="AU222" s="281">
        <f t="shared" si="1249"/>
        <v>-2832</v>
      </c>
      <c r="AV222" s="281">
        <f t="shared" si="1288"/>
        <v>-2089</v>
      </c>
      <c r="AW222" s="281">
        <f t="shared" si="978"/>
        <v>-1719</v>
      </c>
      <c r="AX222" s="281">
        <v>-5072</v>
      </c>
      <c r="AY222" s="281">
        <v>-7161</v>
      </c>
      <c r="AZ222" s="281">
        <v>-8880</v>
      </c>
      <c r="BA222" s="281">
        <v>-2097</v>
      </c>
      <c r="BB222" s="281">
        <f t="shared" si="1289"/>
        <v>-947</v>
      </c>
      <c r="BC222" s="281">
        <f t="shared" si="1290"/>
        <v>-3572</v>
      </c>
      <c r="BD222" s="281">
        <f t="shared" si="1291"/>
        <v>-3316</v>
      </c>
      <c r="BE222" s="281">
        <v>-3044</v>
      </c>
      <c r="BF222" s="281">
        <v>-6616</v>
      </c>
      <c r="BG222" s="281">
        <v>-9932</v>
      </c>
      <c r="BH222" s="281">
        <v>-779</v>
      </c>
      <c r="BI222" s="281">
        <f>BL222-BH222</f>
        <v>-1121</v>
      </c>
      <c r="BJ222" s="281">
        <f t="shared" si="1302"/>
        <v>-1358</v>
      </c>
      <c r="BK222" s="281">
        <f>BN222-BM222</f>
        <v>-1120</v>
      </c>
      <c r="BL222" s="281">
        <v>-1900</v>
      </c>
      <c r="BM222" s="281">
        <v>-3258</v>
      </c>
      <c r="BN222" s="281">
        <v>-4378</v>
      </c>
      <c r="BO222" s="281">
        <v>-488</v>
      </c>
      <c r="BP222" s="281">
        <f t="shared" si="1292"/>
        <v>-1102</v>
      </c>
      <c r="BQ222" s="281">
        <f t="shared" si="1293"/>
        <v>-1422</v>
      </c>
      <c r="BR222" s="281">
        <f t="shared" si="1294"/>
        <v>-1460</v>
      </c>
      <c r="BS222" s="281">
        <v>-1590</v>
      </c>
      <c r="BT222" s="281">
        <v>-3012</v>
      </c>
      <c r="BU222" s="281">
        <v>-4472</v>
      </c>
      <c r="BV222" s="281">
        <v>-1327</v>
      </c>
      <c r="BW222" s="281">
        <f t="shared" si="1295"/>
        <v>-1039</v>
      </c>
      <c r="BX222" s="281">
        <f t="shared" si="1296"/>
        <v>-1112</v>
      </c>
      <c r="BY222" s="281">
        <f t="shared" si="1297"/>
        <v>-853</v>
      </c>
      <c r="BZ222" s="281">
        <v>-2366</v>
      </c>
      <c r="CA222" s="281">
        <v>-3478</v>
      </c>
      <c r="CB222" s="281">
        <v>-4331</v>
      </c>
      <c r="CC222" s="281">
        <v>-990</v>
      </c>
      <c r="CD222" s="302">
        <f t="shared" si="1298"/>
        <v>-2002</v>
      </c>
      <c r="CE222" s="302">
        <f t="shared" si="1299"/>
        <v>-1521</v>
      </c>
      <c r="CF222" s="302">
        <f t="shared" si="1300"/>
        <v>-1227</v>
      </c>
      <c r="CG222" s="281">
        <v>-2992</v>
      </c>
      <c r="CH222" s="281">
        <v>-4513</v>
      </c>
      <c r="CI222" s="281">
        <v>-5740</v>
      </c>
      <c r="CJ222" s="281">
        <v>-643</v>
      </c>
      <c r="CK222" s="302">
        <f t="shared" si="1301"/>
        <v>-585</v>
      </c>
      <c r="CL222" s="281"/>
      <c r="CM222" s="281"/>
      <c r="CN222" s="281">
        <v>-1228</v>
      </c>
      <c r="CO222" s="281"/>
    </row>
    <row r="223" spans="1:93" s="289" customFormat="1" x14ac:dyDescent="0.25">
      <c r="A223" s="455" t="str">
        <f>Language!C174</f>
        <v>Transbrasiliana</v>
      </c>
      <c r="B223" s="280">
        <v>0</v>
      </c>
      <c r="C223" s="280">
        <v>0</v>
      </c>
      <c r="D223" s="280">
        <v>0</v>
      </c>
      <c r="E223" s="280">
        <v>0</v>
      </c>
      <c r="F223" s="279">
        <v>0</v>
      </c>
      <c r="G223" s="280">
        <v>0</v>
      </c>
      <c r="H223" s="280">
        <v>0</v>
      </c>
      <c r="I223" s="280">
        <v>0</v>
      </c>
      <c r="J223" s="279">
        <v>0</v>
      </c>
      <c r="K223" s="280">
        <v>0</v>
      </c>
      <c r="L223" s="280">
        <v>0</v>
      </c>
      <c r="M223" s="280">
        <v>0</v>
      </c>
      <c r="N223" s="279">
        <v>0</v>
      </c>
      <c r="O223" s="280">
        <v>0</v>
      </c>
      <c r="P223" s="280">
        <v>0</v>
      </c>
      <c r="Q223" s="280">
        <v>0</v>
      </c>
      <c r="R223" s="279">
        <v>0</v>
      </c>
      <c r="S223" s="280">
        <v>0</v>
      </c>
      <c r="T223" s="280">
        <f t="shared" si="1282"/>
        <v>0</v>
      </c>
      <c r="U223" s="280">
        <f t="shared" si="1283"/>
        <v>-1214</v>
      </c>
      <c r="V223" s="280">
        <f t="shared" si="1284"/>
        <v>0</v>
      </c>
      <c r="W223" s="281">
        <v>0</v>
      </c>
      <c r="X223" s="282">
        <v>-1214</v>
      </c>
      <c r="Y223" s="283">
        <v>-483</v>
      </c>
      <c r="Z223" s="281">
        <f t="shared" si="1285"/>
        <v>-492</v>
      </c>
      <c r="AA223" s="280">
        <f t="shared" si="1286"/>
        <v>-321</v>
      </c>
      <c r="AB223" s="280">
        <f t="shared" si="1287"/>
        <v>463</v>
      </c>
      <c r="AC223" s="281">
        <v>-975</v>
      </c>
      <c r="AD223" s="281">
        <v>-1296</v>
      </c>
      <c r="AE223" s="282">
        <v>-833</v>
      </c>
      <c r="AF223" s="281">
        <v>-164.05711378335616</v>
      </c>
      <c r="AG223" s="281">
        <f t="shared" si="1230"/>
        <v>-361.98414852876124</v>
      </c>
      <c r="AH223" s="281">
        <f t="shared" si="974"/>
        <v>-447.4914568316301</v>
      </c>
      <c r="AI223" s="281">
        <f t="shared" si="975"/>
        <v>-222.4672808562525</v>
      </c>
      <c r="AJ223" s="281">
        <v>-526.0412623121174</v>
      </c>
      <c r="AK223" s="281">
        <v>-973.5327191437475</v>
      </c>
      <c r="AL223" s="282">
        <v>-1196</v>
      </c>
      <c r="AM223" s="281">
        <v>-394</v>
      </c>
      <c r="AN223" s="281">
        <f t="shared" si="976"/>
        <v>-429</v>
      </c>
      <c r="AO223" s="281">
        <f t="shared" si="977"/>
        <v>52.31662214916787</v>
      </c>
      <c r="AP223" s="281">
        <f t="shared" si="977"/>
        <v>2162.9122987770011</v>
      </c>
      <c r="AQ223" s="281">
        <v>-823</v>
      </c>
      <c r="AR223" s="281">
        <v>-770.68337785083213</v>
      </c>
      <c r="AS223" s="282">
        <v>1392.2289209261689</v>
      </c>
      <c r="AT223" s="281">
        <v>-420</v>
      </c>
      <c r="AU223" s="281">
        <f t="shared" si="1249"/>
        <v>-494</v>
      </c>
      <c r="AV223" s="281">
        <f t="shared" si="1288"/>
        <v>-552</v>
      </c>
      <c r="AW223" s="281">
        <f t="shared" si="978"/>
        <v>-666</v>
      </c>
      <c r="AX223" s="281">
        <v>-914</v>
      </c>
      <c r="AY223" s="281">
        <v>-1466</v>
      </c>
      <c r="AZ223" s="281">
        <v>-2132</v>
      </c>
      <c r="BA223" s="281">
        <v>-757</v>
      </c>
      <c r="BB223" s="281">
        <f t="shared" si="1289"/>
        <v>-671</v>
      </c>
      <c r="BC223" s="281">
        <f t="shared" si="1290"/>
        <v>-617</v>
      </c>
      <c r="BD223" s="281">
        <f t="shared" si="1291"/>
        <v>-732</v>
      </c>
      <c r="BE223" s="281">
        <v>-1428</v>
      </c>
      <c r="BF223" s="281">
        <v>-2045</v>
      </c>
      <c r="BG223" s="281">
        <v>-2777</v>
      </c>
      <c r="BH223" s="281">
        <v>-786</v>
      </c>
      <c r="BI223" s="281">
        <f>BL223-BH223</f>
        <v>-789</v>
      </c>
      <c r="BJ223" s="281">
        <f t="shared" si="1302"/>
        <v>-828</v>
      </c>
      <c r="BK223" s="281">
        <f>BN223-BM223</f>
        <v>-961</v>
      </c>
      <c r="BL223" s="281">
        <v>-1575</v>
      </c>
      <c r="BM223" s="281">
        <v>-2403</v>
      </c>
      <c r="BN223" s="281">
        <v>-3364</v>
      </c>
      <c r="BO223" s="281">
        <v>-784</v>
      </c>
      <c r="BP223" s="281">
        <f t="shared" si="1292"/>
        <v>-930</v>
      </c>
      <c r="BQ223" s="281">
        <f t="shared" si="1293"/>
        <v>-881</v>
      </c>
      <c r="BR223" s="281">
        <f t="shared" si="1294"/>
        <v>-894</v>
      </c>
      <c r="BS223" s="281">
        <v>-1714</v>
      </c>
      <c r="BT223" s="281">
        <v>-2595</v>
      </c>
      <c r="BU223" s="281">
        <v>-3489</v>
      </c>
      <c r="BV223" s="281">
        <v>-875</v>
      </c>
      <c r="BW223" s="281">
        <f t="shared" si="1295"/>
        <v>-829</v>
      </c>
      <c r="BX223" s="281">
        <f t="shared" si="1296"/>
        <v>-325</v>
      </c>
      <c r="BY223" s="281">
        <f t="shared" si="1297"/>
        <v>-809</v>
      </c>
      <c r="BZ223" s="281">
        <v>-1704</v>
      </c>
      <c r="CA223" s="281">
        <v>-2029</v>
      </c>
      <c r="CB223" s="281">
        <v>-2838</v>
      </c>
      <c r="CC223" s="281">
        <v>-838</v>
      </c>
      <c r="CD223" s="302">
        <f t="shared" si="1298"/>
        <v>-838</v>
      </c>
      <c r="CE223" s="302">
        <f t="shared" si="1299"/>
        <v>-833</v>
      </c>
      <c r="CF223" s="302">
        <f t="shared" si="1300"/>
        <v>492</v>
      </c>
      <c r="CG223" s="281">
        <v>-1676</v>
      </c>
      <c r="CH223" s="281">
        <v>-2509</v>
      </c>
      <c r="CI223" s="281">
        <v>-2017</v>
      </c>
      <c r="CJ223" s="281">
        <v>-738</v>
      </c>
      <c r="CK223" s="302">
        <f t="shared" si="1301"/>
        <v>-759</v>
      </c>
      <c r="CL223" s="281"/>
      <c r="CM223" s="281"/>
      <c r="CN223" s="281">
        <v>-1497</v>
      </c>
      <c r="CO223" s="281"/>
    </row>
    <row r="224" spans="1:93" s="289" customFormat="1" x14ac:dyDescent="0.25">
      <c r="A224" s="455" t="s">
        <v>670</v>
      </c>
      <c r="B224" s="280"/>
      <c r="C224" s="280"/>
      <c r="D224" s="280"/>
      <c r="E224" s="280"/>
      <c r="F224" s="279"/>
      <c r="G224" s="280"/>
      <c r="H224" s="280"/>
      <c r="I224" s="280"/>
      <c r="J224" s="279"/>
      <c r="K224" s="280"/>
      <c r="L224" s="280"/>
      <c r="M224" s="280"/>
      <c r="N224" s="279"/>
      <c r="O224" s="280"/>
      <c r="P224" s="280"/>
      <c r="Q224" s="280"/>
      <c r="R224" s="279"/>
      <c r="S224" s="280"/>
      <c r="T224" s="280"/>
      <c r="U224" s="280"/>
      <c r="V224" s="280"/>
      <c r="W224" s="281"/>
      <c r="X224" s="282"/>
      <c r="Y224" s="283"/>
      <c r="Z224" s="281"/>
      <c r="AA224" s="280"/>
      <c r="AB224" s="280"/>
      <c r="AC224" s="281"/>
      <c r="AD224" s="281"/>
      <c r="AE224" s="282"/>
      <c r="AF224" s="281"/>
      <c r="AG224" s="281">
        <f t="shared" si="1230"/>
        <v>0</v>
      </c>
      <c r="AH224" s="281">
        <f t="shared" si="974"/>
        <v>0</v>
      </c>
      <c r="AI224" s="281">
        <f t="shared" si="975"/>
        <v>0</v>
      </c>
      <c r="AJ224" s="281"/>
      <c r="AK224" s="281"/>
      <c r="AL224" s="282"/>
      <c r="AM224" s="281">
        <v>-15</v>
      </c>
      <c r="AN224" s="281">
        <f t="shared" si="976"/>
        <v>-15</v>
      </c>
      <c r="AO224" s="281">
        <f t="shared" si="977"/>
        <v>-20.334908567906311</v>
      </c>
      <c r="AP224" s="281">
        <f t="shared" si="977"/>
        <v>-11.567887412871315</v>
      </c>
      <c r="AQ224" s="281">
        <v>-30</v>
      </c>
      <c r="AR224" s="281">
        <v>-50.334908567906311</v>
      </c>
      <c r="AS224" s="282">
        <v>-61.902795980777626</v>
      </c>
      <c r="AT224" s="281">
        <v>0</v>
      </c>
      <c r="AU224" s="281">
        <f t="shared" si="1249"/>
        <v>-22</v>
      </c>
      <c r="AV224" s="281">
        <f t="shared" si="1288"/>
        <v>-11</v>
      </c>
      <c r="AW224" s="281">
        <f t="shared" si="978"/>
        <v>33</v>
      </c>
      <c r="AX224" s="281">
        <v>-22</v>
      </c>
      <c r="AY224" s="281">
        <v>-33</v>
      </c>
      <c r="AZ224" s="281">
        <v>0</v>
      </c>
      <c r="BA224" s="281">
        <v>0</v>
      </c>
      <c r="BB224" s="281">
        <f t="shared" si="1289"/>
        <v>0</v>
      </c>
      <c r="BC224" s="281">
        <f t="shared" si="1290"/>
        <v>0</v>
      </c>
      <c r="BD224" s="281">
        <f t="shared" si="1291"/>
        <v>0</v>
      </c>
      <c r="BE224" s="281">
        <v>0</v>
      </c>
      <c r="BF224" s="281">
        <v>0</v>
      </c>
      <c r="BG224" s="281">
        <v>0</v>
      </c>
      <c r="BH224" s="281">
        <v>0</v>
      </c>
      <c r="BI224" s="281">
        <v>0</v>
      </c>
      <c r="BJ224" s="281">
        <f t="shared" si="1302"/>
        <v>0</v>
      </c>
      <c r="BK224" s="281">
        <f>BN224-BM224</f>
        <v>0</v>
      </c>
      <c r="BL224" s="281">
        <v>0</v>
      </c>
      <c r="BM224" s="281">
        <v>0</v>
      </c>
      <c r="BN224" s="281">
        <v>0</v>
      </c>
      <c r="BO224" s="281">
        <v>0</v>
      </c>
      <c r="BP224" s="281">
        <f t="shared" si="1292"/>
        <v>0</v>
      </c>
      <c r="BQ224" s="281">
        <f t="shared" si="1293"/>
        <v>0</v>
      </c>
      <c r="BR224" s="281">
        <f t="shared" si="1294"/>
        <v>0</v>
      </c>
      <c r="BS224" s="281">
        <v>0</v>
      </c>
      <c r="BT224" s="281">
        <v>0</v>
      </c>
      <c r="BU224" s="281">
        <v>0</v>
      </c>
      <c r="BV224" s="281">
        <v>0</v>
      </c>
      <c r="BW224" s="281">
        <f t="shared" si="1295"/>
        <v>0</v>
      </c>
      <c r="BX224" s="281">
        <f t="shared" si="1296"/>
        <v>0</v>
      </c>
      <c r="BY224" s="281">
        <f t="shared" si="1297"/>
        <v>0</v>
      </c>
      <c r="BZ224" s="281">
        <v>0</v>
      </c>
      <c r="CA224" s="281">
        <v>0</v>
      </c>
      <c r="CB224" s="281">
        <v>0</v>
      </c>
      <c r="CC224" s="281">
        <v>0</v>
      </c>
      <c r="CD224" s="302">
        <f t="shared" si="1298"/>
        <v>0</v>
      </c>
      <c r="CE224" s="302">
        <f t="shared" si="1299"/>
        <v>0</v>
      </c>
      <c r="CF224" s="302">
        <f t="shared" si="1300"/>
        <v>0</v>
      </c>
      <c r="CG224" s="281">
        <v>0</v>
      </c>
      <c r="CH224" s="281">
        <v>0</v>
      </c>
      <c r="CI224" s="281">
        <v>0</v>
      </c>
      <c r="CJ224" s="281">
        <v>0</v>
      </c>
      <c r="CK224" s="302">
        <f t="shared" si="1301"/>
        <v>0</v>
      </c>
      <c r="CL224" s="281"/>
      <c r="CM224" s="281"/>
      <c r="CN224" s="281">
        <v>0</v>
      </c>
      <c r="CO224" s="281"/>
    </row>
    <row r="225" spans="1:93" s="289" customFormat="1" x14ac:dyDescent="0.25">
      <c r="A225" s="713" t="s">
        <v>695</v>
      </c>
      <c r="B225" s="280"/>
      <c r="C225" s="280"/>
      <c r="D225" s="280"/>
      <c r="E225" s="280"/>
      <c r="F225" s="279"/>
      <c r="G225" s="280"/>
      <c r="H225" s="280"/>
      <c r="I225" s="280"/>
      <c r="J225" s="279"/>
      <c r="K225" s="280"/>
      <c r="L225" s="280"/>
      <c r="M225" s="280"/>
      <c r="N225" s="279"/>
      <c r="O225" s="280"/>
      <c r="P225" s="280"/>
      <c r="Q225" s="280"/>
      <c r="R225" s="279"/>
      <c r="S225" s="280"/>
      <c r="T225" s="280"/>
      <c r="U225" s="280"/>
      <c r="V225" s="280"/>
      <c r="W225" s="281"/>
      <c r="X225" s="282"/>
      <c r="Y225" s="283"/>
      <c r="Z225" s="281"/>
      <c r="AA225" s="280"/>
      <c r="AB225" s="280"/>
      <c r="AC225" s="281"/>
      <c r="AD225" s="281"/>
      <c r="AE225" s="282"/>
      <c r="AF225" s="281"/>
      <c r="AG225" s="281"/>
      <c r="AH225" s="281"/>
      <c r="AI225" s="281"/>
      <c r="AJ225" s="281"/>
      <c r="AK225" s="281"/>
      <c r="AL225" s="282"/>
      <c r="AM225" s="281"/>
      <c r="AN225" s="281"/>
      <c r="AO225" s="281"/>
      <c r="AP225" s="281"/>
      <c r="AQ225" s="281"/>
      <c r="AR225" s="281"/>
      <c r="AS225" s="282"/>
      <c r="AT225" s="281"/>
      <c r="AU225" s="281">
        <f t="shared" si="1249"/>
        <v>180</v>
      </c>
      <c r="AV225" s="281"/>
      <c r="AW225" s="281"/>
      <c r="AX225" s="281">
        <v>180</v>
      </c>
      <c r="AY225" s="281">
        <v>177</v>
      </c>
      <c r="AZ225" s="281"/>
      <c r="BA225" s="281"/>
      <c r="BB225" s="281"/>
      <c r="BC225" s="281"/>
      <c r="BD225" s="281"/>
      <c r="BE225" s="281"/>
      <c r="BF225" s="281"/>
      <c r="BG225" s="281"/>
      <c r="BH225" s="281"/>
      <c r="BI225" s="281"/>
      <c r="BJ225" s="281"/>
      <c r="BK225" s="281"/>
      <c r="BL225" s="281"/>
      <c r="BM225" s="281"/>
      <c r="BN225" s="281"/>
      <c r="BO225" s="281"/>
      <c r="BP225" s="281"/>
      <c r="BQ225" s="281"/>
      <c r="BR225" s="281"/>
      <c r="BS225" s="281"/>
      <c r="BT225" s="281"/>
      <c r="BU225" s="281"/>
      <c r="BV225" s="281"/>
      <c r="BW225" s="281"/>
      <c r="BX225" s="281"/>
      <c r="BY225" s="281"/>
      <c r="BZ225" s="281"/>
      <c r="CA225" s="281"/>
      <c r="CB225" s="281"/>
      <c r="CC225" s="281"/>
      <c r="CD225" s="281"/>
      <c r="CE225" s="281"/>
      <c r="CF225" s="281"/>
      <c r="CG225" s="281"/>
      <c r="CH225" s="281"/>
      <c r="CI225" s="281"/>
      <c r="CJ225" s="281"/>
      <c r="CK225" s="281"/>
      <c r="CL225" s="281"/>
      <c r="CM225" s="281"/>
      <c r="CN225" s="281"/>
      <c r="CO225" s="281"/>
    </row>
    <row r="226" spans="1:93" s="289" customFormat="1" x14ac:dyDescent="0.25">
      <c r="A226" s="484" t="str">
        <f>Language!C175</f>
        <v>Outras Receitas (Despesas) Operacionais</v>
      </c>
      <c r="B226" s="485">
        <f t="shared" ref="B226:N226" si="1303">SUM(B227,B228,B229,B230,B231,B232)</f>
        <v>187</v>
      </c>
      <c r="C226" s="485">
        <f t="shared" si="1303"/>
        <v>205</v>
      </c>
      <c r="D226" s="485">
        <f t="shared" si="1303"/>
        <v>137</v>
      </c>
      <c r="E226" s="485">
        <f t="shared" si="1303"/>
        <v>591</v>
      </c>
      <c r="F226" s="486">
        <f t="shared" si="1303"/>
        <v>29</v>
      </c>
      <c r="G226" s="485">
        <f t="shared" si="1303"/>
        <v>100</v>
      </c>
      <c r="H226" s="485">
        <f t="shared" si="1303"/>
        <v>60</v>
      </c>
      <c r="I226" s="485">
        <f t="shared" si="1303"/>
        <v>69</v>
      </c>
      <c r="J226" s="486">
        <f t="shared" si="1303"/>
        <v>12028</v>
      </c>
      <c r="K226" s="485">
        <f t="shared" si="1303"/>
        <v>27</v>
      </c>
      <c r="L226" s="485">
        <f t="shared" si="1303"/>
        <v>23</v>
      </c>
      <c r="M226" s="485">
        <f t="shared" si="1303"/>
        <v>5025</v>
      </c>
      <c r="N226" s="486">
        <f t="shared" si="1303"/>
        <v>24</v>
      </c>
      <c r="O226" s="485">
        <f>SUM(O227,O228,O229,O230,O231,O232)</f>
        <v>3283</v>
      </c>
      <c r="P226" s="485">
        <f t="shared" ref="P226:Q226" si="1304">SUM(P227,P228,P229,P230,P231,P232)</f>
        <v>154</v>
      </c>
      <c r="Q226" s="485">
        <f t="shared" si="1304"/>
        <v>-1118</v>
      </c>
      <c r="R226" s="486">
        <f t="shared" ref="R226:X226" si="1305">SUM(R227,R228,R229,R230,R231,R232)</f>
        <v>9239</v>
      </c>
      <c r="S226" s="485">
        <f t="shared" si="1305"/>
        <v>2009</v>
      </c>
      <c r="T226" s="485">
        <f t="shared" si="1305"/>
        <v>552</v>
      </c>
      <c r="U226" s="485">
        <f t="shared" si="1305"/>
        <v>-6161</v>
      </c>
      <c r="V226" s="485">
        <f t="shared" si="1305"/>
        <v>11248</v>
      </c>
      <c r="W226" s="487">
        <f t="shared" si="1305"/>
        <v>11800</v>
      </c>
      <c r="X226" s="488">
        <f t="shared" si="1305"/>
        <v>5639</v>
      </c>
      <c r="Y226" s="489">
        <f>SUM(Y227,Y228,Y229,Y230,Y231,Y232)</f>
        <v>163</v>
      </c>
      <c r="Z226" s="487">
        <f t="shared" ref="Z226:AC226" si="1306">SUM(Z227,Z228,Z229,Z230,Z231,Z232)</f>
        <v>-133</v>
      </c>
      <c r="AA226" s="485">
        <f t="shared" si="1306"/>
        <v>-2256</v>
      </c>
      <c r="AB226" s="485">
        <f t="shared" si="1306"/>
        <v>-1257</v>
      </c>
      <c r="AC226" s="487">
        <f t="shared" si="1306"/>
        <v>30</v>
      </c>
      <c r="AD226" s="487">
        <f t="shared" ref="AD226:AE226" si="1307">SUM(AD227,AD228,AD229,AD230,AD231,AD232)</f>
        <v>-2226</v>
      </c>
      <c r="AE226" s="488">
        <f t="shared" si="1307"/>
        <v>-3483</v>
      </c>
      <c r="AF226" s="487">
        <f t="shared" ref="AF226:AJ226" si="1308">SUM(AF227,AF228,AF229,AF230,AF231,AF232)</f>
        <v>109</v>
      </c>
      <c r="AG226" s="487">
        <f t="shared" si="1230"/>
        <v>-15945.999999999996</v>
      </c>
      <c r="AH226" s="487">
        <f t="shared" si="974"/>
        <v>-12741</v>
      </c>
      <c r="AI226" s="487">
        <f t="shared" si="975"/>
        <v>-107715</v>
      </c>
      <c r="AJ226" s="487">
        <f t="shared" si="1308"/>
        <v>-15836.999999999996</v>
      </c>
      <c r="AK226" s="487">
        <f t="shared" ref="AK226" si="1309">SUM(AK227,AK228,AK229,AK230,AK231,AK232)</f>
        <v>-28577.999999999996</v>
      </c>
      <c r="AL226" s="488">
        <f t="shared" ref="AL226" si="1310">SUM(AL227,AL228,AL229,AL230,AL231,AL232)</f>
        <v>-136293</v>
      </c>
      <c r="AM226" s="487">
        <f>SUM(AM227:AM233)</f>
        <v>15200</v>
      </c>
      <c r="AN226" s="487">
        <f t="shared" si="976"/>
        <v>-20285</v>
      </c>
      <c r="AO226" s="487">
        <f t="shared" si="977"/>
        <v>-3400</v>
      </c>
      <c r="AP226" s="487">
        <f t="shared" si="977"/>
        <v>-155633</v>
      </c>
      <c r="AQ226" s="487">
        <f>SUM(AQ227:AQ233)</f>
        <v>-5085</v>
      </c>
      <c r="AR226" s="487">
        <f>SUM(AR227:AR233)</f>
        <v>-8485</v>
      </c>
      <c r="AS226" s="488">
        <f>SUM(AS227:AS233)</f>
        <v>-164118</v>
      </c>
      <c r="AT226" s="487">
        <f>SUM(AT227:AT233)</f>
        <v>-866.24896023999861</v>
      </c>
      <c r="AU226" s="487">
        <f>SUM(AU227:AU234)</f>
        <v>-1639.6798729280013</v>
      </c>
      <c r="AV226" s="487">
        <f>SUM(AV227:AV233)</f>
        <v>-10109.240300000001</v>
      </c>
      <c r="AW226" s="487">
        <f t="shared" si="978"/>
        <v>21669.279200000001</v>
      </c>
      <c r="AX226" s="487">
        <f>SUM(AX227:AX234)</f>
        <v>-2509.928833168</v>
      </c>
      <c r="AY226" s="487">
        <f>SUM(AY227:AY234)</f>
        <v>-13387.169133168001</v>
      </c>
      <c r="AZ226" s="487">
        <f t="shared" ref="AZ226:BD226" si="1311">SUM(AZ227:AZ233)</f>
        <v>8282.1100668319996</v>
      </c>
      <c r="BA226" s="487">
        <f t="shared" si="1311"/>
        <v>-91</v>
      </c>
      <c r="BB226" s="487">
        <f t="shared" si="1311"/>
        <v>-1637</v>
      </c>
      <c r="BC226" s="487">
        <f t="shared" si="1311"/>
        <v>-12587</v>
      </c>
      <c r="BD226" s="487">
        <f t="shared" si="1311"/>
        <v>211718</v>
      </c>
      <c r="BE226" s="487">
        <f>SUM(BE227:BE234)</f>
        <v>-1728</v>
      </c>
      <c r="BF226" s="487">
        <f>SUM(BF227:BF233)+1</f>
        <v>-14314</v>
      </c>
      <c r="BG226" s="487">
        <f>SUM(BG227:BG233)</f>
        <v>197403</v>
      </c>
      <c r="BH226" s="487">
        <f>SUM(BH227:BH233)-1</f>
        <v>2183</v>
      </c>
      <c r="BI226" s="487">
        <f t="shared" ref="BI226:BJ226" si="1312">SUM(BI227:BI233)-1</f>
        <v>5116</v>
      </c>
      <c r="BJ226" s="487">
        <f t="shared" si="1312"/>
        <v>-555</v>
      </c>
      <c r="BK226" s="487">
        <f>SUM(BK227:BK233)+1</f>
        <v>10145</v>
      </c>
      <c r="BL226" s="487">
        <f>SUM(BL227:BL233)</f>
        <v>7301</v>
      </c>
      <c r="BM226" s="487">
        <f>SUM(BM227:BM233)</f>
        <v>6747</v>
      </c>
      <c r="BN226" s="487">
        <f>SUM(BN227:BN233)</f>
        <v>16891</v>
      </c>
      <c r="BO226" s="487">
        <f>SUM(BO227:BO233)</f>
        <v>767</v>
      </c>
      <c r="BP226" s="487">
        <f t="shared" ref="BP226:BS226" si="1313">SUM(BP227:BP233)</f>
        <v>3304</v>
      </c>
      <c r="BQ226" s="487">
        <f t="shared" si="1313"/>
        <v>-6220</v>
      </c>
      <c r="BR226" s="487">
        <f t="shared" si="1313"/>
        <v>15755</v>
      </c>
      <c r="BS226" s="487">
        <f t="shared" si="1313"/>
        <v>4071</v>
      </c>
      <c r="BT226" s="487">
        <f t="shared" ref="BT226:BU226" si="1314">SUM(BT227:BT233)</f>
        <v>-2149</v>
      </c>
      <c r="BU226" s="487">
        <f t="shared" si="1314"/>
        <v>13606</v>
      </c>
      <c r="BV226" s="487">
        <f t="shared" ref="BV226:BY226" si="1315">SUM(BV227:BV233)</f>
        <v>-5751</v>
      </c>
      <c r="BW226" s="487">
        <f t="shared" si="1315"/>
        <v>3149</v>
      </c>
      <c r="BX226" s="487">
        <f t="shared" si="1315"/>
        <v>-591</v>
      </c>
      <c r="BY226" s="487">
        <f t="shared" si="1315"/>
        <v>5582</v>
      </c>
      <c r="BZ226" s="487">
        <f t="shared" ref="BZ226:CA226" si="1316">SUM(BZ227:BZ233)</f>
        <v>-2602</v>
      </c>
      <c r="CA226" s="487">
        <f t="shared" si="1316"/>
        <v>-3193</v>
      </c>
      <c r="CB226" s="487">
        <f t="shared" ref="CB226:CC226" si="1317">SUM(CB227:CB233)</f>
        <v>2389</v>
      </c>
      <c r="CC226" s="487">
        <f t="shared" si="1317"/>
        <v>-316</v>
      </c>
      <c r="CD226" s="487">
        <f t="shared" ref="CD226" si="1318">SUM(CD227:CD233)</f>
        <v>1270</v>
      </c>
      <c r="CE226" s="487">
        <f t="shared" ref="CE226:CG226" si="1319">SUM(CE227:CE233)</f>
        <v>1917</v>
      </c>
      <c r="CF226" s="487">
        <f t="shared" si="1319"/>
        <v>9033</v>
      </c>
      <c r="CG226" s="487">
        <f t="shared" si="1319"/>
        <v>954</v>
      </c>
      <c r="CH226" s="487">
        <f t="shared" ref="CH226:CI226" si="1320">SUM(CH227:CH233)</f>
        <v>2871</v>
      </c>
      <c r="CI226" s="487">
        <f t="shared" si="1320"/>
        <v>11904</v>
      </c>
      <c r="CJ226" s="487">
        <v>-4713</v>
      </c>
      <c r="CK226" s="487">
        <f t="shared" ref="CK226" si="1321">SUM(CK227:CK233)</f>
        <v>4453</v>
      </c>
      <c r="CL226" s="487">
        <f t="shared" ref="CL226:CO226" si="1322">SUM(CL227:CL233)</f>
        <v>0</v>
      </c>
      <c r="CM226" s="487">
        <f t="shared" si="1322"/>
        <v>0</v>
      </c>
      <c r="CN226" s="487">
        <f t="shared" si="1322"/>
        <v>-260</v>
      </c>
      <c r="CO226" s="487">
        <f t="shared" si="1322"/>
        <v>0</v>
      </c>
    </row>
    <row r="227" spans="1:93" s="289" customFormat="1" x14ac:dyDescent="0.25">
      <c r="A227" s="455" t="str">
        <f>Language!C176</f>
        <v>Concepa</v>
      </c>
      <c r="B227" s="280">
        <v>87</v>
      </c>
      <c r="C227" s="280">
        <v>14</v>
      </c>
      <c r="D227" s="280">
        <v>-27</v>
      </c>
      <c r="E227" s="280">
        <v>562</v>
      </c>
      <c r="F227" s="279">
        <v>0</v>
      </c>
      <c r="G227" s="280">
        <v>12</v>
      </c>
      <c r="H227" s="280">
        <v>123</v>
      </c>
      <c r="I227" s="280">
        <v>-49</v>
      </c>
      <c r="J227" s="279">
        <v>3894</v>
      </c>
      <c r="K227" s="280">
        <v>21</v>
      </c>
      <c r="L227" s="280">
        <v>13</v>
      </c>
      <c r="M227" s="280">
        <v>1724</v>
      </c>
      <c r="N227" s="279">
        <v>24</v>
      </c>
      <c r="O227" s="280">
        <v>0</v>
      </c>
      <c r="P227" s="280">
        <v>14</v>
      </c>
      <c r="Q227" s="280">
        <v>0</v>
      </c>
      <c r="R227" s="279">
        <v>29</v>
      </c>
      <c r="S227" s="280">
        <v>49</v>
      </c>
      <c r="T227" s="280">
        <f t="shared" ref="T227:T232" si="1323">W227-S227-R227</f>
        <v>-149</v>
      </c>
      <c r="U227" s="280">
        <f t="shared" ref="U227:U232" si="1324">X227-W227</f>
        <v>-216</v>
      </c>
      <c r="V227" s="280">
        <f t="shared" ref="V227:V232" si="1325">R227+S227</f>
        <v>78</v>
      </c>
      <c r="W227" s="281">
        <v>-71</v>
      </c>
      <c r="X227" s="282">
        <v>-287</v>
      </c>
      <c r="Y227" s="283">
        <v>6</v>
      </c>
      <c r="Z227" s="281">
        <f t="shared" ref="Z227:Z232" si="1326">AC227-Y227</f>
        <v>0</v>
      </c>
      <c r="AA227" s="280">
        <f t="shared" ref="AA227:AA232" si="1327">AD227-Z227-Y227</f>
        <v>10</v>
      </c>
      <c r="AB227" s="280">
        <f t="shared" ref="AB227:AB232" si="1328">AE227-AD227</f>
        <v>110</v>
      </c>
      <c r="AC227" s="281">
        <v>6</v>
      </c>
      <c r="AD227" s="281">
        <v>16</v>
      </c>
      <c r="AE227" s="282">
        <v>126</v>
      </c>
      <c r="AF227" s="281">
        <v>0</v>
      </c>
      <c r="AG227" s="281">
        <f t="shared" si="1230"/>
        <v>-4284.3587867277402</v>
      </c>
      <c r="AH227" s="281">
        <f t="shared" si="974"/>
        <v>-14251.348598838109</v>
      </c>
      <c r="AI227" s="281">
        <f t="shared" si="975"/>
        <v>-107640.29261443415</v>
      </c>
      <c r="AJ227" s="281">
        <v>-4284.3587867277402</v>
      </c>
      <c r="AK227" s="281">
        <v>-18535.707385565849</v>
      </c>
      <c r="AL227" s="282">
        <v>-126176</v>
      </c>
      <c r="AM227" s="281">
        <v>15037</v>
      </c>
      <c r="AN227" s="281">
        <f t="shared" si="976"/>
        <v>2371</v>
      </c>
      <c r="AO227" s="281">
        <f t="shared" si="977"/>
        <v>-467</v>
      </c>
      <c r="AP227" s="281">
        <f t="shared" si="977"/>
        <v>29938</v>
      </c>
      <c r="AQ227" s="281">
        <v>17408</v>
      </c>
      <c r="AR227" s="281">
        <v>16941</v>
      </c>
      <c r="AS227" s="282">
        <v>46879</v>
      </c>
      <c r="AT227" s="281"/>
      <c r="AU227" s="281">
        <f t="shared" si="1249"/>
        <v>-11</v>
      </c>
      <c r="AV227" s="281">
        <f>AY227-AX227</f>
        <v>529</v>
      </c>
      <c r="AW227" s="281">
        <f t="shared" si="978"/>
        <v>-518</v>
      </c>
      <c r="AX227" s="281">
        <v>-11</v>
      </c>
      <c r="AY227" s="302">
        <v>518</v>
      </c>
      <c r="AZ227" s="281">
        <v>0</v>
      </c>
      <c r="BA227" s="281">
        <v>0</v>
      </c>
      <c r="BB227" s="281">
        <f>BE227-BA227</f>
        <v>0</v>
      </c>
      <c r="BC227" s="281">
        <f>BF227-BE227</f>
        <v>0</v>
      </c>
      <c r="BD227" s="281">
        <f>BG227-BF227</f>
        <v>0</v>
      </c>
      <c r="BE227" s="281">
        <v>0</v>
      </c>
      <c r="BF227" s="281">
        <v>0</v>
      </c>
      <c r="BG227" s="281">
        <v>0</v>
      </c>
      <c r="BH227" s="281">
        <v>0</v>
      </c>
      <c r="BI227" s="281">
        <v>0</v>
      </c>
      <c r="BJ227" s="281">
        <v>0</v>
      </c>
      <c r="BK227" s="281">
        <v>0</v>
      </c>
      <c r="BL227" s="281">
        <v>0</v>
      </c>
      <c r="BM227" s="281">
        <v>0</v>
      </c>
      <c r="BN227" s="281">
        <v>0</v>
      </c>
      <c r="BO227" s="281">
        <v>0</v>
      </c>
      <c r="BP227" s="281">
        <f>BS227-BO227</f>
        <v>0</v>
      </c>
      <c r="BQ227" s="281">
        <f>BT227-BS227</f>
        <v>0</v>
      </c>
      <c r="BR227" s="281">
        <f>BU227-BT227</f>
        <v>0</v>
      </c>
      <c r="BS227" s="281">
        <v>0</v>
      </c>
      <c r="BT227" s="281">
        <v>0</v>
      </c>
      <c r="BU227" s="281">
        <v>0</v>
      </c>
      <c r="BV227" s="281">
        <v>0</v>
      </c>
      <c r="BW227" s="281">
        <f>BZ227-BV227</f>
        <v>0</v>
      </c>
      <c r="BX227" s="281">
        <f>CA227-BZ227</f>
        <v>0</v>
      </c>
      <c r="BY227" s="281">
        <f>CB227-CA227</f>
        <v>0</v>
      </c>
      <c r="BZ227" s="281">
        <v>0</v>
      </c>
      <c r="CA227" s="281">
        <v>0</v>
      </c>
      <c r="CB227" s="281">
        <v>0</v>
      </c>
      <c r="CC227" s="281">
        <v>0</v>
      </c>
      <c r="CD227" s="281">
        <f>CG227-CC227</f>
        <v>0</v>
      </c>
      <c r="CE227" s="281">
        <f>CH227-CG227</f>
        <v>0</v>
      </c>
      <c r="CF227" s="281">
        <f>CI227-CH227</f>
        <v>0</v>
      </c>
      <c r="CG227" s="281">
        <v>0</v>
      </c>
      <c r="CH227" s="281">
        <v>0</v>
      </c>
      <c r="CI227" s="281">
        <v>0</v>
      </c>
      <c r="CJ227" s="281">
        <v>0</v>
      </c>
      <c r="CK227" s="281">
        <f>CN227-CJ227</f>
        <v>0</v>
      </c>
      <c r="CL227" s="281"/>
      <c r="CM227" s="281"/>
      <c r="CN227" s="281">
        <v>0</v>
      </c>
      <c r="CO227" s="281"/>
    </row>
    <row r="228" spans="1:93" s="289" customFormat="1" x14ac:dyDescent="0.25">
      <c r="A228" s="455" t="str">
        <f>Language!C177</f>
        <v>Concer</v>
      </c>
      <c r="B228" s="280">
        <v>78</v>
      </c>
      <c r="C228" s="280">
        <v>191</v>
      </c>
      <c r="D228" s="280">
        <v>164</v>
      </c>
      <c r="E228" s="280">
        <v>23</v>
      </c>
      <c r="F228" s="279">
        <v>34</v>
      </c>
      <c r="G228" s="280">
        <v>88</v>
      </c>
      <c r="H228" s="280">
        <v>-68</v>
      </c>
      <c r="I228" s="280">
        <v>120</v>
      </c>
      <c r="J228" s="279">
        <v>8134</v>
      </c>
      <c r="K228" s="280">
        <v>6</v>
      </c>
      <c r="L228" s="280">
        <v>-2</v>
      </c>
      <c r="M228" s="280">
        <v>3301</v>
      </c>
      <c r="N228" s="279">
        <v>0</v>
      </c>
      <c r="O228" s="280">
        <v>3283</v>
      </c>
      <c r="P228" s="280">
        <v>32</v>
      </c>
      <c r="Q228" s="280">
        <v>16</v>
      </c>
      <c r="R228" s="279">
        <v>19</v>
      </c>
      <c r="S228" s="280">
        <v>-21</v>
      </c>
      <c r="T228" s="280">
        <f t="shared" si="1323"/>
        <v>26</v>
      </c>
      <c r="U228" s="280">
        <f t="shared" si="1324"/>
        <v>0</v>
      </c>
      <c r="V228" s="280">
        <f t="shared" si="1325"/>
        <v>-2</v>
      </c>
      <c r="W228" s="281">
        <v>24</v>
      </c>
      <c r="X228" s="282">
        <v>24</v>
      </c>
      <c r="Y228" s="283">
        <v>1</v>
      </c>
      <c r="Z228" s="281">
        <f t="shared" si="1326"/>
        <v>0</v>
      </c>
      <c r="AA228" s="280">
        <f t="shared" si="1327"/>
        <v>383</v>
      </c>
      <c r="AB228" s="280">
        <f t="shared" si="1328"/>
        <v>126</v>
      </c>
      <c r="AC228" s="281">
        <v>1</v>
      </c>
      <c r="AD228" s="281">
        <v>384</v>
      </c>
      <c r="AE228" s="282">
        <v>510</v>
      </c>
      <c r="AF228" s="281">
        <v>0</v>
      </c>
      <c r="AG228" s="281">
        <f t="shared" si="1230"/>
        <v>69.002681264663195</v>
      </c>
      <c r="AH228" s="281">
        <f t="shared" si="974"/>
        <v>-16.838401567948793</v>
      </c>
      <c r="AI228" s="281">
        <f t="shared" si="975"/>
        <v>-13.164279696714402</v>
      </c>
      <c r="AJ228" s="281">
        <v>69.002681264663195</v>
      </c>
      <c r="AK228" s="281">
        <v>52.164279696714402</v>
      </c>
      <c r="AL228" s="282">
        <v>39</v>
      </c>
      <c r="AM228" s="281">
        <v>-13</v>
      </c>
      <c r="AN228" s="281">
        <f t="shared" si="976"/>
        <v>-22866</v>
      </c>
      <c r="AO228" s="281">
        <f t="shared" si="977"/>
        <v>-2911</v>
      </c>
      <c r="AP228" s="281">
        <f t="shared" si="977"/>
        <v>515</v>
      </c>
      <c r="AQ228" s="281">
        <v>-22879</v>
      </c>
      <c r="AR228" s="281">
        <v>-25790</v>
      </c>
      <c r="AS228" s="282">
        <v>-25275</v>
      </c>
      <c r="AT228" s="281">
        <v>-970.24896023999861</v>
      </c>
      <c r="AU228" s="281">
        <f t="shared" si="1249"/>
        <v>-1835.6798729280013</v>
      </c>
      <c r="AV228" s="281">
        <f>AY228-AX228</f>
        <v>-5253.2403000000004</v>
      </c>
      <c r="AW228" s="281">
        <f t="shared" si="978"/>
        <v>706.27919999999995</v>
      </c>
      <c r="AX228" s="281">
        <v>-2805.928833168</v>
      </c>
      <c r="AY228" s="281">
        <v>-8059.1691331680004</v>
      </c>
      <c r="AZ228" s="281">
        <v>-7352.8899331680004</v>
      </c>
      <c r="BA228" s="281">
        <v>-325</v>
      </c>
      <c r="BB228" s="281">
        <f t="shared" ref="BB228:BB233" si="1329">BE228-BA228</f>
        <v>2232</v>
      </c>
      <c r="BC228" s="281">
        <f t="shared" ref="BC228:BC233" si="1330">BF228-BE228</f>
        <v>-12378</v>
      </c>
      <c r="BD228" s="281">
        <f t="shared" ref="BD228:BD233" si="1331">BG228-BF228</f>
        <v>-11715</v>
      </c>
      <c r="BE228" s="281">
        <v>1907</v>
      </c>
      <c r="BF228" s="281">
        <v>-10471</v>
      </c>
      <c r="BG228" s="281">
        <v>-22186</v>
      </c>
      <c r="BH228" s="281">
        <v>-415</v>
      </c>
      <c r="BI228" s="281">
        <f>BL228-BH228</f>
        <v>5912</v>
      </c>
      <c r="BJ228" s="281">
        <f>BM228-BL228</f>
        <v>1450</v>
      </c>
      <c r="BK228" s="281">
        <f>BN228-BM228</f>
        <v>400</v>
      </c>
      <c r="BL228" s="302">
        <v>5497</v>
      </c>
      <c r="BM228" s="302">
        <v>6947</v>
      </c>
      <c r="BN228" s="302">
        <v>7347</v>
      </c>
      <c r="BO228" s="302">
        <v>-796</v>
      </c>
      <c r="BP228" s="281">
        <f t="shared" ref="BP228:BP232" si="1332">BS228-BO228</f>
        <v>693</v>
      </c>
      <c r="BQ228" s="281">
        <f t="shared" ref="BQ228:BQ232" si="1333">BT228-BS228</f>
        <v>-1596</v>
      </c>
      <c r="BR228" s="281">
        <f t="shared" ref="BR228:BR232" si="1334">BU228-BT228</f>
        <v>1500</v>
      </c>
      <c r="BS228" s="302">
        <v>-103</v>
      </c>
      <c r="BT228" s="302">
        <v>-1699</v>
      </c>
      <c r="BU228" s="302">
        <v>-199</v>
      </c>
      <c r="BV228" s="302">
        <v>-305</v>
      </c>
      <c r="BW228" s="281">
        <f t="shared" ref="BW228:BW232" si="1335">BZ228-BV228</f>
        <v>-150</v>
      </c>
      <c r="BX228" s="281">
        <f t="shared" ref="BX228:BX232" si="1336">CA228-BZ228</f>
        <v>203</v>
      </c>
      <c r="BY228" s="281">
        <f t="shared" ref="BY228:BY232" si="1337">CB228-CA228</f>
        <v>-3012</v>
      </c>
      <c r="BZ228" s="302">
        <v>-455</v>
      </c>
      <c r="CA228" s="302">
        <v>-252</v>
      </c>
      <c r="CB228" s="302">
        <v>-3264</v>
      </c>
      <c r="CC228" s="302">
        <v>148</v>
      </c>
      <c r="CD228" s="281">
        <f t="shared" ref="CD228:CD232" si="1338">CG228-CC228</f>
        <v>205</v>
      </c>
      <c r="CE228" s="281">
        <f t="shared" ref="CE228:CE232" si="1339">CH228-CG228</f>
        <v>1303</v>
      </c>
      <c r="CF228" s="281">
        <f t="shared" ref="CF228:CF232" si="1340">CI228-CH228</f>
        <v>6357</v>
      </c>
      <c r="CG228" s="302">
        <v>353</v>
      </c>
      <c r="CH228" s="302">
        <v>1656</v>
      </c>
      <c r="CI228" s="302">
        <v>8013</v>
      </c>
      <c r="CJ228" s="302">
        <v>-4675</v>
      </c>
      <c r="CK228" s="281">
        <f t="shared" ref="CK228:CK232" si="1341">CN228-CJ228</f>
        <v>2294</v>
      </c>
      <c r="CL228" s="302"/>
      <c r="CM228" s="302"/>
      <c r="CN228" s="302">
        <v>-2381</v>
      </c>
      <c r="CO228" s="302"/>
    </row>
    <row r="229" spans="1:93" s="289" customFormat="1" x14ac:dyDescent="0.25">
      <c r="A229" s="455" t="str">
        <f>Language!C178</f>
        <v>Econorte</v>
      </c>
      <c r="B229" s="280">
        <v>22</v>
      </c>
      <c r="C229" s="280">
        <v>0</v>
      </c>
      <c r="D229" s="280">
        <v>0</v>
      </c>
      <c r="E229" s="280">
        <v>6</v>
      </c>
      <c r="F229" s="279">
        <v>-5</v>
      </c>
      <c r="G229" s="280">
        <v>0</v>
      </c>
      <c r="H229" s="280">
        <v>5</v>
      </c>
      <c r="I229" s="280">
        <v>-2</v>
      </c>
      <c r="J229" s="279">
        <v>0</v>
      </c>
      <c r="K229" s="280">
        <v>0</v>
      </c>
      <c r="L229" s="280">
        <v>12</v>
      </c>
      <c r="M229" s="280">
        <v>0</v>
      </c>
      <c r="N229" s="279">
        <v>0</v>
      </c>
      <c r="O229" s="280">
        <v>0</v>
      </c>
      <c r="P229" s="280">
        <v>108</v>
      </c>
      <c r="Q229" s="280">
        <v>-1134</v>
      </c>
      <c r="R229" s="279">
        <v>-125</v>
      </c>
      <c r="S229" s="280">
        <v>2236</v>
      </c>
      <c r="T229" s="280">
        <f t="shared" si="1323"/>
        <v>1336</v>
      </c>
      <c r="U229" s="280">
        <f t="shared" si="1324"/>
        <v>-4093</v>
      </c>
      <c r="V229" s="280">
        <f t="shared" si="1325"/>
        <v>2111</v>
      </c>
      <c r="W229" s="281">
        <v>3447</v>
      </c>
      <c r="X229" s="282">
        <v>-646</v>
      </c>
      <c r="Y229" s="283">
        <v>-194</v>
      </c>
      <c r="Z229" s="281">
        <f t="shared" si="1326"/>
        <v>-307</v>
      </c>
      <c r="AA229" s="280">
        <f t="shared" si="1327"/>
        <v>-192</v>
      </c>
      <c r="AB229" s="280">
        <f t="shared" si="1328"/>
        <v>-216</v>
      </c>
      <c r="AC229" s="281">
        <v>-501</v>
      </c>
      <c r="AD229" s="281">
        <v>-693</v>
      </c>
      <c r="AE229" s="282">
        <v>-909</v>
      </c>
      <c r="AF229" s="281">
        <v>0</v>
      </c>
      <c r="AG229" s="281">
        <f t="shared" si="1230"/>
        <v>-424.63188470561897</v>
      </c>
      <c r="AH229" s="281">
        <f t="shared" si="974"/>
        <v>496.85934890106967</v>
      </c>
      <c r="AI229" s="281">
        <f t="shared" si="975"/>
        <v>214.77253580454931</v>
      </c>
      <c r="AJ229" s="281">
        <v>-424.63188470561897</v>
      </c>
      <c r="AK229" s="281">
        <v>72.227464195450693</v>
      </c>
      <c r="AL229" s="282">
        <v>287</v>
      </c>
      <c r="AM229" s="281">
        <v>0</v>
      </c>
      <c r="AN229" s="281">
        <f t="shared" si="976"/>
        <v>0</v>
      </c>
      <c r="AO229" s="281">
        <f t="shared" si="977"/>
        <v>0</v>
      </c>
      <c r="AP229" s="281">
        <f t="shared" si="977"/>
        <v>-185984</v>
      </c>
      <c r="AQ229" s="281">
        <v>0</v>
      </c>
      <c r="AR229" s="281"/>
      <c r="AS229" s="282">
        <v>-185984</v>
      </c>
      <c r="AT229" s="281">
        <v>0</v>
      </c>
      <c r="AU229" s="281">
        <f t="shared" si="1249"/>
        <v>0</v>
      </c>
      <c r="AV229" s="281"/>
      <c r="AW229" s="281">
        <f t="shared" si="978"/>
        <v>13456</v>
      </c>
      <c r="AX229" s="281">
        <v>0</v>
      </c>
      <c r="AY229" s="281">
        <v>1262</v>
      </c>
      <c r="AZ229" s="281">
        <v>14718</v>
      </c>
      <c r="BA229" s="281">
        <v>0</v>
      </c>
      <c r="BB229" s="281">
        <f t="shared" si="1329"/>
        <v>-322</v>
      </c>
      <c r="BC229" s="281">
        <f t="shared" si="1330"/>
        <v>91</v>
      </c>
      <c r="BD229" s="281">
        <f t="shared" si="1331"/>
        <v>2674</v>
      </c>
      <c r="BE229" s="281">
        <v>-322</v>
      </c>
      <c r="BF229" s="281">
        <v>-231</v>
      </c>
      <c r="BG229" s="281">
        <v>2443</v>
      </c>
      <c r="BH229" s="281">
        <v>-114</v>
      </c>
      <c r="BI229" s="281">
        <f>BL229-BH229</f>
        <v>58</v>
      </c>
      <c r="BJ229" s="281">
        <f t="shared" ref="BJ229:BJ232" si="1342">BM229-BL229</f>
        <v>76</v>
      </c>
      <c r="BK229" s="281">
        <f t="shared" ref="BK229:BK232" si="1343">BN229-BM229</f>
        <v>10056</v>
      </c>
      <c r="BL229" s="281">
        <v>-56</v>
      </c>
      <c r="BM229" s="281">
        <v>20</v>
      </c>
      <c r="BN229" s="281">
        <v>10076</v>
      </c>
      <c r="BO229" s="281">
        <v>1138</v>
      </c>
      <c r="BP229" s="281">
        <f t="shared" si="1332"/>
        <v>-1573</v>
      </c>
      <c r="BQ229" s="281">
        <f t="shared" si="1333"/>
        <v>-326</v>
      </c>
      <c r="BR229" s="281">
        <f t="shared" si="1334"/>
        <v>681</v>
      </c>
      <c r="BS229" s="281">
        <v>-435</v>
      </c>
      <c r="BT229" s="281">
        <v>-761</v>
      </c>
      <c r="BU229" s="281">
        <v>-80</v>
      </c>
      <c r="BV229" s="281">
        <v>0</v>
      </c>
      <c r="BW229" s="281">
        <f t="shared" si="1335"/>
        <v>0</v>
      </c>
      <c r="BX229" s="281">
        <f t="shared" si="1336"/>
        <v>0</v>
      </c>
      <c r="BY229" s="281">
        <f t="shared" si="1337"/>
        <v>0</v>
      </c>
      <c r="BZ229" s="281">
        <v>0</v>
      </c>
      <c r="CA229" s="281">
        <v>0</v>
      </c>
      <c r="CB229" s="281">
        <v>0</v>
      </c>
      <c r="CC229" s="281">
        <v>0</v>
      </c>
      <c r="CD229" s="281">
        <f t="shared" si="1338"/>
        <v>0</v>
      </c>
      <c r="CE229" s="281">
        <f t="shared" si="1339"/>
        <v>0</v>
      </c>
      <c r="CF229" s="281">
        <f t="shared" si="1340"/>
        <v>0</v>
      </c>
      <c r="CG229" s="281">
        <v>0</v>
      </c>
      <c r="CH229" s="281">
        <v>0</v>
      </c>
      <c r="CI229" s="281">
        <v>0</v>
      </c>
      <c r="CJ229" s="281">
        <v>0</v>
      </c>
      <c r="CK229" s="281">
        <f t="shared" si="1341"/>
        <v>0</v>
      </c>
      <c r="CL229" s="281"/>
      <c r="CM229" s="281"/>
      <c r="CN229" s="281">
        <v>0</v>
      </c>
      <c r="CO229" s="281"/>
    </row>
    <row r="230" spans="1:93" s="289" customFormat="1" x14ac:dyDescent="0.25">
      <c r="A230" s="455" t="str">
        <f>Language!C179</f>
        <v>Convale</v>
      </c>
      <c r="B230" s="280">
        <v>0</v>
      </c>
      <c r="C230" s="280">
        <v>0</v>
      </c>
      <c r="D230" s="280">
        <v>0</v>
      </c>
      <c r="E230" s="280">
        <v>0</v>
      </c>
      <c r="F230" s="279">
        <v>0</v>
      </c>
      <c r="G230" s="280">
        <v>0</v>
      </c>
      <c r="H230" s="280">
        <v>0</v>
      </c>
      <c r="I230" s="280">
        <v>0</v>
      </c>
      <c r="J230" s="279">
        <v>0</v>
      </c>
      <c r="K230" s="280">
        <v>0</v>
      </c>
      <c r="L230" s="280">
        <v>0</v>
      </c>
      <c r="M230" s="280">
        <v>0</v>
      </c>
      <c r="N230" s="279">
        <v>0</v>
      </c>
      <c r="O230" s="280">
        <v>0</v>
      </c>
      <c r="P230" s="280">
        <v>0</v>
      </c>
      <c r="Q230" s="280">
        <v>0</v>
      </c>
      <c r="R230" s="279">
        <v>0</v>
      </c>
      <c r="S230" s="280">
        <v>0</v>
      </c>
      <c r="T230" s="280">
        <f t="shared" si="1323"/>
        <v>0</v>
      </c>
      <c r="U230" s="280">
        <f t="shared" si="1324"/>
        <v>0</v>
      </c>
      <c r="V230" s="280">
        <f t="shared" si="1325"/>
        <v>0</v>
      </c>
      <c r="W230" s="281">
        <v>0</v>
      </c>
      <c r="X230" s="282">
        <v>0</v>
      </c>
      <c r="Y230" s="283">
        <v>0</v>
      </c>
      <c r="Z230" s="281">
        <f t="shared" si="1326"/>
        <v>0</v>
      </c>
      <c r="AA230" s="280">
        <f t="shared" si="1327"/>
        <v>0</v>
      </c>
      <c r="AB230" s="280">
        <f t="shared" si="1328"/>
        <v>0</v>
      </c>
      <c r="AC230" s="281">
        <v>0</v>
      </c>
      <c r="AD230" s="281">
        <v>0</v>
      </c>
      <c r="AE230" s="282">
        <v>0</v>
      </c>
      <c r="AF230" s="281">
        <v>0</v>
      </c>
      <c r="AG230" s="281">
        <f t="shared" si="1230"/>
        <v>0</v>
      </c>
      <c r="AH230" s="281">
        <f t="shared" si="974"/>
        <v>0</v>
      </c>
      <c r="AI230" s="281">
        <f t="shared" si="975"/>
        <v>0</v>
      </c>
      <c r="AJ230" s="281">
        <v>0</v>
      </c>
      <c r="AK230" s="281">
        <v>0</v>
      </c>
      <c r="AL230" s="282">
        <v>0</v>
      </c>
      <c r="AM230" s="281">
        <v>0</v>
      </c>
      <c r="AN230" s="281">
        <f t="shared" si="976"/>
        <v>0</v>
      </c>
      <c r="AO230" s="281">
        <f t="shared" si="977"/>
        <v>0</v>
      </c>
      <c r="AP230" s="281">
        <f t="shared" si="977"/>
        <v>0</v>
      </c>
      <c r="AQ230" s="281">
        <v>0</v>
      </c>
      <c r="AR230" s="281"/>
      <c r="AS230" s="282"/>
      <c r="AT230" s="281">
        <v>0</v>
      </c>
      <c r="AU230" s="281">
        <f t="shared" si="1249"/>
        <v>0</v>
      </c>
      <c r="AV230" s="281"/>
      <c r="AW230" s="281">
        <f t="shared" si="978"/>
        <v>0</v>
      </c>
      <c r="AX230" s="281">
        <v>0</v>
      </c>
      <c r="AY230" s="281">
        <v>0</v>
      </c>
      <c r="AZ230" s="732">
        <v>0</v>
      </c>
      <c r="BA230" s="732">
        <v>0</v>
      </c>
      <c r="BB230" s="281">
        <f t="shared" si="1329"/>
        <v>0</v>
      </c>
      <c r="BC230" s="281">
        <f t="shared" si="1330"/>
        <v>0</v>
      </c>
      <c r="BD230" s="281">
        <f t="shared" si="1331"/>
        <v>0</v>
      </c>
      <c r="BE230" s="732">
        <v>0</v>
      </c>
      <c r="BF230" s="732">
        <v>0</v>
      </c>
      <c r="BG230" s="732">
        <v>0</v>
      </c>
      <c r="BH230" s="732">
        <v>0</v>
      </c>
      <c r="BI230" s="732">
        <v>0</v>
      </c>
      <c r="BJ230" s="281">
        <f t="shared" si="1342"/>
        <v>0</v>
      </c>
      <c r="BK230" s="281">
        <f t="shared" si="1343"/>
        <v>0</v>
      </c>
      <c r="BL230" s="732">
        <v>0</v>
      </c>
      <c r="BM230" s="732">
        <v>0</v>
      </c>
      <c r="BN230" s="732">
        <v>0</v>
      </c>
      <c r="BO230" s="732">
        <v>0</v>
      </c>
      <c r="BP230" s="281">
        <f t="shared" si="1332"/>
        <v>0</v>
      </c>
      <c r="BQ230" s="281">
        <f t="shared" si="1333"/>
        <v>0</v>
      </c>
      <c r="BR230" s="281">
        <f t="shared" si="1334"/>
        <v>0</v>
      </c>
      <c r="BS230" s="732">
        <v>0</v>
      </c>
      <c r="BT230" s="732">
        <v>0</v>
      </c>
      <c r="BU230" s="732">
        <v>0</v>
      </c>
      <c r="BV230" s="732">
        <v>0</v>
      </c>
      <c r="BW230" s="281">
        <f t="shared" si="1335"/>
        <v>0</v>
      </c>
      <c r="BX230" s="281">
        <f t="shared" si="1336"/>
        <v>0</v>
      </c>
      <c r="BY230" s="281">
        <f t="shared" si="1337"/>
        <v>0</v>
      </c>
      <c r="BZ230" s="732">
        <v>0</v>
      </c>
      <c r="CA230" s="732">
        <v>0</v>
      </c>
      <c r="CB230" s="732">
        <v>0</v>
      </c>
      <c r="CC230" s="732">
        <v>0</v>
      </c>
      <c r="CD230" s="281">
        <f t="shared" si="1338"/>
        <v>0</v>
      </c>
      <c r="CE230" s="281">
        <f t="shared" si="1339"/>
        <v>0</v>
      </c>
      <c r="CF230" s="281">
        <f t="shared" si="1340"/>
        <v>0</v>
      </c>
      <c r="CG230" s="732">
        <v>0</v>
      </c>
      <c r="CH230" s="732">
        <v>0</v>
      </c>
      <c r="CI230" s="732">
        <v>0</v>
      </c>
      <c r="CJ230" s="732">
        <v>0</v>
      </c>
      <c r="CK230" s="281">
        <f t="shared" si="1341"/>
        <v>0</v>
      </c>
      <c r="CL230" s="732"/>
      <c r="CM230" s="732"/>
      <c r="CN230" s="732">
        <v>0</v>
      </c>
      <c r="CO230" s="732"/>
    </row>
    <row r="231" spans="1:93" s="289" customFormat="1" x14ac:dyDescent="0.25">
      <c r="A231" s="455" t="str">
        <f>Language!C180</f>
        <v>Concebra</v>
      </c>
      <c r="B231" s="280">
        <v>0</v>
      </c>
      <c r="C231" s="280">
        <v>0</v>
      </c>
      <c r="D231" s="280">
        <v>0</v>
      </c>
      <c r="E231" s="280">
        <v>0</v>
      </c>
      <c r="F231" s="279">
        <v>0</v>
      </c>
      <c r="G231" s="280">
        <v>0</v>
      </c>
      <c r="H231" s="280">
        <v>0</v>
      </c>
      <c r="I231" s="280">
        <v>0</v>
      </c>
      <c r="J231" s="279">
        <v>0</v>
      </c>
      <c r="K231" s="280">
        <v>0</v>
      </c>
      <c r="L231" s="280">
        <v>0</v>
      </c>
      <c r="M231" s="280">
        <v>0</v>
      </c>
      <c r="N231" s="279">
        <v>0</v>
      </c>
      <c r="O231" s="280">
        <v>0</v>
      </c>
      <c r="P231" s="280">
        <v>0</v>
      </c>
      <c r="Q231" s="280">
        <v>0</v>
      </c>
      <c r="R231" s="279">
        <v>-8485</v>
      </c>
      <c r="S231" s="280">
        <v>-255</v>
      </c>
      <c r="T231" s="280">
        <f t="shared" si="1323"/>
        <v>-701</v>
      </c>
      <c r="U231" s="280">
        <f t="shared" si="1324"/>
        <v>-1852</v>
      </c>
      <c r="V231" s="280">
        <f t="shared" si="1325"/>
        <v>-8740</v>
      </c>
      <c r="W231" s="281">
        <v>-9441</v>
      </c>
      <c r="X231" s="282">
        <v>-11293</v>
      </c>
      <c r="Y231" s="283">
        <v>350</v>
      </c>
      <c r="Z231" s="281">
        <f t="shared" si="1326"/>
        <v>174</v>
      </c>
      <c r="AA231" s="280">
        <f t="shared" si="1327"/>
        <v>147</v>
      </c>
      <c r="AB231" s="280">
        <f t="shared" si="1328"/>
        <v>-3881</v>
      </c>
      <c r="AC231" s="281">
        <v>524</v>
      </c>
      <c r="AD231" s="281">
        <v>671</v>
      </c>
      <c r="AE231" s="282">
        <v>-3210</v>
      </c>
      <c r="AF231" s="281">
        <v>109</v>
      </c>
      <c r="AG231" s="281">
        <f t="shared" si="1230"/>
        <v>-7021.6532231035599</v>
      </c>
      <c r="AH231" s="281">
        <f t="shared" si="974"/>
        <v>-3254.0311352227509</v>
      </c>
      <c r="AI231" s="281">
        <f t="shared" si="975"/>
        <v>-4254.3156416736892</v>
      </c>
      <c r="AJ231" s="281">
        <v>-6912.6532231035599</v>
      </c>
      <c r="AK231" s="281">
        <v>-10166.684358326311</v>
      </c>
      <c r="AL231" s="282">
        <v>-14421</v>
      </c>
      <c r="AM231" s="281">
        <v>176</v>
      </c>
      <c r="AN231" s="281">
        <f t="shared" si="976"/>
        <v>304</v>
      </c>
      <c r="AO231" s="281">
        <f t="shared" si="977"/>
        <v>69</v>
      </c>
      <c r="AP231" s="281">
        <f t="shared" si="977"/>
        <v>-185</v>
      </c>
      <c r="AQ231" s="281">
        <v>480</v>
      </c>
      <c r="AR231" s="281">
        <v>549</v>
      </c>
      <c r="AS231" s="282">
        <v>364</v>
      </c>
      <c r="AT231" s="281">
        <v>104</v>
      </c>
      <c r="AU231" s="281">
        <f t="shared" si="1249"/>
        <v>207</v>
      </c>
      <c r="AV231" s="281">
        <f>AY231-AX231</f>
        <v>-5385</v>
      </c>
      <c r="AW231" s="281">
        <f t="shared" si="978"/>
        <v>5991</v>
      </c>
      <c r="AX231" s="281">
        <v>311</v>
      </c>
      <c r="AY231" s="281">
        <v>-5074</v>
      </c>
      <c r="AZ231" s="281">
        <v>917</v>
      </c>
      <c r="BA231" s="281">
        <v>234</v>
      </c>
      <c r="BB231" s="281">
        <f t="shared" si="1329"/>
        <v>-3679</v>
      </c>
      <c r="BC231" s="281">
        <f t="shared" si="1330"/>
        <v>-930</v>
      </c>
      <c r="BD231" s="281">
        <f t="shared" si="1331"/>
        <v>221413</v>
      </c>
      <c r="BE231" s="281">
        <v>-3445</v>
      </c>
      <c r="BF231" s="281">
        <v>-4375</v>
      </c>
      <c r="BG231" s="281">
        <v>217038</v>
      </c>
      <c r="BH231" s="281">
        <v>2470</v>
      </c>
      <c r="BI231" s="281">
        <f>BL231-BH231</f>
        <v>-1152</v>
      </c>
      <c r="BJ231" s="281">
        <f t="shared" si="1342"/>
        <v>-1341</v>
      </c>
      <c r="BK231" s="281">
        <f t="shared" si="1343"/>
        <v>-382</v>
      </c>
      <c r="BL231" s="281">
        <v>1318</v>
      </c>
      <c r="BM231" s="281">
        <v>-23</v>
      </c>
      <c r="BN231" s="281">
        <v>-405</v>
      </c>
      <c r="BO231" s="281">
        <v>624</v>
      </c>
      <c r="BP231" s="281">
        <f t="shared" si="1332"/>
        <v>-876</v>
      </c>
      <c r="BQ231" s="281">
        <f t="shared" si="1333"/>
        <v>-3680</v>
      </c>
      <c r="BR231" s="281">
        <f t="shared" si="1334"/>
        <v>13265</v>
      </c>
      <c r="BS231" s="281">
        <v>-252</v>
      </c>
      <c r="BT231" s="281">
        <v>-3932</v>
      </c>
      <c r="BU231" s="281">
        <v>9333</v>
      </c>
      <c r="BV231" s="281">
        <v>-5060</v>
      </c>
      <c r="BW231" s="281">
        <f t="shared" si="1335"/>
        <v>3405</v>
      </c>
      <c r="BX231" s="281">
        <f t="shared" si="1336"/>
        <v>66</v>
      </c>
      <c r="BY231" s="281">
        <f t="shared" si="1337"/>
        <v>7473</v>
      </c>
      <c r="BZ231" s="281">
        <v>-1655</v>
      </c>
      <c r="CA231" s="281">
        <v>-1589</v>
      </c>
      <c r="CB231" s="281">
        <v>5884</v>
      </c>
      <c r="CC231" s="281">
        <v>-1093</v>
      </c>
      <c r="CD231" s="281">
        <f t="shared" si="1338"/>
        <v>424</v>
      </c>
      <c r="CE231" s="281">
        <f t="shared" si="1339"/>
        <v>676</v>
      </c>
      <c r="CF231" s="281">
        <f t="shared" si="1340"/>
        <v>2380</v>
      </c>
      <c r="CG231" s="281">
        <v>-669</v>
      </c>
      <c r="CH231" s="281">
        <v>7</v>
      </c>
      <c r="CI231" s="281">
        <v>2387</v>
      </c>
      <c r="CJ231" s="281">
        <v>234</v>
      </c>
      <c r="CK231" s="281">
        <f t="shared" si="1341"/>
        <v>1627</v>
      </c>
      <c r="CL231" s="281"/>
      <c r="CM231" s="281"/>
      <c r="CN231" s="281">
        <v>1861</v>
      </c>
      <c r="CO231" s="281"/>
    </row>
    <row r="232" spans="1:93" s="289" customFormat="1" x14ac:dyDescent="0.25">
      <c r="A232" s="455" t="str">
        <f>Language!C181</f>
        <v>Transbrasiliana</v>
      </c>
      <c r="B232" s="280">
        <v>0</v>
      </c>
      <c r="C232" s="280">
        <v>0</v>
      </c>
      <c r="D232" s="280">
        <v>0</v>
      </c>
      <c r="E232" s="280">
        <v>0</v>
      </c>
      <c r="F232" s="279">
        <v>0</v>
      </c>
      <c r="G232" s="280">
        <v>0</v>
      </c>
      <c r="H232" s="280">
        <v>0</v>
      </c>
      <c r="I232" s="280">
        <v>0</v>
      </c>
      <c r="J232" s="279">
        <v>0</v>
      </c>
      <c r="K232" s="280">
        <v>0</v>
      </c>
      <c r="L232" s="280">
        <v>0</v>
      </c>
      <c r="M232" s="280">
        <v>0</v>
      </c>
      <c r="N232" s="279">
        <v>0</v>
      </c>
      <c r="O232" s="280">
        <v>0</v>
      </c>
      <c r="P232" s="280">
        <v>0</v>
      </c>
      <c r="Q232" s="280">
        <v>0</v>
      </c>
      <c r="R232" s="279">
        <v>17801</v>
      </c>
      <c r="S232" s="280">
        <v>0</v>
      </c>
      <c r="T232" s="280">
        <f t="shared" si="1323"/>
        <v>40</v>
      </c>
      <c r="U232" s="280">
        <f t="shared" si="1324"/>
        <v>0</v>
      </c>
      <c r="V232" s="280">
        <f t="shared" si="1325"/>
        <v>17801</v>
      </c>
      <c r="W232" s="281">
        <v>17841</v>
      </c>
      <c r="X232" s="282">
        <v>17841</v>
      </c>
      <c r="Y232" s="283">
        <v>0</v>
      </c>
      <c r="Z232" s="281">
        <f t="shared" si="1326"/>
        <v>0</v>
      </c>
      <c r="AA232" s="280">
        <f t="shared" si="1327"/>
        <v>-2604</v>
      </c>
      <c r="AB232" s="280">
        <f t="shared" si="1328"/>
        <v>2604</v>
      </c>
      <c r="AC232" s="281">
        <v>0</v>
      </c>
      <c r="AD232" s="281">
        <v>-2604</v>
      </c>
      <c r="AE232" s="282">
        <v>0</v>
      </c>
      <c r="AF232" s="281">
        <v>0</v>
      </c>
      <c r="AG232" s="281">
        <f t="shared" si="1230"/>
        <v>-4284.3587867277402</v>
      </c>
      <c r="AH232" s="281">
        <f t="shared" si="974"/>
        <v>4284.3587867277402</v>
      </c>
      <c r="AI232" s="281">
        <f t="shared" si="975"/>
        <v>3978</v>
      </c>
      <c r="AJ232" s="281">
        <v>-4284.3587867277402</v>
      </c>
      <c r="AK232" s="281">
        <v>0</v>
      </c>
      <c r="AL232" s="282">
        <v>3978</v>
      </c>
      <c r="AM232" s="281">
        <v>0</v>
      </c>
      <c r="AN232" s="281">
        <f t="shared" si="976"/>
        <v>-106</v>
      </c>
      <c r="AO232" s="281">
        <f t="shared" si="977"/>
        <v>-88</v>
      </c>
      <c r="AP232" s="281">
        <f t="shared" si="977"/>
        <v>84</v>
      </c>
      <c r="AQ232" s="281">
        <v>-106</v>
      </c>
      <c r="AR232" s="281">
        <v>-194</v>
      </c>
      <c r="AS232" s="282">
        <v>-110</v>
      </c>
      <c r="AT232" s="281">
        <v>0</v>
      </c>
      <c r="AU232" s="281">
        <f t="shared" si="1249"/>
        <v>0</v>
      </c>
      <c r="AV232" s="281"/>
      <c r="AW232" s="281">
        <f t="shared" si="978"/>
        <v>1516</v>
      </c>
      <c r="AX232" s="281">
        <v>0</v>
      </c>
      <c r="AY232" s="281">
        <v>-1516</v>
      </c>
      <c r="AZ232" s="732">
        <v>0</v>
      </c>
      <c r="BA232" s="732">
        <v>0</v>
      </c>
      <c r="BB232" s="281">
        <f t="shared" si="1329"/>
        <v>132</v>
      </c>
      <c r="BC232" s="281">
        <f t="shared" si="1330"/>
        <v>630</v>
      </c>
      <c r="BD232" s="281">
        <f t="shared" si="1331"/>
        <v>-654</v>
      </c>
      <c r="BE232" s="281">
        <v>132</v>
      </c>
      <c r="BF232" s="281">
        <v>762</v>
      </c>
      <c r="BG232" s="281">
        <v>108</v>
      </c>
      <c r="BH232" s="281">
        <v>243</v>
      </c>
      <c r="BI232" s="281">
        <f>BL232-BH232</f>
        <v>299</v>
      </c>
      <c r="BJ232" s="281">
        <f t="shared" si="1342"/>
        <v>-739</v>
      </c>
      <c r="BK232" s="281">
        <f t="shared" si="1343"/>
        <v>70</v>
      </c>
      <c r="BL232" s="281">
        <v>542</v>
      </c>
      <c r="BM232" s="281">
        <v>-197</v>
      </c>
      <c r="BN232" s="281">
        <v>-127</v>
      </c>
      <c r="BO232" s="281">
        <v>-199</v>
      </c>
      <c r="BP232" s="281">
        <f t="shared" si="1332"/>
        <v>5060</v>
      </c>
      <c r="BQ232" s="281">
        <f t="shared" si="1333"/>
        <v>-618</v>
      </c>
      <c r="BR232" s="281">
        <f t="shared" si="1334"/>
        <v>309</v>
      </c>
      <c r="BS232" s="281">
        <v>4861</v>
      </c>
      <c r="BT232" s="281">
        <v>4243</v>
      </c>
      <c r="BU232" s="281">
        <v>4552</v>
      </c>
      <c r="BV232" s="281">
        <v>-386</v>
      </c>
      <c r="BW232" s="281">
        <f t="shared" si="1335"/>
        <v>-106</v>
      </c>
      <c r="BX232" s="281">
        <f t="shared" si="1336"/>
        <v>-860</v>
      </c>
      <c r="BY232" s="281">
        <f t="shared" si="1337"/>
        <v>1121</v>
      </c>
      <c r="BZ232" s="281">
        <v>-492</v>
      </c>
      <c r="CA232" s="281">
        <v>-1352</v>
      </c>
      <c r="CB232" s="281">
        <v>-231</v>
      </c>
      <c r="CC232" s="281">
        <v>629</v>
      </c>
      <c r="CD232" s="281">
        <f t="shared" si="1338"/>
        <v>641</v>
      </c>
      <c r="CE232" s="281">
        <f t="shared" si="1339"/>
        <v>-62</v>
      </c>
      <c r="CF232" s="281">
        <f t="shared" si="1340"/>
        <v>296</v>
      </c>
      <c r="CG232" s="281">
        <v>1270</v>
      </c>
      <c r="CH232" s="281">
        <v>1208</v>
      </c>
      <c r="CI232" s="281">
        <v>1504</v>
      </c>
      <c r="CJ232" s="281">
        <v>-272</v>
      </c>
      <c r="CK232" s="281">
        <f t="shared" si="1341"/>
        <v>532</v>
      </c>
      <c r="CL232" s="281"/>
      <c r="CM232" s="281"/>
      <c r="CN232" s="281">
        <v>260</v>
      </c>
      <c r="CO232" s="281"/>
    </row>
    <row r="233" spans="1:93" s="289" customFormat="1" x14ac:dyDescent="0.25">
      <c r="A233" s="455" t="s">
        <v>670</v>
      </c>
      <c r="B233" s="280"/>
      <c r="C233" s="280"/>
      <c r="D233" s="280"/>
      <c r="E233" s="280"/>
      <c r="F233" s="279"/>
      <c r="G233" s="280"/>
      <c r="H233" s="280"/>
      <c r="I233" s="280"/>
      <c r="J233" s="279"/>
      <c r="K233" s="280"/>
      <c r="L233" s="280"/>
      <c r="M233" s="280"/>
      <c r="N233" s="279"/>
      <c r="O233" s="280"/>
      <c r="P233" s="280"/>
      <c r="Q233" s="280"/>
      <c r="R233" s="279"/>
      <c r="S233" s="280"/>
      <c r="T233" s="280"/>
      <c r="U233" s="280"/>
      <c r="V233" s="280"/>
      <c r="W233" s="281"/>
      <c r="X233" s="282"/>
      <c r="Y233" s="283"/>
      <c r="Z233" s="281"/>
      <c r="AA233" s="280"/>
      <c r="AB233" s="280"/>
      <c r="AC233" s="281"/>
      <c r="AD233" s="281"/>
      <c r="AE233" s="282"/>
      <c r="AF233" s="281"/>
      <c r="AG233" s="281">
        <f t="shared" si="1230"/>
        <v>0</v>
      </c>
      <c r="AH233" s="281">
        <f t="shared" si="974"/>
        <v>0</v>
      </c>
      <c r="AI233" s="281">
        <f t="shared" si="975"/>
        <v>0</v>
      </c>
      <c r="AJ233" s="281"/>
      <c r="AK233" s="281"/>
      <c r="AL233" s="282"/>
      <c r="AM233" s="281">
        <v>0</v>
      </c>
      <c r="AN233" s="281">
        <f t="shared" si="976"/>
        <v>12</v>
      </c>
      <c r="AO233" s="281">
        <f t="shared" si="977"/>
        <v>-3</v>
      </c>
      <c r="AP233" s="281">
        <f t="shared" si="977"/>
        <v>-1</v>
      </c>
      <c r="AQ233" s="281">
        <v>12</v>
      </c>
      <c r="AR233" s="281">
        <v>9</v>
      </c>
      <c r="AS233" s="282">
        <v>8</v>
      </c>
      <c r="AT233" s="281">
        <v>0</v>
      </c>
      <c r="AU233" s="281">
        <f t="shared" si="1249"/>
        <v>0</v>
      </c>
      <c r="AV233" s="281"/>
      <c r="AW233" s="281">
        <f t="shared" si="978"/>
        <v>0</v>
      </c>
      <c r="AX233" s="281">
        <v>0</v>
      </c>
      <c r="AY233" s="281">
        <v>0</v>
      </c>
      <c r="AZ233" s="732">
        <v>0</v>
      </c>
      <c r="BA233" s="732">
        <v>0</v>
      </c>
      <c r="BB233" s="281">
        <f t="shared" si="1329"/>
        <v>0</v>
      </c>
      <c r="BC233" s="281">
        <f t="shared" si="1330"/>
        <v>0</v>
      </c>
      <c r="BD233" s="281">
        <f t="shared" si="1331"/>
        <v>0</v>
      </c>
      <c r="BE233" s="732">
        <v>0</v>
      </c>
      <c r="BF233" s="732">
        <v>0</v>
      </c>
      <c r="BG233" s="732">
        <v>0</v>
      </c>
      <c r="BH233" s="732"/>
      <c r="BI233" s="732"/>
      <c r="BJ233" s="732"/>
      <c r="BK233" s="732"/>
      <c r="BL233" s="732"/>
      <c r="BM233" s="732"/>
      <c r="BN233" s="732"/>
      <c r="BO233" s="732"/>
      <c r="BP233" s="732"/>
      <c r="BQ233" s="732"/>
      <c r="BR233" s="732"/>
      <c r="BS233" s="732"/>
      <c r="BT233" s="732"/>
      <c r="BU233" s="732"/>
      <c r="BV233" s="732"/>
      <c r="BW233" s="732"/>
      <c r="BX233" s="732"/>
      <c r="BY233" s="732"/>
      <c r="BZ233" s="732"/>
      <c r="CA233" s="732"/>
      <c r="CB233" s="732"/>
      <c r="CC233" s="732"/>
      <c r="CD233" s="732"/>
      <c r="CE233" s="732"/>
      <c r="CF233" s="732"/>
      <c r="CG233" s="732"/>
      <c r="CH233" s="732"/>
      <c r="CI233" s="732"/>
      <c r="CJ233" s="732"/>
      <c r="CK233" s="732"/>
      <c r="CL233" s="732"/>
      <c r="CM233" s="732"/>
      <c r="CN233" s="732"/>
      <c r="CO233" s="732"/>
    </row>
    <row r="234" spans="1:93" s="289" customFormat="1" x14ac:dyDescent="0.25">
      <c r="A234" s="713" t="s">
        <v>695</v>
      </c>
      <c r="B234" s="280"/>
      <c r="C234" s="280"/>
      <c r="D234" s="280"/>
      <c r="E234" s="280"/>
      <c r="F234" s="279"/>
      <c r="G234" s="280"/>
      <c r="H234" s="280"/>
      <c r="I234" s="280"/>
      <c r="J234" s="279"/>
      <c r="K234" s="280"/>
      <c r="L234" s="280"/>
      <c r="M234" s="280"/>
      <c r="N234" s="279"/>
      <c r="O234" s="280"/>
      <c r="P234" s="280"/>
      <c r="Q234" s="280"/>
      <c r="R234" s="279"/>
      <c r="S234" s="280"/>
      <c r="T234" s="280"/>
      <c r="U234" s="280"/>
      <c r="V234" s="280"/>
      <c r="W234" s="281"/>
      <c r="X234" s="282"/>
      <c r="Y234" s="283"/>
      <c r="Z234" s="281"/>
      <c r="AA234" s="280"/>
      <c r="AB234" s="280"/>
      <c r="AC234" s="281"/>
      <c r="AD234" s="281"/>
      <c r="AE234" s="282"/>
      <c r="AF234" s="281"/>
      <c r="AG234" s="281"/>
      <c r="AH234" s="281"/>
      <c r="AI234" s="281"/>
      <c r="AJ234" s="281"/>
      <c r="AK234" s="281"/>
      <c r="AL234" s="282"/>
      <c r="AM234" s="281"/>
      <c r="AN234" s="281"/>
      <c r="AO234" s="281"/>
      <c r="AP234" s="281"/>
      <c r="AQ234" s="281"/>
      <c r="AR234" s="281"/>
      <c r="AS234" s="282"/>
      <c r="AT234" s="281"/>
      <c r="AU234" s="281">
        <v>0</v>
      </c>
      <c r="AV234" s="281"/>
      <c r="AW234" s="281"/>
      <c r="AX234" s="281">
        <v>-4</v>
      </c>
      <c r="AY234" s="281">
        <v>-518</v>
      </c>
      <c r="AZ234" s="732"/>
      <c r="BA234" s="732"/>
      <c r="BB234" s="281"/>
      <c r="BC234" s="732"/>
      <c r="BD234" s="732"/>
      <c r="BE234" s="732"/>
      <c r="BF234" s="732"/>
      <c r="BG234" s="732"/>
      <c r="BH234" s="732"/>
      <c r="BI234" s="732"/>
      <c r="BJ234" s="732"/>
      <c r="BK234" s="732"/>
      <c r="BL234" s="732"/>
      <c r="BM234" s="732"/>
      <c r="BN234" s="732"/>
      <c r="BO234" s="732"/>
      <c r="BP234" s="732"/>
      <c r="BQ234" s="732"/>
      <c r="BR234" s="732"/>
      <c r="BS234" s="732"/>
      <c r="BT234" s="732"/>
      <c r="BU234" s="732"/>
      <c r="BV234" s="732"/>
      <c r="BW234" s="732"/>
      <c r="BX234" s="732"/>
      <c r="BY234" s="732"/>
      <c r="BZ234" s="732"/>
      <c r="CA234" s="732"/>
      <c r="CB234" s="732"/>
      <c r="CC234" s="732"/>
      <c r="CD234" s="732"/>
      <c r="CE234" s="732"/>
      <c r="CF234" s="732"/>
      <c r="CG234" s="732"/>
      <c r="CH234" s="732"/>
      <c r="CI234" s="732"/>
      <c r="CJ234" s="732"/>
      <c r="CK234" s="732"/>
      <c r="CL234" s="732"/>
      <c r="CM234" s="732"/>
      <c r="CN234" s="732"/>
      <c r="CO234" s="732"/>
    </row>
    <row r="235" spans="1:93" s="289" customFormat="1" x14ac:dyDescent="0.25">
      <c r="A235" s="789" t="s">
        <v>733</v>
      </c>
      <c r="B235" s="790"/>
      <c r="C235" s="790"/>
      <c r="D235" s="790"/>
      <c r="E235" s="790"/>
      <c r="F235" s="791"/>
      <c r="G235" s="790"/>
      <c r="H235" s="790"/>
      <c r="I235" s="790"/>
      <c r="J235" s="791"/>
      <c r="K235" s="790"/>
      <c r="L235" s="790"/>
      <c r="M235" s="790"/>
      <c r="N235" s="791"/>
      <c r="O235" s="790"/>
      <c r="P235" s="790"/>
      <c r="Q235" s="790"/>
      <c r="R235" s="791"/>
      <c r="S235" s="790"/>
      <c r="T235" s="790"/>
      <c r="U235" s="790"/>
      <c r="V235" s="790"/>
      <c r="W235" s="792"/>
      <c r="X235" s="793"/>
      <c r="Y235" s="794"/>
      <c r="Z235" s="792"/>
      <c r="AA235" s="790"/>
      <c r="AB235" s="790"/>
      <c r="AC235" s="792"/>
      <c r="AD235" s="792"/>
      <c r="AE235" s="793"/>
      <c r="AF235" s="792"/>
      <c r="AG235" s="792"/>
      <c r="AH235" s="792"/>
      <c r="AI235" s="792"/>
      <c r="AJ235" s="792"/>
      <c r="AK235" s="792"/>
      <c r="AL235" s="793"/>
      <c r="AM235" s="792"/>
      <c r="AN235" s="792"/>
      <c r="AO235" s="792"/>
      <c r="AP235" s="792"/>
      <c r="AQ235" s="792"/>
      <c r="AR235" s="792"/>
      <c r="AS235" s="793"/>
      <c r="AT235" s="487">
        <f t="shared" ref="AT235" si="1344">SUM(AT236:AT242)</f>
        <v>-1126.6007602399986</v>
      </c>
      <c r="AU235" s="493">
        <f t="shared" ref="AU235:AW235" si="1345">SUM(AU236:AU242)</f>
        <v>-1876.7670729280012</v>
      </c>
      <c r="AV235" s="493">
        <f t="shared" si="1345"/>
        <v>-11921.7099</v>
      </c>
      <c r="AW235" s="493">
        <f t="shared" si="1345"/>
        <v>22085.5504</v>
      </c>
      <c r="AX235" s="493">
        <f t="shared" ref="AX235" si="1346">SUM(AX236:AX242)</f>
        <v>-3003.3678331679998</v>
      </c>
      <c r="AY235" s="487">
        <f>SUM(AY236:AY243)</f>
        <v>-15443.077733168</v>
      </c>
      <c r="AZ235" s="487">
        <f t="shared" ref="AZ235:BC235" si="1347">SUM(AZ236:AZ242)</f>
        <v>7160.472666832</v>
      </c>
      <c r="BA235" s="487">
        <f t="shared" si="1347"/>
        <v>-356</v>
      </c>
      <c r="BB235" s="487">
        <f t="shared" si="1347"/>
        <v>-2667</v>
      </c>
      <c r="BC235" s="487">
        <f t="shared" si="1347"/>
        <v>-15342</v>
      </c>
      <c r="BD235" s="487">
        <f>SUM(BD236:BD242)</f>
        <v>213377</v>
      </c>
      <c r="BE235" s="487">
        <f t="shared" ref="BE235:BK235" si="1348">SUM(BE236:BE242)</f>
        <v>-3023</v>
      </c>
      <c r="BF235" s="487">
        <f t="shared" si="1348"/>
        <v>-18365</v>
      </c>
      <c r="BG235" s="487">
        <f t="shared" si="1348"/>
        <v>195012</v>
      </c>
      <c r="BH235" s="487">
        <f t="shared" si="1348"/>
        <v>-325</v>
      </c>
      <c r="BI235" s="487">
        <f t="shared" si="1348"/>
        <v>-463</v>
      </c>
      <c r="BJ235" s="487">
        <f t="shared" si="1348"/>
        <v>-110</v>
      </c>
      <c r="BK235" s="487">
        <f t="shared" si="1348"/>
        <v>10467</v>
      </c>
      <c r="BL235" s="487">
        <f t="shared" ref="BL235:BR235" si="1349">SUM(BL236:BL242)</f>
        <v>-788</v>
      </c>
      <c r="BM235" s="487">
        <f t="shared" si="1349"/>
        <v>-898</v>
      </c>
      <c r="BN235" s="487">
        <f t="shared" si="1349"/>
        <v>9569</v>
      </c>
      <c r="BO235" s="487">
        <f t="shared" si="1349"/>
        <v>-942</v>
      </c>
      <c r="BP235" s="487">
        <f t="shared" si="1349"/>
        <v>249</v>
      </c>
      <c r="BQ235" s="487">
        <f t="shared" si="1349"/>
        <v>2710</v>
      </c>
      <c r="BR235" s="487">
        <f t="shared" si="1349"/>
        <v>1404</v>
      </c>
      <c r="BS235" s="487">
        <f t="shared" ref="BS235:BT235" si="1350">SUM(BS236:BS242)</f>
        <v>-693</v>
      </c>
      <c r="BT235" s="487">
        <f t="shared" si="1350"/>
        <v>2017</v>
      </c>
      <c r="BU235" s="487">
        <f t="shared" ref="BU235:BV235" si="1351">SUM(BU236:BU242)</f>
        <v>3421</v>
      </c>
      <c r="BV235" s="487">
        <f t="shared" si="1351"/>
        <v>-704</v>
      </c>
      <c r="BW235" s="487">
        <f t="shared" ref="BW235:BZ235" si="1352">SUM(BW236:BW242)</f>
        <v>-342</v>
      </c>
      <c r="BX235" s="487">
        <f t="shared" si="1352"/>
        <v>-850</v>
      </c>
      <c r="BY235" s="487">
        <f t="shared" si="1352"/>
        <v>-2093</v>
      </c>
      <c r="BZ235" s="487">
        <f t="shared" si="1352"/>
        <v>-1046</v>
      </c>
      <c r="CA235" s="487">
        <f t="shared" ref="CA235:CB235" si="1353">SUM(CA236:CA242)</f>
        <v>-1896</v>
      </c>
      <c r="CB235" s="487">
        <f t="shared" si="1353"/>
        <v>-3989</v>
      </c>
      <c r="CC235" s="487">
        <f t="shared" ref="CC235:CD235" si="1354">SUM(CC236:CC242)</f>
        <v>145</v>
      </c>
      <c r="CD235" s="487">
        <f t="shared" si="1354"/>
        <v>451</v>
      </c>
      <c r="CE235" s="487">
        <f t="shared" ref="CE235:CG235" si="1355">SUM(CE236:CE242)</f>
        <v>-273</v>
      </c>
      <c r="CF235" s="487">
        <f t="shared" si="1355"/>
        <v>5811</v>
      </c>
      <c r="CG235" s="487">
        <f t="shared" si="1355"/>
        <v>596</v>
      </c>
      <c r="CH235" s="487">
        <f t="shared" ref="CH235:CI235" si="1356">SUM(CH236:CH242)</f>
        <v>323</v>
      </c>
      <c r="CI235" s="487">
        <f t="shared" si="1356"/>
        <v>6134</v>
      </c>
      <c r="CJ235" s="487">
        <v>-5286</v>
      </c>
      <c r="CK235" s="487">
        <f t="shared" ref="CK235" si="1357">SUM(CK236:CK242)</f>
        <v>2177</v>
      </c>
      <c r="CL235" s="487">
        <f t="shared" ref="CL235:CO235" si="1358">SUM(CL236:CL242)</f>
        <v>0</v>
      </c>
      <c r="CM235" s="487">
        <f t="shared" si="1358"/>
        <v>0</v>
      </c>
      <c r="CN235" s="487">
        <f t="shared" si="1358"/>
        <v>-3109</v>
      </c>
      <c r="CO235" s="487">
        <f t="shared" si="1358"/>
        <v>0</v>
      </c>
    </row>
    <row r="236" spans="1:93" s="289" customFormat="1" x14ac:dyDescent="0.25">
      <c r="A236" s="713" t="s">
        <v>15</v>
      </c>
      <c r="B236" s="280"/>
      <c r="C236" s="280"/>
      <c r="D236" s="280"/>
      <c r="E236" s="280"/>
      <c r="F236" s="279"/>
      <c r="G236" s="280"/>
      <c r="H236" s="280"/>
      <c r="I236" s="280"/>
      <c r="J236" s="279"/>
      <c r="K236" s="280"/>
      <c r="L236" s="280"/>
      <c r="M236" s="280"/>
      <c r="N236" s="279"/>
      <c r="O236" s="280"/>
      <c r="P236" s="280"/>
      <c r="Q236" s="280"/>
      <c r="R236" s="279"/>
      <c r="S236" s="280"/>
      <c r="T236" s="280"/>
      <c r="U236" s="280"/>
      <c r="V236" s="280"/>
      <c r="W236" s="281"/>
      <c r="X236" s="282"/>
      <c r="Y236" s="283"/>
      <c r="Z236" s="281"/>
      <c r="AA236" s="280"/>
      <c r="AB236" s="280"/>
      <c r="AC236" s="281"/>
      <c r="AD236" s="281"/>
      <c r="AE236" s="282"/>
      <c r="AF236" s="281"/>
      <c r="AG236" s="281"/>
      <c r="AH236" s="281"/>
      <c r="AI236" s="281"/>
      <c r="AJ236" s="281"/>
      <c r="AK236" s="281"/>
      <c r="AL236" s="282"/>
      <c r="AM236" s="281"/>
      <c r="AN236" s="281"/>
      <c r="AO236" s="281"/>
      <c r="AP236" s="281"/>
      <c r="AQ236" s="281"/>
      <c r="AR236" s="281"/>
      <c r="AS236" s="282"/>
      <c r="AT236" s="302">
        <v>0</v>
      </c>
      <c r="AU236" s="281">
        <f>AX236-AT236</f>
        <v>-11</v>
      </c>
      <c r="AV236" s="281">
        <f>AY236-AX236</f>
        <v>529</v>
      </c>
      <c r="AW236" s="281">
        <f>AZ236-AY236</f>
        <v>-518</v>
      </c>
      <c r="AX236" s="302">
        <v>-11</v>
      </c>
      <c r="AY236" s="302">
        <v>518</v>
      </c>
      <c r="AZ236" s="302">
        <v>0</v>
      </c>
      <c r="BA236" s="302">
        <v>0</v>
      </c>
      <c r="BB236" s="281">
        <f>BE236-BA236</f>
        <v>0</v>
      </c>
      <c r="BC236" s="732">
        <f>BF236-BE236</f>
        <v>0</v>
      </c>
      <c r="BD236" s="302">
        <f>BG236-BF236</f>
        <v>0</v>
      </c>
      <c r="BE236" s="302">
        <v>0</v>
      </c>
      <c r="BF236" s="302">
        <v>0</v>
      </c>
      <c r="BG236" s="302">
        <v>0</v>
      </c>
      <c r="BH236" s="302">
        <v>0</v>
      </c>
      <c r="BI236" s="302">
        <f>BL236-BH236</f>
        <v>0</v>
      </c>
      <c r="BJ236" s="302">
        <f>BM236-BL236</f>
        <v>0</v>
      </c>
      <c r="BK236" s="302">
        <f>BN236-BM236</f>
        <v>0</v>
      </c>
      <c r="BL236" s="302">
        <v>0</v>
      </c>
      <c r="BM236" s="302">
        <v>0</v>
      </c>
      <c r="BN236" s="302">
        <v>0</v>
      </c>
      <c r="BO236" s="302">
        <v>0</v>
      </c>
      <c r="BP236" s="292">
        <f>BS236-BO236</f>
        <v>0</v>
      </c>
      <c r="BQ236" s="732">
        <f>BT236-BS236</f>
        <v>0</v>
      </c>
      <c r="BR236" s="732">
        <f>BU236-BT236</f>
        <v>0</v>
      </c>
      <c r="BS236" s="281">
        <v>0</v>
      </c>
      <c r="BT236" s="281">
        <v>0</v>
      </c>
      <c r="BU236" s="281">
        <v>0</v>
      </c>
      <c r="BV236" s="281">
        <v>0</v>
      </c>
      <c r="BW236" s="281">
        <f>BZ236-BV236</f>
        <v>0</v>
      </c>
      <c r="BX236" s="281">
        <f>CA236-BZ236</f>
        <v>0</v>
      </c>
      <c r="BY236" s="281">
        <f>CB236-CA236</f>
        <v>0</v>
      </c>
      <c r="BZ236" s="281">
        <v>0</v>
      </c>
      <c r="CA236" s="281">
        <v>0</v>
      </c>
      <c r="CB236" s="281">
        <v>0</v>
      </c>
      <c r="CC236" s="281">
        <v>0</v>
      </c>
      <c r="CD236" s="281">
        <f>CG236-CC236</f>
        <v>0</v>
      </c>
      <c r="CE236" s="281"/>
      <c r="CF236" s="281"/>
      <c r="CG236" s="302"/>
      <c r="CH236" s="281"/>
      <c r="CI236" s="281"/>
      <c r="CJ236" s="281"/>
      <c r="CK236" s="281"/>
      <c r="CL236" s="281"/>
      <c r="CM236" s="281"/>
      <c r="CN236" s="281"/>
      <c r="CO236" s="281"/>
    </row>
    <row r="237" spans="1:93" s="289" customFormat="1" x14ac:dyDescent="0.25">
      <c r="A237" s="713" t="s">
        <v>16</v>
      </c>
      <c r="B237" s="280"/>
      <c r="C237" s="280"/>
      <c r="D237" s="280"/>
      <c r="E237" s="280"/>
      <c r="F237" s="279"/>
      <c r="G237" s="280"/>
      <c r="H237" s="280"/>
      <c r="I237" s="280"/>
      <c r="J237" s="279"/>
      <c r="K237" s="280"/>
      <c r="L237" s="280"/>
      <c r="M237" s="280"/>
      <c r="N237" s="279"/>
      <c r="O237" s="280"/>
      <c r="P237" s="280"/>
      <c r="Q237" s="280"/>
      <c r="R237" s="279"/>
      <c r="S237" s="280"/>
      <c r="T237" s="280"/>
      <c r="U237" s="280"/>
      <c r="V237" s="280"/>
      <c r="W237" s="281"/>
      <c r="X237" s="282"/>
      <c r="Y237" s="283"/>
      <c r="Z237" s="281"/>
      <c r="AA237" s="280"/>
      <c r="AB237" s="280"/>
      <c r="AC237" s="281"/>
      <c r="AD237" s="281"/>
      <c r="AE237" s="282"/>
      <c r="AF237" s="281"/>
      <c r="AG237" s="281"/>
      <c r="AH237" s="281"/>
      <c r="AI237" s="281"/>
      <c r="AJ237" s="281"/>
      <c r="AK237" s="281"/>
      <c r="AL237" s="282"/>
      <c r="AM237" s="281"/>
      <c r="AN237" s="281"/>
      <c r="AO237" s="281"/>
      <c r="AP237" s="281"/>
      <c r="AQ237" s="281"/>
      <c r="AR237" s="281"/>
      <c r="AS237" s="282"/>
      <c r="AT237" s="302">
        <v>-1126.6007602399986</v>
      </c>
      <c r="AU237" s="281">
        <f t="shared" ref="AU237:AU241" si="1359">AX237-AT237</f>
        <v>-1876.7670729280012</v>
      </c>
      <c r="AV237" s="281">
        <f t="shared" ref="AV237:AV242" si="1360">AY237-AX237</f>
        <v>-5254.7098999999998</v>
      </c>
      <c r="AW237" s="281">
        <f t="shared" ref="AW237:AW242" si="1361">AZ237-AY237</f>
        <v>700.55040000000008</v>
      </c>
      <c r="AX237" s="302">
        <v>-3003.3678331679998</v>
      </c>
      <c r="AY237" s="302">
        <v>-8258.0777331680001</v>
      </c>
      <c r="AZ237" s="302">
        <v>-7557.527333168</v>
      </c>
      <c r="BA237" s="302">
        <v>-356</v>
      </c>
      <c r="BB237" s="281">
        <f t="shared" ref="BB237:BB242" si="1362">BE237-BA237</f>
        <v>2231</v>
      </c>
      <c r="BC237" s="732">
        <f t="shared" ref="BC237:BC242" si="1363">BF237-BE237</f>
        <v>-13892</v>
      </c>
      <c r="BD237" s="302">
        <f t="shared" ref="BD237:BD241" si="1364">BG237-BF237</f>
        <v>-9691</v>
      </c>
      <c r="BE237" s="302">
        <v>1875</v>
      </c>
      <c r="BF237" s="302">
        <v>-12017</v>
      </c>
      <c r="BG237" s="302">
        <v>-21708</v>
      </c>
      <c r="BH237" s="302">
        <v>-454</v>
      </c>
      <c r="BI237" s="302">
        <f t="shared" ref="BI237:BI242" si="1365">BL237-BH237</f>
        <v>-399</v>
      </c>
      <c r="BJ237" s="302">
        <f t="shared" ref="BJ237:BJ242" si="1366">BM237-BL237</f>
        <v>553</v>
      </c>
      <c r="BK237" s="302">
        <f t="shared" ref="BK237:BK242" si="1367">BN237-BM237</f>
        <v>341</v>
      </c>
      <c r="BL237" s="302">
        <v>-853</v>
      </c>
      <c r="BM237" s="302">
        <v>-300</v>
      </c>
      <c r="BN237" s="302">
        <v>41</v>
      </c>
      <c r="BO237" s="302">
        <v>-807</v>
      </c>
      <c r="BP237" s="302">
        <f t="shared" ref="BP237:BP241" si="1368">BS237-BO237</f>
        <v>578</v>
      </c>
      <c r="BQ237" s="281">
        <f>BT237-BS237</f>
        <v>-2038</v>
      </c>
      <c r="BR237" s="732">
        <f t="shared" ref="BR237:BR241" si="1369">BU237-BT237</f>
        <v>1492</v>
      </c>
      <c r="BS237" s="302">
        <v>-229</v>
      </c>
      <c r="BT237" s="302">
        <v>-2267</v>
      </c>
      <c r="BU237" s="302">
        <v>-775</v>
      </c>
      <c r="BV237" s="302">
        <v>-318</v>
      </c>
      <c r="BW237" s="281">
        <f t="shared" ref="BW237:BW241" si="1370">BZ237-BV237</f>
        <v>-236</v>
      </c>
      <c r="BX237" s="281">
        <f t="shared" ref="BX237:BX241" si="1371">CA237-BZ237</f>
        <v>10</v>
      </c>
      <c r="BY237" s="281">
        <f t="shared" ref="BY237:BY241" si="1372">CB237-CA237</f>
        <v>-3038</v>
      </c>
      <c r="BZ237" s="302">
        <v>-554</v>
      </c>
      <c r="CA237" s="302">
        <v>-544</v>
      </c>
      <c r="CB237" s="302">
        <v>-3582</v>
      </c>
      <c r="CC237" s="302">
        <v>125</v>
      </c>
      <c r="CD237" s="281">
        <f t="shared" ref="CD237:CD241" si="1373">CG237-CC237</f>
        <v>0</v>
      </c>
      <c r="CE237" s="302">
        <f>CH237-CG237</f>
        <v>-141</v>
      </c>
      <c r="CF237" s="302">
        <f>CI237-CH237</f>
        <v>5696</v>
      </c>
      <c r="CG237" s="302">
        <v>125</v>
      </c>
      <c r="CH237" s="302">
        <v>-16</v>
      </c>
      <c r="CI237" s="302">
        <v>5680</v>
      </c>
      <c r="CJ237" s="302">
        <v>-4779</v>
      </c>
      <c r="CK237" s="302">
        <f>CN237-CJ237</f>
        <v>1885</v>
      </c>
      <c r="CL237" s="302"/>
      <c r="CM237" s="302"/>
      <c r="CN237" s="302">
        <v>-2894</v>
      </c>
      <c r="CO237" s="302"/>
    </row>
    <row r="238" spans="1:93" s="289" customFormat="1" x14ac:dyDescent="0.25">
      <c r="A238" s="713" t="s">
        <v>17</v>
      </c>
      <c r="B238" s="280"/>
      <c r="C238" s="280"/>
      <c r="D238" s="280"/>
      <c r="E238" s="280"/>
      <c r="F238" s="279"/>
      <c r="G238" s="280"/>
      <c r="H238" s="280"/>
      <c r="I238" s="280"/>
      <c r="J238" s="279"/>
      <c r="K238" s="280"/>
      <c r="L238" s="280"/>
      <c r="M238" s="280"/>
      <c r="N238" s="279"/>
      <c r="O238" s="280"/>
      <c r="P238" s="280"/>
      <c r="Q238" s="280"/>
      <c r="R238" s="279"/>
      <c r="S238" s="280"/>
      <c r="T238" s="280"/>
      <c r="U238" s="280"/>
      <c r="V238" s="280"/>
      <c r="W238" s="281"/>
      <c r="X238" s="282"/>
      <c r="Y238" s="283"/>
      <c r="Z238" s="281"/>
      <c r="AA238" s="280"/>
      <c r="AB238" s="280"/>
      <c r="AC238" s="281"/>
      <c r="AD238" s="281"/>
      <c r="AE238" s="282"/>
      <c r="AF238" s="281"/>
      <c r="AG238" s="281"/>
      <c r="AH238" s="281"/>
      <c r="AI238" s="281"/>
      <c r="AJ238" s="281"/>
      <c r="AK238" s="281"/>
      <c r="AL238" s="282"/>
      <c r="AM238" s="281"/>
      <c r="AN238" s="281"/>
      <c r="AO238" s="281"/>
      <c r="AP238" s="281"/>
      <c r="AQ238" s="281"/>
      <c r="AR238" s="281"/>
      <c r="AS238" s="282"/>
      <c r="AT238" s="302">
        <v>0</v>
      </c>
      <c r="AU238" s="281">
        <f t="shared" si="1359"/>
        <v>0</v>
      </c>
      <c r="AV238" s="281">
        <f t="shared" si="1360"/>
        <v>1262</v>
      </c>
      <c r="AW238" s="281">
        <f t="shared" si="1361"/>
        <v>13456</v>
      </c>
      <c r="AX238" s="302">
        <v>0</v>
      </c>
      <c r="AY238" s="281">
        <v>1262</v>
      </c>
      <c r="AZ238" s="281">
        <v>14718</v>
      </c>
      <c r="BA238" s="281">
        <v>0</v>
      </c>
      <c r="BB238" s="281">
        <f t="shared" si="1362"/>
        <v>-310</v>
      </c>
      <c r="BC238" s="732">
        <f t="shared" si="1363"/>
        <v>79</v>
      </c>
      <c r="BD238" s="281">
        <f t="shared" si="1364"/>
        <v>2674</v>
      </c>
      <c r="BE238" s="281">
        <v>-310</v>
      </c>
      <c r="BF238" s="281">
        <v>-231</v>
      </c>
      <c r="BG238" s="281">
        <v>2443</v>
      </c>
      <c r="BH238" s="281">
        <v>-114</v>
      </c>
      <c r="BI238" s="281">
        <f t="shared" si="1365"/>
        <v>58</v>
      </c>
      <c r="BJ238" s="281">
        <f t="shared" si="1366"/>
        <v>76</v>
      </c>
      <c r="BK238" s="281">
        <f t="shared" si="1367"/>
        <v>10056</v>
      </c>
      <c r="BL238" s="281">
        <v>-56</v>
      </c>
      <c r="BM238" s="281">
        <v>20</v>
      </c>
      <c r="BN238" s="281">
        <v>10076</v>
      </c>
      <c r="BO238" s="281">
        <v>64</v>
      </c>
      <c r="BP238" s="302">
        <f t="shared" si="1368"/>
        <v>-64</v>
      </c>
      <c r="BQ238" s="302">
        <f t="shared" ref="BQ238:BQ241" si="1374">BT238-BS238</f>
        <v>144</v>
      </c>
      <c r="BR238" s="732">
        <f t="shared" si="1369"/>
        <v>48</v>
      </c>
      <c r="BS238" s="281">
        <v>0</v>
      </c>
      <c r="BT238" s="281">
        <v>144</v>
      </c>
      <c r="BU238" s="281">
        <v>192</v>
      </c>
      <c r="BV238" s="281">
        <v>0</v>
      </c>
      <c r="BW238" s="281">
        <f t="shared" si="1370"/>
        <v>0</v>
      </c>
      <c r="BX238" s="281">
        <f t="shared" si="1371"/>
        <v>0</v>
      </c>
      <c r="BY238" s="281">
        <f t="shared" si="1372"/>
        <v>0</v>
      </c>
      <c r="BZ238" s="281">
        <v>0</v>
      </c>
      <c r="CA238" s="281">
        <v>0</v>
      </c>
      <c r="CB238" s="281">
        <v>0</v>
      </c>
      <c r="CC238" s="281">
        <v>0</v>
      </c>
      <c r="CD238" s="281">
        <f t="shared" si="1373"/>
        <v>0</v>
      </c>
      <c r="CE238" s="302">
        <f t="shared" ref="CE238:CE241" si="1375">CH238-CG238</f>
        <v>0</v>
      </c>
      <c r="CF238" s="302">
        <f t="shared" ref="CF238:CF241" si="1376">CI238-CH238</f>
        <v>0</v>
      </c>
      <c r="CG238" s="281">
        <v>0</v>
      </c>
      <c r="CH238" s="281">
        <v>0</v>
      </c>
      <c r="CI238" s="281">
        <v>0</v>
      </c>
      <c r="CJ238" s="281">
        <v>0</v>
      </c>
      <c r="CK238" s="302">
        <f t="shared" ref="CK238:CK241" si="1377">CN238-CJ238</f>
        <v>0</v>
      </c>
      <c r="CL238" s="281"/>
      <c r="CM238" s="281"/>
      <c r="CN238" s="281">
        <v>0</v>
      </c>
      <c r="CO238" s="281"/>
    </row>
    <row r="239" spans="1:93" s="289" customFormat="1" x14ac:dyDescent="0.25">
      <c r="A239" s="713" t="s">
        <v>76</v>
      </c>
      <c r="B239" s="280"/>
      <c r="C239" s="280"/>
      <c r="D239" s="280"/>
      <c r="E239" s="280"/>
      <c r="F239" s="279"/>
      <c r="G239" s="280"/>
      <c r="H239" s="280"/>
      <c r="I239" s="280"/>
      <c r="J239" s="279"/>
      <c r="K239" s="280"/>
      <c r="L239" s="280"/>
      <c r="M239" s="280"/>
      <c r="N239" s="279"/>
      <c r="O239" s="280"/>
      <c r="P239" s="280"/>
      <c r="Q239" s="280"/>
      <c r="R239" s="279"/>
      <c r="S239" s="280"/>
      <c r="T239" s="280"/>
      <c r="U239" s="280"/>
      <c r="V239" s="280"/>
      <c r="W239" s="281"/>
      <c r="X239" s="282"/>
      <c r="Y239" s="283"/>
      <c r="Z239" s="281"/>
      <c r="AA239" s="280"/>
      <c r="AB239" s="280"/>
      <c r="AC239" s="281"/>
      <c r="AD239" s="281"/>
      <c r="AE239" s="282"/>
      <c r="AF239" s="281"/>
      <c r="AG239" s="281"/>
      <c r="AH239" s="281"/>
      <c r="AI239" s="281"/>
      <c r="AJ239" s="281"/>
      <c r="AK239" s="281"/>
      <c r="AL239" s="282"/>
      <c r="AM239" s="281"/>
      <c r="AN239" s="281"/>
      <c r="AO239" s="281"/>
      <c r="AP239" s="281"/>
      <c r="AQ239" s="281"/>
      <c r="AR239" s="281"/>
      <c r="AS239" s="282"/>
      <c r="AT239" s="302">
        <v>0</v>
      </c>
      <c r="AU239" s="281">
        <f t="shared" si="1359"/>
        <v>0</v>
      </c>
      <c r="AV239" s="281">
        <f t="shared" si="1360"/>
        <v>0</v>
      </c>
      <c r="AW239" s="281">
        <f t="shared" si="1361"/>
        <v>0</v>
      </c>
      <c r="AX239" s="302">
        <v>0</v>
      </c>
      <c r="AY239" s="732">
        <v>0</v>
      </c>
      <c r="AZ239" s="732">
        <v>0</v>
      </c>
      <c r="BA239" s="732">
        <v>0</v>
      </c>
      <c r="BB239" s="281">
        <f t="shared" si="1362"/>
        <v>0</v>
      </c>
      <c r="BC239" s="732">
        <f t="shared" si="1363"/>
        <v>0</v>
      </c>
      <c r="BD239" s="732">
        <f t="shared" si="1364"/>
        <v>0</v>
      </c>
      <c r="BE239" s="732">
        <v>0</v>
      </c>
      <c r="BF239" s="732">
        <v>0</v>
      </c>
      <c r="BG239" s="732">
        <v>0</v>
      </c>
      <c r="BH239" s="732">
        <v>0</v>
      </c>
      <c r="BI239" s="732">
        <f t="shared" si="1365"/>
        <v>0</v>
      </c>
      <c r="BJ239" s="732">
        <f t="shared" si="1366"/>
        <v>0</v>
      </c>
      <c r="BK239" s="732">
        <f t="shared" si="1367"/>
        <v>0</v>
      </c>
      <c r="BL239" s="732">
        <v>0</v>
      </c>
      <c r="BM239" s="732">
        <v>0</v>
      </c>
      <c r="BN239" s="732">
        <v>0</v>
      </c>
      <c r="BO239" s="732">
        <v>0</v>
      </c>
      <c r="BP239" s="281">
        <f t="shared" si="1368"/>
        <v>0</v>
      </c>
      <c r="BQ239" s="281">
        <f t="shared" si="1374"/>
        <v>0</v>
      </c>
      <c r="BR239" s="732">
        <f t="shared" si="1369"/>
        <v>0</v>
      </c>
      <c r="BS239" s="732">
        <v>0</v>
      </c>
      <c r="BT239" s="732">
        <v>0</v>
      </c>
      <c r="BU239" s="732">
        <v>0</v>
      </c>
      <c r="BV239" s="732">
        <v>0</v>
      </c>
      <c r="BW239" s="281">
        <f t="shared" si="1370"/>
        <v>0</v>
      </c>
      <c r="BX239" s="281">
        <f t="shared" si="1371"/>
        <v>0</v>
      </c>
      <c r="BY239" s="281">
        <f t="shared" si="1372"/>
        <v>0</v>
      </c>
      <c r="BZ239" s="732">
        <v>0</v>
      </c>
      <c r="CA239" s="732">
        <v>0</v>
      </c>
      <c r="CB239" s="732">
        <v>0</v>
      </c>
      <c r="CC239" s="732">
        <v>0</v>
      </c>
      <c r="CD239" s="281">
        <f t="shared" si="1373"/>
        <v>0</v>
      </c>
      <c r="CE239" s="302">
        <f t="shared" si="1375"/>
        <v>0</v>
      </c>
      <c r="CF239" s="302">
        <f t="shared" si="1376"/>
        <v>0</v>
      </c>
      <c r="CG239" s="732">
        <v>0</v>
      </c>
      <c r="CH239" s="732">
        <v>0</v>
      </c>
      <c r="CI239" s="732">
        <v>0</v>
      </c>
      <c r="CJ239" s="732">
        <v>0</v>
      </c>
      <c r="CK239" s="302">
        <f t="shared" si="1377"/>
        <v>0</v>
      </c>
      <c r="CL239" s="732"/>
      <c r="CM239" s="732"/>
      <c r="CN239" s="732">
        <v>0</v>
      </c>
      <c r="CO239" s="732"/>
    </row>
    <row r="240" spans="1:93" s="289" customFormat="1" x14ac:dyDescent="0.25">
      <c r="A240" s="713" t="s">
        <v>600</v>
      </c>
      <c r="B240" s="280"/>
      <c r="C240" s="280"/>
      <c r="D240" s="280"/>
      <c r="E240" s="280"/>
      <c r="F240" s="279"/>
      <c r="G240" s="280"/>
      <c r="H240" s="280"/>
      <c r="I240" s="280"/>
      <c r="J240" s="279"/>
      <c r="K240" s="280"/>
      <c r="L240" s="280"/>
      <c r="M240" s="280"/>
      <c r="N240" s="279"/>
      <c r="O240" s="280"/>
      <c r="P240" s="280"/>
      <c r="Q240" s="280"/>
      <c r="R240" s="279"/>
      <c r="S240" s="280"/>
      <c r="T240" s="280"/>
      <c r="U240" s="280"/>
      <c r="V240" s="280"/>
      <c r="W240" s="281"/>
      <c r="X240" s="282"/>
      <c r="Y240" s="283"/>
      <c r="Z240" s="281"/>
      <c r="AA240" s="280"/>
      <c r="AB240" s="280"/>
      <c r="AC240" s="281"/>
      <c r="AD240" s="281"/>
      <c r="AE240" s="282"/>
      <c r="AF240" s="281"/>
      <c r="AG240" s="281"/>
      <c r="AH240" s="281"/>
      <c r="AI240" s="281"/>
      <c r="AJ240" s="281"/>
      <c r="AK240" s="281"/>
      <c r="AL240" s="282"/>
      <c r="AM240" s="281"/>
      <c r="AN240" s="281"/>
      <c r="AO240" s="281"/>
      <c r="AP240" s="281"/>
      <c r="AQ240" s="281"/>
      <c r="AR240" s="281"/>
      <c r="AS240" s="282"/>
      <c r="AT240" s="302">
        <v>0</v>
      </c>
      <c r="AU240" s="281">
        <f t="shared" si="1359"/>
        <v>0</v>
      </c>
      <c r="AV240" s="281">
        <f t="shared" si="1360"/>
        <v>-6931</v>
      </c>
      <c r="AW240" s="281">
        <f t="shared" si="1361"/>
        <v>6931</v>
      </c>
      <c r="AX240" s="302">
        <v>0</v>
      </c>
      <c r="AY240" s="281">
        <v>-6931</v>
      </c>
      <c r="AZ240" s="281">
        <v>0</v>
      </c>
      <c r="BA240" s="281">
        <v>0</v>
      </c>
      <c r="BB240" s="281">
        <f t="shared" si="1362"/>
        <v>-4222</v>
      </c>
      <c r="BC240" s="732">
        <f t="shared" si="1363"/>
        <v>-2159</v>
      </c>
      <c r="BD240" s="281">
        <f t="shared" si="1364"/>
        <v>221117</v>
      </c>
      <c r="BE240" s="281">
        <v>-4222</v>
      </c>
      <c r="BF240" s="281">
        <v>-6381</v>
      </c>
      <c r="BG240" s="281">
        <v>214736</v>
      </c>
      <c r="BH240" s="281">
        <v>0</v>
      </c>
      <c r="BI240" s="281">
        <f t="shared" si="1365"/>
        <v>0</v>
      </c>
      <c r="BJ240" s="281">
        <f t="shared" si="1366"/>
        <v>0</v>
      </c>
      <c r="BK240" s="281">
        <f t="shared" si="1367"/>
        <v>0</v>
      </c>
      <c r="BL240" s="281">
        <v>0</v>
      </c>
      <c r="BM240" s="281">
        <v>0</v>
      </c>
      <c r="BN240" s="281">
        <v>0</v>
      </c>
      <c r="BO240" s="281">
        <v>0</v>
      </c>
      <c r="BP240" s="732">
        <f t="shared" si="1368"/>
        <v>0</v>
      </c>
      <c r="BQ240" s="732">
        <f t="shared" si="1374"/>
        <v>0</v>
      </c>
      <c r="BR240" s="732">
        <f t="shared" si="1369"/>
        <v>0</v>
      </c>
      <c r="BS240" s="281">
        <v>0</v>
      </c>
      <c r="BT240" s="281">
        <v>0</v>
      </c>
      <c r="BU240" s="281">
        <v>0</v>
      </c>
      <c r="BV240" s="281">
        <v>0</v>
      </c>
      <c r="BW240" s="281">
        <f t="shared" si="1370"/>
        <v>0</v>
      </c>
      <c r="BX240" s="281">
        <f t="shared" si="1371"/>
        <v>0</v>
      </c>
      <c r="BY240" s="281">
        <f t="shared" si="1372"/>
        <v>0</v>
      </c>
      <c r="BZ240" s="281">
        <v>0</v>
      </c>
      <c r="CA240" s="281">
        <v>0</v>
      </c>
      <c r="CB240" s="281">
        <v>0</v>
      </c>
      <c r="CC240" s="281">
        <v>0</v>
      </c>
      <c r="CD240" s="281">
        <f t="shared" si="1373"/>
        <v>0</v>
      </c>
      <c r="CE240" s="302">
        <f t="shared" si="1375"/>
        <v>0</v>
      </c>
      <c r="CF240" s="302">
        <f t="shared" si="1376"/>
        <v>0</v>
      </c>
      <c r="CG240" s="281">
        <v>0</v>
      </c>
      <c r="CH240" s="281">
        <v>0</v>
      </c>
      <c r="CI240" s="281">
        <v>0</v>
      </c>
      <c r="CJ240" s="281">
        <v>0</v>
      </c>
      <c r="CK240" s="302">
        <f t="shared" si="1377"/>
        <v>0</v>
      </c>
      <c r="CL240" s="281"/>
      <c r="CM240" s="281"/>
      <c r="CN240" s="281">
        <v>0</v>
      </c>
      <c r="CO240" s="281"/>
    </row>
    <row r="241" spans="1:93" s="289" customFormat="1" x14ac:dyDescent="0.25">
      <c r="A241" s="713" t="s">
        <v>621</v>
      </c>
      <c r="B241" s="280"/>
      <c r="C241" s="280"/>
      <c r="D241" s="280"/>
      <c r="E241" s="280"/>
      <c r="F241" s="279"/>
      <c r="G241" s="280"/>
      <c r="H241" s="280"/>
      <c r="I241" s="280"/>
      <c r="J241" s="279"/>
      <c r="K241" s="280"/>
      <c r="L241" s="280"/>
      <c r="M241" s="280"/>
      <c r="N241" s="279"/>
      <c r="O241" s="280"/>
      <c r="P241" s="280"/>
      <c r="Q241" s="280"/>
      <c r="R241" s="279"/>
      <c r="S241" s="280"/>
      <c r="T241" s="280"/>
      <c r="U241" s="280"/>
      <c r="V241" s="280"/>
      <c r="W241" s="281"/>
      <c r="X241" s="282"/>
      <c r="Y241" s="283"/>
      <c r="Z241" s="281"/>
      <c r="AA241" s="280"/>
      <c r="AB241" s="280"/>
      <c r="AC241" s="281"/>
      <c r="AD241" s="281"/>
      <c r="AE241" s="282"/>
      <c r="AF241" s="281"/>
      <c r="AG241" s="281"/>
      <c r="AH241" s="281"/>
      <c r="AI241" s="281"/>
      <c r="AJ241" s="281"/>
      <c r="AK241" s="281"/>
      <c r="AL241" s="282"/>
      <c r="AM241" s="281"/>
      <c r="AN241" s="281"/>
      <c r="AO241" s="281"/>
      <c r="AP241" s="281"/>
      <c r="AQ241" s="281"/>
      <c r="AR241" s="281"/>
      <c r="AS241" s="282"/>
      <c r="AT241" s="302">
        <v>0</v>
      </c>
      <c r="AU241" s="281">
        <f t="shared" si="1359"/>
        <v>0</v>
      </c>
      <c r="AV241" s="281">
        <f t="shared" si="1360"/>
        <v>-1516</v>
      </c>
      <c r="AW241" s="281">
        <f t="shared" si="1361"/>
        <v>1516</v>
      </c>
      <c r="AX241" s="302">
        <v>0</v>
      </c>
      <c r="AY241" s="281">
        <v>-1516</v>
      </c>
      <c r="AZ241" s="281">
        <v>0</v>
      </c>
      <c r="BA241" s="281">
        <v>0</v>
      </c>
      <c r="BB241" s="281">
        <f t="shared" si="1362"/>
        <v>-366</v>
      </c>
      <c r="BC241" s="732">
        <f t="shared" si="1363"/>
        <v>630</v>
      </c>
      <c r="BD241" s="281">
        <f t="shared" si="1364"/>
        <v>-723</v>
      </c>
      <c r="BE241" s="281">
        <v>-366</v>
      </c>
      <c r="BF241" s="281">
        <v>264</v>
      </c>
      <c r="BG241" s="281">
        <v>-459</v>
      </c>
      <c r="BH241" s="281">
        <v>243</v>
      </c>
      <c r="BI241" s="281">
        <f t="shared" si="1365"/>
        <v>-122</v>
      </c>
      <c r="BJ241" s="281">
        <f t="shared" si="1366"/>
        <v>-739</v>
      </c>
      <c r="BK241" s="281">
        <f t="shared" si="1367"/>
        <v>70</v>
      </c>
      <c r="BL241" s="281">
        <v>121</v>
      </c>
      <c r="BM241" s="281">
        <v>-618</v>
      </c>
      <c r="BN241" s="281">
        <v>-548</v>
      </c>
      <c r="BO241" s="281">
        <v>-199</v>
      </c>
      <c r="BP241" s="281">
        <f t="shared" si="1368"/>
        <v>-265</v>
      </c>
      <c r="BQ241" s="281">
        <f t="shared" si="1374"/>
        <v>4604</v>
      </c>
      <c r="BR241" s="732">
        <f t="shared" si="1369"/>
        <v>-136</v>
      </c>
      <c r="BS241" s="281">
        <v>-464</v>
      </c>
      <c r="BT241" s="281">
        <v>4140</v>
      </c>
      <c r="BU241" s="281">
        <v>4004</v>
      </c>
      <c r="BV241" s="281">
        <v>-386</v>
      </c>
      <c r="BW241" s="281">
        <f t="shared" si="1370"/>
        <v>-106</v>
      </c>
      <c r="BX241" s="281">
        <f t="shared" si="1371"/>
        <v>-860</v>
      </c>
      <c r="BY241" s="281">
        <f t="shared" si="1372"/>
        <v>945</v>
      </c>
      <c r="BZ241" s="281">
        <v>-492</v>
      </c>
      <c r="CA241" s="281">
        <v>-1352</v>
      </c>
      <c r="CB241" s="281">
        <v>-407</v>
      </c>
      <c r="CC241" s="281">
        <v>20</v>
      </c>
      <c r="CD241" s="281">
        <f t="shared" si="1373"/>
        <v>451</v>
      </c>
      <c r="CE241" s="302">
        <f t="shared" si="1375"/>
        <v>-132</v>
      </c>
      <c r="CF241" s="302">
        <f t="shared" si="1376"/>
        <v>115</v>
      </c>
      <c r="CG241" s="281">
        <v>471</v>
      </c>
      <c r="CH241" s="281">
        <v>339</v>
      </c>
      <c r="CI241" s="281">
        <v>454</v>
      </c>
      <c r="CJ241" s="281">
        <v>-507</v>
      </c>
      <c r="CK241" s="302">
        <f t="shared" si="1377"/>
        <v>292</v>
      </c>
      <c r="CL241" s="281"/>
      <c r="CM241" s="281"/>
      <c r="CN241" s="281">
        <v>-215</v>
      </c>
      <c r="CO241" s="281"/>
    </row>
    <row r="242" spans="1:93" s="289" customFormat="1" x14ac:dyDescent="0.25">
      <c r="A242" s="713" t="s">
        <v>670</v>
      </c>
      <c r="B242" s="280"/>
      <c r="C242" s="280"/>
      <c r="D242" s="280"/>
      <c r="E242" s="280"/>
      <c r="F242" s="279"/>
      <c r="G242" s="280"/>
      <c r="H242" s="280"/>
      <c r="I242" s="280"/>
      <c r="J242" s="279"/>
      <c r="K242" s="280"/>
      <c r="L242" s="280"/>
      <c r="M242" s="280"/>
      <c r="N242" s="279"/>
      <c r="O242" s="280"/>
      <c r="P242" s="280"/>
      <c r="Q242" s="280"/>
      <c r="R242" s="279"/>
      <c r="S242" s="280"/>
      <c r="T242" s="280"/>
      <c r="U242" s="280"/>
      <c r="V242" s="280"/>
      <c r="W242" s="281"/>
      <c r="X242" s="282"/>
      <c r="Y242" s="283"/>
      <c r="Z242" s="281"/>
      <c r="AA242" s="280"/>
      <c r="AB242" s="280"/>
      <c r="AC242" s="281"/>
      <c r="AD242" s="281"/>
      <c r="AE242" s="282"/>
      <c r="AF242" s="281"/>
      <c r="AG242" s="281"/>
      <c r="AH242" s="281"/>
      <c r="AI242" s="281"/>
      <c r="AJ242" s="281"/>
      <c r="AK242" s="281"/>
      <c r="AL242" s="282"/>
      <c r="AM242" s="281"/>
      <c r="AN242" s="281"/>
      <c r="AO242" s="281"/>
      <c r="AP242" s="281"/>
      <c r="AQ242" s="281"/>
      <c r="AR242" s="281"/>
      <c r="AS242" s="282"/>
      <c r="AT242" s="302"/>
      <c r="AU242" s="281">
        <f>AX242-AT242</f>
        <v>11</v>
      </c>
      <c r="AV242" s="281">
        <f t="shared" si="1360"/>
        <v>-11</v>
      </c>
      <c r="AW242" s="281">
        <f t="shared" si="1361"/>
        <v>0</v>
      </c>
      <c r="AX242" s="302">
        <v>11</v>
      </c>
      <c r="AY242" s="281">
        <v>0</v>
      </c>
      <c r="AZ242" s="281">
        <v>0</v>
      </c>
      <c r="BA242" s="281">
        <v>0</v>
      </c>
      <c r="BB242" s="281">
        <f t="shared" si="1362"/>
        <v>0</v>
      </c>
      <c r="BC242" s="732">
        <f t="shared" si="1363"/>
        <v>0</v>
      </c>
      <c r="BD242" s="732">
        <f>BG242-BF242</f>
        <v>0</v>
      </c>
      <c r="BE242" s="281"/>
      <c r="BF242" s="281">
        <v>0</v>
      </c>
      <c r="BG242" s="281"/>
      <c r="BH242" s="281">
        <v>0</v>
      </c>
      <c r="BI242" s="281">
        <f t="shared" si="1365"/>
        <v>0</v>
      </c>
      <c r="BJ242" s="281">
        <f t="shared" si="1366"/>
        <v>0</v>
      </c>
      <c r="BK242" s="281">
        <f t="shared" si="1367"/>
        <v>0</v>
      </c>
      <c r="BL242" s="281">
        <v>0</v>
      </c>
      <c r="BM242" s="281"/>
      <c r="BN242" s="281"/>
      <c r="BO242" s="302"/>
      <c r="BP242" s="732"/>
      <c r="BQ242" s="732"/>
      <c r="BR242" s="732"/>
      <c r="BS242" s="281">
        <v>0</v>
      </c>
      <c r="BT242" s="281"/>
      <c r="BU242" s="281"/>
      <c r="BV242" s="281"/>
      <c r="BW242" s="281"/>
      <c r="BX242" s="281"/>
      <c r="BY242" s="281"/>
      <c r="BZ242" s="281"/>
      <c r="CA242" s="281"/>
      <c r="CB242" s="281"/>
      <c r="CC242" s="281"/>
      <c r="CD242" s="281"/>
      <c r="CE242" s="281"/>
      <c r="CF242" s="281"/>
      <c r="CG242" s="281"/>
      <c r="CH242" s="281"/>
      <c r="CI242" s="281"/>
      <c r="CJ242" s="281"/>
      <c r="CK242" s="281"/>
      <c r="CL242" s="281"/>
      <c r="CM242" s="281"/>
      <c r="CN242" s="281"/>
      <c r="CO242" s="281"/>
    </row>
    <row r="243" spans="1:93" s="289" customFormat="1" x14ac:dyDescent="0.25">
      <c r="A243" s="713" t="s">
        <v>695</v>
      </c>
      <c r="B243" s="280"/>
      <c r="C243" s="280"/>
      <c r="D243" s="280"/>
      <c r="E243" s="280"/>
      <c r="F243" s="279"/>
      <c r="G243" s="280"/>
      <c r="H243" s="280"/>
      <c r="I243" s="280"/>
      <c r="J243" s="279"/>
      <c r="K243" s="280"/>
      <c r="L243" s="280"/>
      <c r="M243" s="280"/>
      <c r="N243" s="279"/>
      <c r="O243" s="280"/>
      <c r="P243" s="280"/>
      <c r="Q243" s="280"/>
      <c r="R243" s="279"/>
      <c r="S243" s="280"/>
      <c r="T243" s="280"/>
      <c r="U243" s="280"/>
      <c r="V243" s="280"/>
      <c r="W243" s="281"/>
      <c r="X243" s="282"/>
      <c r="Y243" s="283"/>
      <c r="Z243" s="281"/>
      <c r="AA243" s="280"/>
      <c r="AB243" s="280"/>
      <c r="AC243" s="281"/>
      <c r="AD243" s="281"/>
      <c r="AE243" s="282"/>
      <c r="AF243" s="281"/>
      <c r="AG243" s="281"/>
      <c r="AH243" s="281"/>
      <c r="AI243" s="281"/>
      <c r="AJ243" s="281"/>
      <c r="AK243" s="281"/>
      <c r="AL243" s="282"/>
      <c r="AM243" s="281"/>
      <c r="AN243" s="281"/>
      <c r="AO243" s="281"/>
      <c r="AP243" s="281"/>
      <c r="AQ243" s="281"/>
      <c r="AR243" s="281"/>
      <c r="AS243" s="282"/>
      <c r="AT243" s="281"/>
      <c r="AU243" s="281"/>
      <c r="AV243" s="281"/>
      <c r="AW243" s="281"/>
      <c r="AX243" s="281"/>
      <c r="AY243" s="292">
        <v>-518</v>
      </c>
      <c r="AZ243" s="292"/>
      <c r="BA243" s="292"/>
      <c r="BB243" s="281"/>
      <c r="BC243" s="732"/>
      <c r="BD243" s="732"/>
      <c r="BE243" s="292"/>
      <c r="BF243" s="292"/>
      <c r="BG243" s="292"/>
      <c r="BH243" s="292"/>
      <c r="BI243" s="732"/>
      <c r="BJ243" s="732"/>
      <c r="BK243" s="732"/>
      <c r="BL243" s="737">
        <v>0</v>
      </c>
      <c r="BM243" s="292"/>
      <c r="BN243" s="292"/>
      <c r="BO243" s="302"/>
      <c r="BP243" s="732"/>
      <c r="BQ243" s="732"/>
      <c r="BR243" s="732"/>
      <c r="BS243" s="732"/>
      <c r="BT243" s="732"/>
      <c r="BU243" s="732"/>
      <c r="BV243" s="732"/>
      <c r="BW243" s="732"/>
      <c r="BX243" s="732"/>
      <c r="BY243" s="732"/>
      <c r="BZ243" s="732"/>
      <c r="CA243" s="732"/>
      <c r="CB243" s="732"/>
      <c r="CC243" s="732"/>
      <c r="CD243" s="732"/>
      <c r="CE243" s="732"/>
      <c r="CF243" s="732"/>
      <c r="CG243" s="732"/>
      <c r="CH243" s="732"/>
      <c r="CI243" s="732"/>
      <c r="CJ243" s="732"/>
      <c r="CK243" s="732"/>
      <c r="CL243" s="732"/>
      <c r="CM243" s="732"/>
      <c r="CN243" s="732"/>
      <c r="CO243" s="732"/>
    </row>
    <row r="244" spans="1:93" s="483" customFormat="1" ht="13" x14ac:dyDescent="0.3">
      <c r="A244" s="501" t="str">
        <f>Language!C182</f>
        <v>EBIT - Lucro Operacional</v>
      </c>
      <c r="B244" s="507">
        <f t="shared" ref="B244:AL244" si="1378">SUM(B245,B246,B247,B248,B249,B250)</f>
        <v>44810</v>
      </c>
      <c r="C244" s="507">
        <f t="shared" si="1378"/>
        <v>31778</v>
      </c>
      <c r="D244" s="507">
        <f t="shared" si="1378"/>
        <v>39978</v>
      </c>
      <c r="E244" s="507">
        <f t="shared" si="1378"/>
        <v>59329</v>
      </c>
      <c r="F244" s="508">
        <f t="shared" si="1378"/>
        <v>55521</v>
      </c>
      <c r="G244" s="507">
        <f t="shared" si="1378"/>
        <v>40041</v>
      </c>
      <c r="H244" s="507">
        <f t="shared" si="1378"/>
        <v>54138</v>
      </c>
      <c r="I244" s="507">
        <f t="shared" si="1378"/>
        <v>61479</v>
      </c>
      <c r="J244" s="508">
        <f t="shared" si="1378"/>
        <v>73654</v>
      </c>
      <c r="K244" s="507">
        <f t="shared" si="1378"/>
        <v>39408</v>
      </c>
      <c r="L244" s="507">
        <f t="shared" si="1378"/>
        <v>47995</v>
      </c>
      <c r="M244" s="507">
        <f t="shared" si="1378"/>
        <v>62684</v>
      </c>
      <c r="N244" s="508">
        <f t="shared" si="1378"/>
        <v>58741</v>
      </c>
      <c r="O244" s="507">
        <f t="shared" si="1378"/>
        <v>67701</v>
      </c>
      <c r="P244" s="507">
        <f t="shared" si="1378"/>
        <v>104769</v>
      </c>
      <c r="Q244" s="507">
        <f t="shared" si="1378"/>
        <v>65060</v>
      </c>
      <c r="R244" s="508">
        <f t="shared" si="1378"/>
        <v>232939</v>
      </c>
      <c r="S244" s="507">
        <f t="shared" si="1378"/>
        <v>94668</v>
      </c>
      <c r="T244" s="507">
        <f t="shared" si="1378"/>
        <v>117607</v>
      </c>
      <c r="U244" s="507">
        <f t="shared" si="1378"/>
        <v>62519</v>
      </c>
      <c r="V244" s="507">
        <f t="shared" si="1378"/>
        <v>327607</v>
      </c>
      <c r="W244" s="509">
        <f t="shared" si="1378"/>
        <v>445214</v>
      </c>
      <c r="X244" s="510">
        <f t="shared" si="1378"/>
        <v>507733</v>
      </c>
      <c r="Y244" s="511">
        <f t="shared" si="1378"/>
        <v>95296</v>
      </c>
      <c r="Z244" s="509">
        <f t="shared" si="1378"/>
        <v>77890</v>
      </c>
      <c r="AA244" s="507">
        <f t="shared" si="1378"/>
        <v>81636</v>
      </c>
      <c r="AB244" s="507">
        <f t="shared" si="1378"/>
        <v>98863</v>
      </c>
      <c r="AC244" s="509">
        <f t="shared" si="1378"/>
        <v>173186</v>
      </c>
      <c r="AD244" s="509">
        <f t="shared" si="1378"/>
        <v>254822</v>
      </c>
      <c r="AE244" s="510">
        <f t="shared" si="1378"/>
        <v>353685</v>
      </c>
      <c r="AF244" s="509">
        <f t="shared" si="1378"/>
        <v>72466</v>
      </c>
      <c r="AG244" s="509">
        <f t="shared" si="1230"/>
        <v>13131.000000000029</v>
      </c>
      <c r="AH244" s="509">
        <f t="shared" si="974"/>
        <v>75618.22112819209</v>
      </c>
      <c r="AI244" s="509">
        <f t="shared" si="975"/>
        <v>-13978.221128192061</v>
      </c>
      <c r="AJ244" s="509">
        <f t="shared" si="1378"/>
        <v>85597.000000000029</v>
      </c>
      <c r="AK244" s="509">
        <f t="shared" si="1378"/>
        <v>161215.22112819212</v>
      </c>
      <c r="AL244" s="510">
        <f t="shared" si="1378"/>
        <v>147237.00000000006</v>
      </c>
      <c r="AM244" s="509">
        <f>SUM(AM139,AM147,AM199)</f>
        <v>96559</v>
      </c>
      <c r="AN244" s="509">
        <f t="shared" si="976"/>
        <v>29820.26855397188</v>
      </c>
      <c r="AO244" s="509">
        <f t="shared" si="977"/>
        <v>50393.731446028236</v>
      </c>
      <c r="AP244" s="509">
        <f t="shared" si="977"/>
        <v>-140818</v>
      </c>
      <c r="AQ244" s="509">
        <f t="shared" ref="AQ244:AV247" si="1379">SUM(AQ139,AQ147,AQ199)</f>
        <v>126379.26855397188</v>
      </c>
      <c r="AR244" s="509">
        <f t="shared" si="1379"/>
        <v>176773.00000000012</v>
      </c>
      <c r="AS244" s="510">
        <f t="shared" si="1379"/>
        <v>35955.000000000116</v>
      </c>
      <c r="AT244" s="509">
        <f>SUM(AT139,AT147,AT199)</f>
        <v>-3994.6677602400086</v>
      </c>
      <c r="AU244" s="509">
        <f t="shared" si="1379"/>
        <v>-7892.4043798425628</v>
      </c>
      <c r="AV244" s="509">
        <f t="shared" si="1379"/>
        <v>16767.357700000008</v>
      </c>
      <c r="AW244" s="509">
        <f t="shared" si="978"/>
        <v>25368.149599999975</v>
      </c>
      <c r="AX244" s="509">
        <f>SUM(AX139,AX147,AX199)</f>
        <v>-12232.017833168036</v>
      </c>
      <c r="AY244" s="509">
        <f>SUM(AY139,AY147,AY199)+1</f>
        <v>-3544.6601331679703</v>
      </c>
      <c r="AZ244" s="468">
        <f t="shared" ref="AZ244:BF247" si="1380">SUM(AZ139,AZ147,AZ199)</f>
        <v>21823.489466832005</v>
      </c>
      <c r="BA244" s="509">
        <f t="shared" si="1380"/>
        <v>21577</v>
      </c>
      <c r="BB244" s="509">
        <f t="shared" si="1380"/>
        <v>1445</v>
      </c>
      <c r="BC244" s="509">
        <f t="shared" si="1380"/>
        <v>-28579</v>
      </c>
      <c r="BD244" s="509">
        <f t="shared" si="1380"/>
        <v>205230</v>
      </c>
      <c r="BE244" s="509">
        <f t="shared" si="1380"/>
        <v>23022</v>
      </c>
      <c r="BF244" s="509">
        <f t="shared" si="1380"/>
        <v>-5557</v>
      </c>
      <c r="BG244" s="509">
        <f>SUM(BG139,BG147,BG199)+1</f>
        <v>200012</v>
      </c>
      <c r="BH244" s="509">
        <f t="shared" ref="BH244:BR244" si="1381">SUM(BH139,BH147,BH199)</f>
        <v>-17845</v>
      </c>
      <c r="BI244" s="509">
        <f>SUM(BI139,BI147,BI199)</f>
        <v>-18048</v>
      </c>
      <c r="BJ244" s="509">
        <f t="shared" si="1381"/>
        <v>64675</v>
      </c>
      <c r="BK244" s="509">
        <f t="shared" si="1381"/>
        <v>7251</v>
      </c>
      <c r="BL244" s="509">
        <f t="shared" si="1381"/>
        <v>-35893</v>
      </c>
      <c r="BM244" s="509">
        <f t="shared" si="1381"/>
        <v>28782</v>
      </c>
      <c r="BN244" s="509">
        <f t="shared" si="1381"/>
        <v>36033</v>
      </c>
      <c r="BO244" s="509">
        <f t="shared" si="1381"/>
        <v>2977</v>
      </c>
      <c r="BP244" s="509">
        <f t="shared" si="1381"/>
        <v>-18815.484666496952</v>
      </c>
      <c r="BQ244" s="509">
        <f>SUM(BQ139,BQ147,BQ199)-1</f>
        <v>-58046.24233324849</v>
      </c>
      <c r="BR244" s="509">
        <f t="shared" si="1381"/>
        <v>5475.7269997454423</v>
      </c>
      <c r="BS244" s="509">
        <f>SUM(BS139,BS147,BS199)</f>
        <v>288128.51533350302</v>
      </c>
      <c r="BT244" s="509">
        <f>SUM(BT139,BT147,BT199)</f>
        <v>230083.27300025453</v>
      </c>
      <c r="BU244" s="509">
        <f>SUM(BU139,BU147,BU199)</f>
        <v>235559</v>
      </c>
      <c r="BV244" s="509">
        <f>SUM(BV139,BV147,BV199)</f>
        <v>-29723</v>
      </c>
      <c r="BW244" s="509">
        <f t="shared" ref="BW244:BY244" si="1382">SUM(BW139,BW147,BW199)</f>
        <v>-21785</v>
      </c>
      <c r="BX244" s="509">
        <f t="shared" si="1382"/>
        <v>65766</v>
      </c>
      <c r="BY244" s="509">
        <f t="shared" si="1382"/>
        <v>49429</v>
      </c>
      <c r="BZ244" s="509">
        <f t="shared" ref="BZ244:CI244" si="1383">SUM(BZ139,BZ147,BZ199)</f>
        <v>-50028</v>
      </c>
      <c r="CA244" s="509">
        <f t="shared" si="1383"/>
        <v>15738</v>
      </c>
      <c r="CB244" s="509">
        <f t="shared" si="1383"/>
        <v>65167</v>
      </c>
      <c r="CC244" s="509">
        <f t="shared" si="1383"/>
        <v>25351</v>
      </c>
      <c r="CD244" s="509">
        <f t="shared" si="1383"/>
        <v>39839</v>
      </c>
      <c r="CE244" s="509">
        <f>SUM(CE139,CE147,CE199)-1</f>
        <v>128497</v>
      </c>
      <c r="CF244" s="509">
        <f>SUM(CF139,CF147,CF199)+1</f>
        <v>96137</v>
      </c>
      <c r="CG244" s="509">
        <f>SUM(CG139,CG147,CG199)</f>
        <v>65190</v>
      </c>
      <c r="CH244" s="509">
        <f t="shared" si="1383"/>
        <v>193687</v>
      </c>
      <c r="CI244" s="509">
        <f t="shared" si="1383"/>
        <v>289824</v>
      </c>
      <c r="CJ244" s="509">
        <v>21493</v>
      </c>
      <c r="CK244" s="509">
        <f t="shared" ref="CK244" si="1384">SUM(CK139,CK147,CK199)</f>
        <v>18201</v>
      </c>
      <c r="CL244" s="509">
        <f t="shared" ref="CL244:CO244" si="1385">SUM(CL139,CL147,CL199)</f>
        <v>0</v>
      </c>
      <c r="CM244" s="509">
        <f t="shared" si="1385"/>
        <v>0</v>
      </c>
      <c r="CN244" s="509">
        <f t="shared" si="1385"/>
        <v>39694</v>
      </c>
      <c r="CO244" s="509">
        <f t="shared" si="1385"/>
        <v>0</v>
      </c>
    </row>
    <row r="245" spans="1:93" s="483" customFormat="1" x14ac:dyDescent="0.25">
      <c r="A245" s="512" t="str">
        <f>Language!C183</f>
        <v>Concepa</v>
      </c>
      <c r="B245" s="513">
        <f t="shared" ref="B245:AF245" si="1386">SUM(B140,B148,B200)</f>
        <v>22909</v>
      </c>
      <c r="C245" s="513">
        <f t="shared" si="1386"/>
        <v>11267</v>
      </c>
      <c r="D245" s="513">
        <f t="shared" si="1386"/>
        <v>17586</v>
      </c>
      <c r="E245" s="513">
        <f t="shared" si="1386"/>
        <v>23528</v>
      </c>
      <c r="F245" s="514">
        <f t="shared" si="1386"/>
        <v>26860</v>
      </c>
      <c r="G245" s="513">
        <f t="shared" si="1386"/>
        <v>10438</v>
      </c>
      <c r="H245" s="513">
        <f t="shared" si="1386"/>
        <v>20273</v>
      </c>
      <c r="I245" s="513">
        <f t="shared" si="1386"/>
        <v>23194</v>
      </c>
      <c r="J245" s="514">
        <f t="shared" si="1386"/>
        <v>33406</v>
      </c>
      <c r="K245" s="513">
        <f t="shared" si="1386"/>
        <v>15853</v>
      </c>
      <c r="L245" s="513">
        <f t="shared" si="1386"/>
        <v>17239</v>
      </c>
      <c r="M245" s="513">
        <f t="shared" si="1386"/>
        <v>30848</v>
      </c>
      <c r="N245" s="514">
        <f t="shared" si="1386"/>
        <v>32246</v>
      </c>
      <c r="O245" s="513">
        <f t="shared" si="1386"/>
        <v>15494</v>
      </c>
      <c r="P245" s="513">
        <f t="shared" si="1386"/>
        <v>31860</v>
      </c>
      <c r="Q245" s="513">
        <f t="shared" si="1386"/>
        <v>55062</v>
      </c>
      <c r="R245" s="514">
        <f t="shared" si="1386"/>
        <v>69206</v>
      </c>
      <c r="S245" s="513">
        <f t="shared" si="1386"/>
        <v>45225</v>
      </c>
      <c r="T245" s="513">
        <f t="shared" si="1386"/>
        <v>43308</v>
      </c>
      <c r="U245" s="513">
        <f t="shared" si="1386"/>
        <v>-8765</v>
      </c>
      <c r="V245" s="513">
        <f t="shared" si="1386"/>
        <v>114431</v>
      </c>
      <c r="W245" s="515">
        <f t="shared" si="1386"/>
        <v>157739</v>
      </c>
      <c r="X245" s="516">
        <f t="shared" si="1386"/>
        <v>148974</v>
      </c>
      <c r="Y245" s="517">
        <f t="shared" si="1386"/>
        <v>36356</v>
      </c>
      <c r="Z245" s="515">
        <f t="shared" si="1386"/>
        <v>17032</v>
      </c>
      <c r="AA245" s="513">
        <f t="shared" si="1386"/>
        <v>20526</v>
      </c>
      <c r="AB245" s="513">
        <f t="shared" si="1386"/>
        <v>23634</v>
      </c>
      <c r="AC245" s="515">
        <f t="shared" si="1386"/>
        <v>53388</v>
      </c>
      <c r="AD245" s="515">
        <f t="shared" si="1386"/>
        <v>73914</v>
      </c>
      <c r="AE245" s="516">
        <f t="shared" si="1386"/>
        <v>97548</v>
      </c>
      <c r="AF245" s="515">
        <f t="shared" si="1386"/>
        <v>22645.08696101496</v>
      </c>
      <c r="AG245" s="515">
        <f t="shared" si="1230"/>
        <v>-17354.134696178851</v>
      </c>
      <c r="AH245" s="515">
        <f t="shared" si="974"/>
        <v>-25.577020774398989</v>
      </c>
      <c r="AI245" s="515">
        <f t="shared" si="975"/>
        <v>-65995.165517869362</v>
      </c>
      <c r="AJ245" s="515">
        <f t="shared" ref="AJ245:AL247" si="1387">SUM(AJ140,AJ148,AJ200)</f>
        <v>5290.952264836109</v>
      </c>
      <c r="AK245" s="515">
        <f t="shared" si="1387"/>
        <v>5265.37524406171</v>
      </c>
      <c r="AL245" s="516">
        <f t="shared" si="1387"/>
        <v>-60729.790273807652</v>
      </c>
      <c r="AM245" s="515">
        <f>SUM(AM140,AM148,AM200)</f>
        <v>48526.371980081181</v>
      </c>
      <c r="AN245" s="515">
        <f t="shared" si="976"/>
        <v>13308.729958785581</v>
      </c>
      <c r="AO245" s="515">
        <f t="shared" si="977"/>
        <v>-31995.918631622913</v>
      </c>
      <c r="AP245" s="515">
        <f t="shared" si="977"/>
        <v>22413.455900246463</v>
      </c>
      <c r="AQ245" s="515">
        <f t="shared" si="1379"/>
        <v>61835.101938866763</v>
      </c>
      <c r="AR245" s="515">
        <f t="shared" si="1379"/>
        <v>29839.183307243849</v>
      </c>
      <c r="AS245" s="516">
        <f t="shared" si="1379"/>
        <v>52252.639207490312</v>
      </c>
      <c r="AT245" s="515">
        <f t="shared" si="1379"/>
        <v>0</v>
      </c>
      <c r="AU245" s="515">
        <f t="shared" si="1379"/>
        <v>-5606.0543069145524</v>
      </c>
      <c r="AV245" s="515">
        <f t="shared" si="1379"/>
        <v>-720</v>
      </c>
      <c r="AW245" s="515">
        <f t="shared" si="978"/>
        <v>6332</v>
      </c>
      <c r="AX245" s="515">
        <f>SUM(AX140,AX148,AX200)</f>
        <v>-5612</v>
      </c>
      <c r="AY245" s="515">
        <f>SUM(AY140,AY148,AY200)</f>
        <v>-6332</v>
      </c>
      <c r="AZ245" s="515">
        <f t="shared" si="1380"/>
        <v>0</v>
      </c>
      <c r="BA245" s="515">
        <f t="shared" si="1380"/>
        <v>0</v>
      </c>
      <c r="BB245" s="515">
        <f t="shared" si="1380"/>
        <v>0</v>
      </c>
      <c r="BC245" s="515">
        <f t="shared" si="1380"/>
        <v>0</v>
      </c>
      <c r="BD245" s="515">
        <f t="shared" si="1380"/>
        <v>0</v>
      </c>
      <c r="BE245" s="515">
        <f t="shared" si="1380"/>
        <v>0</v>
      </c>
      <c r="BF245" s="515">
        <f t="shared" si="1380"/>
        <v>0</v>
      </c>
      <c r="BG245" s="515">
        <f>SUM(BG140,BG148,BG200)</f>
        <v>0</v>
      </c>
      <c r="BH245" s="515">
        <f t="shared" ref="BH245:BS245" si="1388">SUM(BH140,BH148,BH200)</f>
        <v>0</v>
      </c>
      <c r="BI245" s="515">
        <f t="shared" si="1388"/>
        <v>0</v>
      </c>
      <c r="BJ245" s="515">
        <f t="shared" si="1388"/>
        <v>0</v>
      </c>
      <c r="BK245" s="515">
        <f t="shared" si="1388"/>
        <v>0</v>
      </c>
      <c r="BL245" s="515">
        <f t="shared" si="1388"/>
        <v>0</v>
      </c>
      <c r="BM245" s="515">
        <f t="shared" si="1388"/>
        <v>0</v>
      </c>
      <c r="BN245" s="515">
        <f t="shared" si="1388"/>
        <v>0</v>
      </c>
      <c r="BO245" s="515">
        <f t="shared" si="1388"/>
        <v>0</v>
      </c>
      <c r="BP245" s="515">
        <f>SUM(BP140,BP148,BP200)</f>
        <v>0</v>
      </c>
      <c r="BQ245" s="515">
        <f t="shared" ref="BQ245:BQ247" si="1389">SUM(BQ140,BQ148,BQ200)</f>
        <v>0</v>
      </c>
      <c r="BR245" s="515">
        <f t="shared" si="1388"/>
        <v>0</v>
      </c>
      <c r="BS245" s="515">
        <f t="shared" si="1388"/>
        <v>0</v>
      </c>
      <c r="BT245" s="515">
        <f t="shared" ref="BT245:BU245" si="1390">SUM(BT140,BT148,BT200)</f>
        <v>0</v>
      </c>
      <c r="BU245" s="515">
        <f t="shared" si="1390"/>
        <v>0</v>
      </c>
      <c r="BV245" s="515">
        <f t="shared" ref="BV245:BY245" si="1391">SUM(BV140,BV148,BV200)</f>
        <v>0</v>
      </c>
      <c r="BW245" s="515">
        <f t="shared" si="1391"/>
        <v>0</v>
      </c>
      <c r="BX245" s="515">
        <f t="shared" si="1391"/>
        <v>0</v>
      </c>
      <c r="BY245" s="515">
        <f t="shared" si="1391"/>
        <v>0</v>
      </c>
      <c r="BZ245" s="515">
        <f t="shared" ref="BZ245:CA245" si="1392">SUM(BZ140,BZ148,BZ200)</f>
        <v>0</v>
      </c>
      <c r="CA245" s="515">
        <f t="shared" si="1392"/>
        <v>0</v>
      </c>
      <c r="CB245" s="515">
        <f t="shared" ref="CB245:CG245" si="1393">SUM(CB140,CB148,CB200)</f>
        <v>0</v>
      </c>
      <c r="CC245" s="515">
        <f t="shared" si="1393"/>
        <v>0</v>
      </c>
      <c r="CD245" s="515">
        <f t="shared" si="1393"/>
        <v>0</v>
      </c>
      <c r="CE245" s="515">
        <f t="shared" si="1393"/>
        <v>0</v>
      </c>
      <c r="CF245" s="515">
        <f t="shared" si="1393"/>
        <v>0</v>
      </c>
      <c r="CG245" s="515">
        <f t="shared" si="1393"/>
        <v>0</v>
      </c>
      <c r="CH245" s="515">
        <f t="shared" ref="CH245:CI245" si="1394">SUM(CH140,CH148,CH200)</f>
        <v>0</v>
      </c>
      <c r="CI245" s="515">
        <f t="shared" si="1394"/>
        <v>0</v>
      </c>
      <c r="CJ245" s="515">
        <v>0</v>
      </c>
      <c r="CK245" s="515">
        <f t="shared" ref="CK245" si="1395">SUM(CK140,CK148,CK200)</f>
        <v>0</v>
      </c>
      <c r="CL245" s="515">
        <f t="shared" ref="CL245:CO245" si="1396">SUM(CL140,CL148,CL200)</f>
        <v>0</v>
      </c>
      <c r="CM245" s="515">
        <f t="shared" si="1396"/>
        <v>0</v>
      </c>
      <c r="CN245" s="515">
        <f t="shared" si="1396"/>
        <v>0</v>
      </c>
      <c r="CO245" s="515">
        <f t="shared" si="1396"/>
        <v>0</v>
      </c>
    </row>
    <row r="246" spans="1:93" s="483" customFormat="1" x14ac:dyDescent="0.25">
      <c r="A246" s="512" t="str">
        <f>Language!C184</f>
        <v>Concer</v>
      </c>
      <c r="B246" s="513">
        <f t="shared" ref="B246:AF246" si="1397">SUM(B141,B149,B201)</f>
        <v>9864</v>
      </c>
      <c r="C246" s="513">
        <f t="shared" si="1397"/>
        <v>8160</v>
      </c>
      <c r="D246" s="513">
        <f t="shared" si="1397"/>
        <v>10553</v>
      </c>
      <c r="E246" s="513">
        <f t="shared" si="1397"/>
        <v>18787</v>
      </c>
      <c r="F246" s="514">
        <f t="shared" si="1397"/>
        <v>12011</v>
      </c>
      <c r="G246" s="513">
        <f t="shared" si="1397"/>
        <v>11256</v>
      </c>
      <c r="H246" s="513">
        <f t="shared" si="1397"/>
        <v>13830</v>
      </c>
      <c r="I246" s="513">
        <f t="shared" si="1397"/>
        <v>16987</v>
      </c>
      <c r="J246" s="514">
        <f t="shared" si="1397"/>
        <v>18589</v>
      </c>
      <c r="K246" s="513">
        <f t="shared" si="1397"/>
        <v>8023</v>
      </c>
      <c r="L246" s="513">
        <f t="shared" si="1397"/>
        <v>11636</v>
      </c>
      <c r="M246" s="513">
        <f t="shared" si="1397"/>
        <v>13217</v>
      </c>
      <c r="N246" s="514">
        <f t="shared" si="1397"/>
        <v>10241</v>
      </c>
      <c r="O246" s="513">
        <f t="shared" si="1397"/>
        <v>35290</v>
      </c>
      <c r="P246" s="513">
        <f t="shared" si="1397"/>
        <v>55737</v>
      </c>
      <c r="Q246" s="513">
        <f t="shared" si="1397"/>
        <v>-17507</v>
      </c>
      <c r="R246" s="514">
        <f t="shared" si="1397"/>
        <v>131054</v>
      </c>
      <c r="S246" s="513">
        <f t="shared" si="1397"/>
        <v>28473</v>
      </c>
      <c r="T246" s="513">
        <f t="shared" si="1397"/>
        <v>26747</v>
      </c>
      <c r="U246" s="513">
        <f t="shared" si="1397"/>
        <v>27336</v>
      </c>
      <c r="V246" s="513">
        <f t="shared" si="1397"/>
        <v>159527</v>
      </c>
      <c r="W246" s="515">
        <f t="shared" si="1397"/>
        <v>186274</v>
      </c>
      <c r="X246" s="516">
        <f t="shared" si="1397"/>
        <v>213610</v>
      </c>
      <c r="Y246" s="517">
        <f t="shared" si="1397"/>
        <v>18375</v>
      </c>
      <c r="Z246" s="515">
        <f t="shared" si="1397"/>
        <v>15952</v>
      </c>
      <c r="AA246" s="513">
        <f t="shared" si="1397"/>
        <v>14088</v>
      </c>
      <c r="AB246" s="513">
        <f t="shared" si="1397"/>
        <v>13055</v>
      </c>
      <c r="AC246" s="515">
        <f t="shared" si="1397"/>
        <v>34327</v>
      </c>
      <c r="AD246" s="515">
        <f t="shared" si="1397"/>
        <v>48415</v>
      </c>
      <c r="AE246" s="516">
        <f t="shared" si="1397"/>
        <v>61470</v>
      </c>
      <c r="AF246" s="515">
        <f t="shared" si="1397"/>
        <v>11814.885787251489</v>
      </c>
      <c r="AG246" s="515">
        <f t="shared" si="1230"/>
        <v>9397.7741140328908</v>
      </c>
      <c r="AH246" s="515">
        <f t="shared" si="974"/>
        <v>8450.4316897978097</v>
      </c>
      <c r="AI246" s="515">
        <f t="shared" si="975"/>
        <v>2910.0923042598624</v>
      </c>
      <c r="AJ246" s="515">
        <f t="shared" si="1387"/>
        <v>21212.65990128438</v>
      </c>
      <c r="AK246" s="515">
        <f t="shared" si="1387"/>
        <v>29663.09159108219</v>
      </c>
      <c r="AL246" s="516">
        <f t="shared" si="1387"/>
        <v>32573.183895342052</v>
      </c>
      <c r="AM246" s="515">
        <f>SUM(AM141,AM149,AM201)</f>
        <v>3038.424724069002</v>
      </c>
      <c r="AN246" s="515">
        <f t="shared" si="976"/>
        <v>-19738.114961509607</v>
      </c>
      <c r="AO246" s="515">
        <f t="shared" si="977"/>
        <v>5193.2134959884133</v>
      </c>
      <c r="AP246" s="515">
        <f t="shared" si="977"/>
        <v>-3621.8355749240727</v>
      </c>
      <c r="AQ246" s="515">
        <f t="shared" si="1379"/>
        <v>-16699.690237440605</v>
      </c>
      <c r="AR246" s="515">
        <f t="shared" si="1379"/>
        <v>-11506.476741452192</v>
      </c>
      <c r="AS246" s="516">
        <f t="shared" si="1379"/>
        <v>-15128.312316376265</v>
      </c>
      <c r="AT246" s="515">
        <f t="shared" si="1379"/>
        <v>-25629.667760240001</v>
      </c>
      <c r="AU246" s="515">
        <f t="shared" si="1379"/>
        <v>-27391.350072928013</v>
      </c>
      <c r="AV246" s="515">
        <f t="shared" si="1379"/>
        <v>-31134.6423</v>
      </c>
      <c r="AW246" s="515">
        <f t="shared" si="978"/>
        <v>-31060.850399999996</v>
      </c>
      <c r="AX246" s="515">
        <f>SUM(AX141,AX149,AX201)</f>
        <v>-53021.017833168022</v>
      </c>
      <c r="AY246" s="515">
        <f>SUM(AY141,AY149,AY201)</f>
        <v>-84155.660133167999</v>
      </c>
      <c r="AZ246" s="515">
        <f t="shared" si="1380"/>
        <v>-115216.510533168</v>
      </c>
      <c r="BA246" s="515">
        <f t="shared" si="1380"/>
        <v>-19107</v>
      </c>
      <c r="BB246" s="515">
        <f t="shared" si="1380"/>
        <v>-17850</v>
      </c>
      <c r="BC246" s="515">
        <f t="shared" si="1380"/>
        <v>-42959</v>
      </c>
      <c r="BD246" s="515">
        <f t="shared" si="1380"/>
        <v>-47550</v>
      </c>
      <c r="BE246" s="515">
        <f t="shared" si="1380"/>
        <v>-36957</v>
      </c>
      <c r="BF246" s="515">
        <f t="shared" si="1380"/>
        <v>-79916</v>
      </c>
      <c r="BG246" s="515">
        <f>SUM(BG141,BG149,BG201)</f>
        <v>-127466</v>
      </c>
      <c r="BH246" s="515">
        <f t="shared" ref="BH246:BS246" si="1398">SUM(BH141,BH149,BH201)</f>
        <v>-39538</v>
      </c>
      <c r="BI246" s="515">
        <f>SUM(BI141,BI149,BI201)</f>
        <v>-31591</v>
      </c>
      <c r="BJ246" s="515">
        <f t="shared" si="1398"/>
        <v>43625</v>
      </c>
      <c r="BK246" s="515">
        <f t="shared" si="1398"/>
        <v>2406</v>
      </c>
      <c r="BL246" s="515">
        <f t="shared" si="1398"/>
        <v>-71129</v>
      </c>
      <c r="BM246" s="515">
        <f t="shared" si="1398"/>
        <v>-27504</v>
      </c>
      <c r="BN246" s="515">
        <f t="shared" si="1398"/>
        <v>-25098</v>
      </c>
      <c r="BO246" s="515">
        <f t="shared" si="1398"/>
        <v>-954</v>
      </c>
      <c r="BP246" s="515">
        <f t="shared" si="1398"/>
        <v>-875</v>
      </c>
      <c r="BQ246" s="515">
        <f t="shared" si="1389"/>
        <v>2537</v>
      </c>
      <c r="BR246" s="515">
        <f t="shared" si="1398"/>
        <v>2351</v>
      </c>
      <c r="BS246" s="515">
        <f t="shared" si="1398"/>
        <v>-1829</v>
      </c>
      <c r="BT246" s="515">
        <f t="shared" ref="BT246:BU246" si="1399">SUM(BT141,BT149,BT201)</f>
        <v>708</v>
      </c>
      <c r="BU246" s="515">
        <f t="shared" si="1399"/>
        <v>3059</v>
      </c>
      <c r="BV246" s="515">
        <f t="shared" ref="BV246:BY246" si="1400">SUM(BV141,BV149,BV201)</f>
        <v>2800</v>
      </c>
      <c r="BW246" s="515">
        <f t="shared" si="1400"/>
        <v>1416</v>
      </c>
      <c r="BX246" s="515">
        <f t="shared" si="1400"/>
        <v>2310</v>
      </c>
      <c r="BY246" s="515">
        <f t="shared" si="1400"/>
        <v>-1880</v>
      </c>
      <c r="BZ246" s="515">
        <f t="shared" ref="BZ246:CA246" si="1401">SUM(BZ141,BZ149,BZ201)</f>
        <v>5696</v>
      </c>
      <c r="CA246" s="515">
        <f t="shared" si="1401"/>
        <v>8006</v>
      </c>
      <c r="CB246" s="515">
        <f t="shared" ref="CB246:CG246" si="1402">SUM(CB141,CB149,CB201)</f>
        <v>6126</v>
      </c>
      <c r="CC246" s="515">
        <f t="shared" si="1402"/>
        <v>10587</v>
      </c>
      <c r="CD246" s="515">
        <f t="shared" si="1402"/>
        <v>5411</v>
      </c>
      <c r="CE246" s="515">
        <f t="shared" si="1402"/>
        <v>9305</v>
      </c>
      <c r="CF246" s="515">
        <f t="shared" si="1402"/>
        <v>12750</v>
      </c>
      <c r="CG246" s="515">
        <f t="shared" si="1402"/>
        <v>15998</v>
      </c>
      <c r="CH246" s="515">
        <f t="shared" ref="CH246:CI246" si="1403">SUM(CH141,CH149,CH201)</f>
        <v>25303</v>
      </c>
      <c r="CI246" s="515">
        <f t="shared" si="1403"/>
        <v>38053</v>
      </c>
      <c r="CJ246" s="515">
        <v>2620</v>
      </c>
      <c r="CK246" s="515">
        <f t="shared" ref="CK246" si="1404">SUM(CK141,CK149,CK201)</f>
        <v>-18701</v>
      </c>
      <c r="CL246" s="515">
        <f t="shared" ref="CL246:CO246" si="1405">SUM(CL141,CL149,CL201)</f>
        <v>0</v>
      </c>
      <c r="CM246" s="515">
        <f t="shared" si="1405"/>
        <v>0</v>
      </c>
      <c r="CN246" s="515">
        <f t="shared" si="1405"/>
        <v>-16081</v>
      </c>
      <c r="CO246" s="515">
        <f t="shared" si="1405"/>
        <v>0</v>
      </c>
    </row>
    <row r="247" spans="1:93" s="483" customFormat="1" x14ac:dyDescent="0.25">
      <c r="A247" s="512" t="str">
        <f>Language!C185</f>
        <v>Econorte</v>
      </c>
      <c r="B247" s="513">
        <f t="shared" ref="B247:AF247" si="1406">SUM(B142,B150,B202)</f>
        <v>12037</v>
      </c>
      <c r="C247" s="513">
        <f t="shared" si="1406"/>
        <v>12351</v>
      </c>
      <c r="D247" s="513">
        <f t="shared" si="1406"/>
        <v>11839</v>
      </c>
      <c r="E247" s="513">
        <f t="shared" si="1406"/>
        <v>17014</v>
      </c>
      <c r="F247" s="514">
        <f t="shared" si="1406"/>
        <v>16650</v>
      </c>
      <c r="G247" s="513">
        <f t="shared" si="1406"/>
        <v>18347</v>
      </c>
      <c r="H247" s="513">
        <f t="shared" si="1406"/>
        <v>20035</v>
      </c>
      <c r="I247" s="513">
        <f t="shared" si="1406"/>
        <v>21327</v>
      </c>
      <c r="J247" s="514">
        <f t="shared" si="1406"/>
        <v>21679</v>
      </c>
      <c r="K247" s="513">
        <f t="shared" si="1406"/>
        <v>15532</v>
      </c>
      <c r="L247" s="513">
        <f t="shared" si="1406"/>
        <v>19127</v>
      </c>
      <c r="M247" s="513">
        <f t="shared" si="1406"/>
        <v>18621</v>
      </c>
      <c r="N247" s="514">
        <f t="shared" si="1406"/>
        <v>18835</v>
      </c>
      <c r="O247" s="513">
        <f t="shared" si="1406"/>
        <v>16738</v>
      </c>
      <c r="P247" s="513">
        <f t="shared" si="1406"/>
        <v>18945</v>
      </c>
      <c r="Q247" s="513">
        <f t="shared" si="1406"/>
        <v>19474</v>
      </c>
      <c r="R247" s="514">
        <f t="shared" si="1406"/>
        <v>16753</v>
      </c>
      <c r="S247" s="513">
        <f t="shared" si="1406"/>
        <v>13766</v>
      </c>
      <c r="T247" s="513">
        <f t="shared" si="1406"/>
        <v>17678</v>
      </c>
      <c r="U247" s="513">
        <f t="shared" si="1406"/>
        <v>20376</v>
      </c>
      <c r="V247" s="513">
        <f t="shared" si="1406"/>
        <v>30519</v>
      </c>
      <c r="W247" s="515">
        <f t="shared" si="1406"/>
        <v>48197</v>
      </c>
      <c r="X247" s="516">
        <f t="shared" si="1406"/>
        <v>68573</v>
      </c>
      <c r="Y247" s="517">
        <f t="shared" si="1406"/>
        <v>16298</v>
      </c>
      <c r="Z247" s="515">
        <f t="shared" si="1406"/>
        <v>14257</v>
      </c>
      <c r="AA247" s="513">
        <f t="shared" si="1406"/>
        <v>16073</v>
      </c>
      <c r="AB247" s="513">
        <f t="shared" si="1406"/>
        <v>15306</v>
      </c>
      <c r="AC247" s="515">
        <f t="shared" si="1406"/>
        <v>30555</v>
      </c>
      <c r="AD247" s="515">
        <f t="shared" si="1406"/>
        <v>46628</v>
      </c>
      <c r="AE247" s="516">
        <f t="shared" si="1406"/>
        <v>61934</v>
      </c>
      <c r="AF247" s="515">
        <f t="shared" si="1406"/>
        <v>14579.622483967398</v>
      </c>
      <c r="AG247" s="515">
        <f t="shared" si="1230"/>
        <v>14525.085376321831</v>
      </c>
      <c r="AH247" s="515">
        <f t="shared" si="974"/>
        <v>21430.945922788407</v>
      </c>
      <c r="AI247" s="515">
        <f t="shared" si="975"/>
        <v>18884.425649139477</v>
      </c>
      <c r="AJ247" s="515">
        <f t="shared" si="1387"/>
        <v>29104.707860289229</v>
      </c>
      <c r="AK247" s="515">
        <f t="shared" si="1387"/>
        <v>50535.653783077636</v>
      </c>
      <c r="AL247" s="516">
        <f t="shared" si="1387"/>
        <v>69420.079432217113</v>
      </c>
      <c r="AM247" s="515">
        <f>SUM(AM142,AM150,AM202)</f>
        <v>12274.556984516785</v>
      </c>
      <c r="AN247" s="515">
        <f t="shared" si="976"/>
        <v>9106.3702743043905</v>
      </c>
      <c r="AO247" s="515">
        <f t="shared" si="977"/>
        <v>17117.526033699396</v>
      </c>
      <c r="AP247" s="515">
        <f t="shared" si="977"/>
        <v>-184693.09933474465</v>
      </c>
      <c r="AQ247" s="515">
        <f t="shared" si="1379"/>
        <v>21380.927258821175</v>
      </c>
      <c r="AR247" s="515">
        <f t="shared" si="1379"/>
        <v>38498.453292520571</v>
      </c>
      <c r="AS247" s="516">
        <f t="shared" si="1379"/>
        <v>-146194.64604222408</v>
      </c>
      <c r="AT247" s="515">
        <f>SUM(AT142,AT150,AT202)</f>
        <v>3184</v>
      </c>
      <c r="AU247" s="515">
        <f t="shared" si="1379"/>
        <v>7268</v>
      </c>
      <c r="AV247" s="515">
        <f t="shared" si="1379"/>
        <v>22554</v>
      </c>
      <c r="AW247" s="515">
        <f t="shared" si="978"/>
        <v>39335</v>
      </c>
      <c r="AX247" s="515">
        <f>SUM(AX142,AX150,AX202)</f>
        <v>10452</v>
      </c>
      <c r="AY247" s="515">
        <f>SUM(AY142,AY150,AY202)</f>
        <v>34268</v>
      </c>
      <c r="AZ247" s="515">
        <f t="shared" si="1380"/>
        <v>73603</v>
      </c>
      <c r="BA247" s="515">
        <f t="shared" si="1380"/>
        <v>23868</v>
      </c>
      <c r="BB247" s="515">
        <f t="shared" si="1380"/>
        <v>13135</v>
      </c>
      <c r="BC247" s="515">
        <f t="shared" si="1380"/>
        <v>23134</v>
      </c>
      <c r="BD247" s="515">
        <f t="shared" si="1380"/>
        <v>23786</v>
      </c>
      <c r="BE247" s="515">
        <f t="shared" si="1380"/>
        <v>37003</v>
      </c>
      <c r="BF247" s="515">
        <f t="shared" si="1380"/>
        <v>60137</v>
      </c>
      <c r="BG247" s="515">
        <f>SUM(BG142,BG150,BG202)</f>
        <v>83923</v>
      </c>
      <c r="BH247" s="515">
        <f t="shared" ref="BH247:BS247" si="1407">SUM(BH142,BH150,BH202)</f>
        <v>20048</v>
      </c>
      <c r="BI247" s="515">
        <f t="shared" si="1407"/>
        <v>4109</v>
      </c>
      <c r="BJ247" s="515">
        <f t="shared" si="1407"/>
        <v>-7225</v>
      </c>
      <c r="BK247" s="515">
        <f t="shared" si="1407"/>
        <v>-22080</v>
      </c>
      <c r="BL247" s="515">
        <f t="shared" si="1407"/>
        <v>24157</v>
      </c>
      <c r="BM247" s="515">
        <f t="shared" si="1407"/>
        <v>16932</v>
      </c>
      <c r="BN247" s="515">
        <f t="shared" si="1407"/>
        <v>-5148</v>
      </c>
      <c r="BO247" s="515">
        <f t="shared" si="1407"/>
        <v>-6362</v>
      </c>
      <c r="BP247" s="515">
        <f t="shared" si="1407"/>
        <v>-1573</v>
      </c>
      <c r="BQ247" s="515">
        <f t="shared" si="1389"/>
        <v>-3230</v>
      </c>
      <c r="BR247" s="515">
        <f t="shared" si="1407"/>
        <v>-2062</v>
      </c>
      <c r="BS247" s="515">
        <f t="shared" si="1407"/>
        <v>-7935</v>
      </c>
      <c r="BT247" s="515">
        <f t="shared" ref="BT247:BU247" si="1408">SUM(BT142,BT150,BT202)</f>
        <v>-11165</v>
      </c>
      <c r="BU247" s="515">
        <f t="shared" si="1408"/>
        <v>-13227</v>
      </c>
      <c r="BV247" s="515">
        <f t="shared" ref="BV247:BY247" si="1409">SUM(BV142,BV150,BV202)</f>
        <v>0</v>
      </c>
      <c r="BW247" s="515">
        <f t="shared" si="1409"/>
        <v>0</v>
      </c>
      <c r="BX247" s="515">
        <f t="shared" si="1409"/>
        <v>-24</v>
      </c>
      <c r="BY247" s="515">
        <f t="shared" si="1409"/>
        <v>-7</v>
      </c>
      <c r="BZ247" s="515">
        <f t="shared" ref="BZ247:CA247" si="1410">SUM(BZ142,BZ150,BZ202)</f>
        <v>0</v>
      </c>
      <c r="CA247" s="515">
        <f t="shared" si="1410"/>
        <v>-24</v>
      </c>
      <c r="CB247" s="515">
        <f t="shared" ref="CB247:CG247" si="1411">SUM(CB142,CB150,CB202)</f>
        <v>-31</v>
      </c>
      <c r="CC247" s="515">
        <f t="shared" si="1411"/>
        <v>0</v>
      </c>
      <c r="CD247" s="515">
        <f t="shared" si="1411"/>
        <v>0</v>
      </c>
      <c r="CE247" s="515">
        <f t="shared" si="1411"/>
        <v>0</v>
      </c>
      <c r="CF247" s="515">
        <f t="shared" si="1411"/>
        <v>0</v>
      </c>
      <c r="CG247" s="515">
        <f t="shared" si="1411"/>
        <v>0</v>
      </c>
      <c r="CH247" s="515">
        <f t="shared" ref="CH247:CI247" si="1412">SUM(CH142,CH150,CH202)</f>
        <v>0</v>
      </c>
      <c r="CI247" s="515">
        <f t="shared" si="1412"/>
        <v>0</v>
      </c>
      <c r="CJ247" s="515">
        <v>0</v>
      </c>
      <c r="CK247" s="515">
        <f t="shared" ref="CK247" si="1413">SUM(CK142,CK150,CK202)</f>
        <v>0</v>
      </c>
      <c r="CL247" s="515">
        <f t="shared" ref="CL247:CO247" si="1414">SUM(CL142,CL150,CL202)</f>
        <v>0</v>
      </c>
      <c r="CM247" s="515">
        <f t="shared" si="1414"/>
        <v>0</v>
      </c>
      <c r="CN247" s="515">
        <f t="shared" si="1414"/>
        <v>0</v>
      </c>
      <c r="CO247" s="515">
        <f t="shared" si="1414"/>
        <v>0</v>
      </c>
    </row>
    <row r="248" spans="1:93" s="483" customFormat="1" x14ac:dyDescent="0.25">
      <c r="A248" s="512" t="str">
        <f>Language!C186</f>
        <v>Convale</v>
      </c>
      <c r="B248" s="513">
        <f t="shared" ref="B248:AF248" si="1415">SUM(B203)</f>
        <v>0</v>
      </c>
      <c r="C248" s="513">
        <f t="shared" si="1415"/>
        <v>0</v>
      </c>
      <c r="D248" s="513">
        <f t="shared" si="1415"/>
        <v>0</v>
      </c>
      <c r="E248" s="513">
        <f t="shared" si="1415"/>
        <v>0</v>
      </c>
      <c r="F248" s="514">
        <f t="shared" si="1415"/>
        <v>0</v>
      </c>
      <c r="G248" s="513">
        <f t="shared" si="1415"/>
        <v>0</v>
      </c>
      <c r="H248" s="513">
        <f t="shared" si="1415"/>
        <v>0</v>
      </c>
      <c r="I248" s="513">
        <f t="shared" si="1415"/>
        <v>-29</v>
      </c>
      <c r="J248" s="514">
        <f t="shared" si="1415"/>
        <v>-20</v>
      </c>
      <c r="K248" s="513">
        <f t="shared" si="1415"/>
        <v>0</v>
      </c>
      <c r="L248" s="513">
        <f t="shared" si="1415"/>
        <v>-7</v>
      </c>
      <c r="M248" s="513">
        <f t="shared" si="1415"/>
        <v>-2</v>
      </c>
      <c r="N248" s="514">
        <f t="shared" si="1415"/>
        <v>0</v>
      </c>
      <c r="O248" s="513">
        <f t="shared" si="1415"/>
        <v>-20</v>
      </c>
      <c r="P248" s="513">
        <f t="shared" si="1415"/>
        <v>-3</v>
      </c>
      <c r="Q248" s="513">
        <f t="shared" si="1415"/>
        <v>-1</v>
      </c>
      <c r="R248" s="514">
        <f t="shared" si="1415"/>
        <v>0</v>
      </c>
      <c r="S248" s="513">
        <f t="shared" si="1415"/>
        <v>-20</v>
      </c>
      <c r="T248" s="513">
        <f t="shared" si="1415"/>
        <v>-118</v>
      </c>
      <c r="U248" s="513">
        <f t="shared" si="1415"/>
        <v>-88</v>
      </c>
      <c r="V248" s="513">
        <f t="shared" si="1415"/>
        <v>-20</v>
      </c>
      <c r="W248" s="515">
        <f t="shared" si="1415"/>
        <v>-138</v>
      </c>
      <c r="X248" s="516">
        <f t="shared" si="1415"/>
        <v>-226</v>
      </c>
      <c r="Y248" s="517">
        <f t="shared" si="1415"/>
        <v>-85</v>
      </c>
      <c r="Z248" s="515">
        <f t="shared" si="1415"/>
        <v>-13</v>
      </c>
      <c r="AA248" s="513">
        <f t="shared" si="1415"/>
        <v>-415</v>
      </c>
      <c r="AB248" s="513">
        <f t="shared" si="1415"/>
        <v>-530</v>
      </c>
      <c r="AC248" s="515">
        <f t="shared" si="1415"/>
        <v>-98</v>
      </c>
      <c r="AD248" s="515">
        <f t="shared" si="1415"/>
        <v>-513</v>
      </c>
      <c r="AE248" s="516">
        <f t="shared" si="1415"/>
        <v>-1043</v>
      </c>
      <c r="AF248" s="515">
        <f t="shared" si="1415"/>
        <v>-7.9152530006201891</v>
      </c>
      <c r="AG248" s="515">
        <f t="shared" si="1230"/>
        <v>-65.567139415576833</v>
      </c>
      <c r="AH248" s="515">
        <f t="shared" si="974"/>
        <v>1.1123226503615484</v>
      </c>
      <c r="AI248" s="515">
        <f t="shared" si="975"/>
        <v>4.370069765835467</v>
      </c>
      <c r="AJ248" s="515">
        <f>SUM(AJ203)</f>
        <v>-73.482392416197015</v>
      </c>
      <c r="AK248" s="515">
        <f>SUM(AK203)</f>
        <v>-72.370069765835467</v>
      </c>
      <c r="AL248" s="516">
        <f>SUM(AL203)</f>
        <v>-68</v>
      </c>
      <c r="AM248" s="515">
        <f>SUM(AM203)</f>
        <v>-8.6184269662921356</v>
      </c>
      <c r="AN248" s="515">
        <f t="shared" si="976"/>
        <v>-81.671187077021756</v>
      </c>
      <c r="AO248" s="515">
        <f t="shared" si="977"/>
        <v>0.41686365596336827</v>
      </c>
      <c r="AP248" s="515">
        <f t="shared" si="977"/>
        <v>-9.5216494032958536</v>
      </c>
      <c r="AQ248" s="515">
        <f t="shared" ref="AQ248:AV248" si="1416">SUM(AQ203)</f>
        <v>-90.28961404331389</v>
      </c>
      <c r="AR248" s="515">
        <f t="shared" si="1416"/>
        <v>-89.872750387350521</v>
      </c>
      <c r="AS248" s="516">
        <f t="shared" si="1416"/>
        <v>-99.394399790646375</v>
      </c>
      <c r="AT248" s="515">
        <f t="shared" si="1416"/>
        <v>0</v>
      </c>
      <c r="AU248" s="515">
        <f t="shared" si="1416"/>
        <v>-55</v>
      </c>
      <c r="AV248" s="515">
        <f t="shared" si="1416"/>
        <v>-5</v>
      </c>
      <c r="AW248" s="515">
        <f t="shared" si="978"/>
        <v>60</v>
      </c>
      <c r="AX248" s="515">
        <f t="shared" ref="AX248:BS248" si="1417">SUM(AX203)</f>
        <v>-55</v>
      </c>
      <c r="AY248" s="515">
        <f t="shared" si="1417"/>
        <v>-60</v>
      </c>
      <c r="AZ248" s="515">
        <f t="shared" si="1417"/>
        <v>0</v>
      </c>
      <c r="BA248" s="515">
        <f t="shared" si="1417"/>
        <v>0</v>
      </c>
      <c r="BB248" s="515">
        <f t="shared" si="1417"/>
        <v>0</v>
      </c>
      <c r="BC248" s="515">
        <f t="shared" si="1417"/>
        <v>0</v>
      </c>
      <c r="BD248" s="515">
        <f t="shared" si="1417"/>
        <v>0</v>
      </c>
      <c r="BE248" s="515">
        <f t="shared" si="1417"/>
        <v>0</v>
      </c>
      <c r="BF248" s="515">
        <f t="shared" si="1417"/>
        <v>0</v>
      </c>
      <c r="BG248" s="515">
        <f t="shared" si="1417"/>
        <v>0</v>
      </c>
      <c r="BH248" s="515">
        <f t="shared" si="1417"/>
        <v>0</v>
      </c>
      <c r="BI248" s="515">
        <f t="shared" si="1417"/>
        <v>0</v>
      </c>
      <c r="BJ248" s="515">
        <f t="shared" si="1417"/>
        <v>0</v>
      </c>
      <c r="BK248" s="515">
        <f t="shared" si="1417"/>
        <v>0</v>
      </c>
      <c r="BL248" s="515">
        <f t="shared" si="1417"/>
        <v>0</v>
      </c>
      <c r="BM248" s="515">
        <f t="shared" si="1417"/>
        <v>0</v>
      </c>
      <c r="BN248" s="515">
        <f t="shared" si="1417"/>
        <v>0</v>
      </c>
      <c r="BO248" s="515">
        <f t="shared" si="1417"/>
        <v>0</v>
      </c>
      <c r="BP248" s="515">
        <f t="shared" si="1417"/>
        <v>0</v>
      </c>
      <c r="BQ248" s="515">
        <f t="shared" si="1417"/>
        <v>0</v>
      </c>
      <c r="BR248" s="515">
        <f t="shared" si="1417"/>
        <v>0</v>
      </c>
      <c r="BS248" s="515">
        <f t="shared" si="1417"/>
        <v>0</v>
      </c>
      <c r="BT248" s="515">
        <f t="shared" ref="BT248:BU248" si="1418">SUM(BT203)</f>
        <v>0</v>
      </c>
      <c r="BU248" s="515">
        <f t="shared" si="1418"/>
        <v>0</v>
      </c>
      <c r="BV248" s="515">
        <f t="shared" ref="BV248:BY248" si="1419">SUM(BV203)</f>
        <v>0</v>
      </c>
      <c r="BW248" s="515">
        <f t="shared" si="1419"/>
        <v>0</v>
      </c>
      <c r="BX248" s="515">
        <f t="shared" si="1419"/>
        <v>0</v>
      </c>
      <c r="BY248" s="515">
        <f t="shared" si="1419"/>
        <v>0</v>
      </c>
      <c r="BZ248" s="515">
        <f t="shared" ref="BZ248:CA248" si="1420">SUM(BZ203)</f>
        <v>0</v>
      </c>
      <c r="CA248" s="515">
        <f t="shared" si="1420"/>
        <v>0</v>
      </c>
      <c r="CB248" s="515">
        <f t="shared" ref="CB248:CG248" si="1421">SUM(CB203)</f>
        <v>0</v>
      </c>
      <c r="CC248" s="515">
        <f t="shared" si="1421"/>
        <v>0</v>
      </c>
      <c r="CD248" s="515">
        <f t="shared" si="1421"/>
        <v>0</v>
      </c>
      <c r="CE248" s="515">
        <f t="shared" si="1421"/>
        <v>0</v>
      </c>
      <c r="CF248" s="515">
        <f t="shared" si="1421"/>
        <v>0</v>
      </c>
      <c r="CG248" s="515">
        <f t="shared" si="1421"/>
        <v>0</v>
      </c>
      <c r="CH248" s="515">
        <f t="shared" ref="CH248:CI248" si="1422">SUM(CH203)</f>
        <v>0</v>
      </c>
      <c r="CI248" s="515">
        <f t="shared" si="1422"/>
        <v>0</v>
      </c>
      <c r="CJ248" s="515">
        <v>0</v>
      </c>
      <c r="CK248" s="515">
        <f t="shared" ref="CK248" si="1423">SUM(CK203)</f>
        <v>0</v>
      </c>
      <c r="CL248" s="515">
        <f t="shared" ref="CL248:CO248" si="1424">SUM(CL203)</f>
        <v>0</v>
      </c>
      <c r="CM248" s="515">
        <f t="shared" si="1424"/>
        <v>0</v>
      </c>
      <c r="CN248" s="515">
        <f t="shared" si="1424"/>
        <v>0</v>
      </c>
      <c r="CO248" s="515">
        <f t="shared" si="1424"/>
        <v>0</v>
      </c>
    </row>
    <row r="249" spans="1:93" s="513" customFormat="1" x14ac:dyDescent="0.25">
      <c r="A249" s="455" t="str">
        <f>Language!C187</f>
        <v>Concebra</v>
      </c>
      <c r="B249" s="513">
        <f t="shared" ref="B249:AF249" si="1425">SUM(B143,B151,B204)</f>
        <v>0</v>
      </c>
      <c r="C249" s="513">
        <f t="shared" si="1425"/>
        <v>0</v>
      </c>
      <c r="D249" s="513">
        <f t="shared" si="1425"/>
        <v>0</v>
      </c>
      <c r="E249" s="513">
        <f t="shared" si="1425"/>
        <v>0</v>
      </c>
      <c r="F249" s="514">
        <f t="shared" si="1425"/>
        <v>0</v>
      </c>
      <c r="G249" s="513">
        <f t="shared" si="1425"/>
        <v>0</v>
      </c>
      <c r="H249" s="513">
        <f t="shared" si="1425"/>
        <v>0</v>
      </c>
      <c r="I249" s="513">
        <f t="shared" si="1425"/>
        <v>0</v>
      </c>
      <c r="J249" s="514">
        <f t="shared" si="1425"/>
        <v>0</v>
      </c>
      <c r="K249" s="513">
        <f t="shared" si="1425"/>
        <v>0</v>
      </c>
      <c r="L249" s="513">
        <f t="shared" si="1425"/>
        <v>0</v>
      </c>
      <c r="M249" s="513">
        <f t="shared" si="1425"/>
        <v>0</v>
      </c>
      <c r="N249" s="514">
        <f t="shared" si="1425"/>
        <v>-2581</v>
      </c>
      <c r="O249" s="513">
        <f t="shared" si="1425"/>
        <v>199</v>
      </c>
      <c r="P249" s="513">
        <f t="shared" si="1425"/>
        <v>-1770</v>
      </c>
      <c r="Q249" s="513">
        <f t="shared" si="1425"/>
        <v>8032</v>
      </c>
      <c r="R249" s="514">
        <f t="shared" si="1425"/>
        <v>-8686</v>
      </c>
      <c r="S249" s="513">
        <f t="shared" si="1425"/>
        <v>3353</v>
      </c>
      <c r="T249" s="513">
        <f t="shared" si="1425"/>
        <v>25491</v>
      </c>
      <c r="U249" s="513">
        <f t="shared" si="1425"/>
        <v>15827</v>
      </c>
      <c r="V249" s="513">
        <f t="shared" si="1425"/>
        <v>-5333</v>
      </c>
      <c r="W249" s="515">
        <f t="shared" si="1425"/>
        <v>20158</v>
      </c>
      <c r="X249" s="516">
        <f t="shared" si="1425"/>
        <v>35985</v>
      </c>
      <c r="Y249" s="517">
        <f t="shared" si="1425"/>
        <v>18882</v>
      </c>
      <c r="Z249" s="515">
        <f t="shared" si="1425"/>
        <v>27256</v>
      </c>
      <c r="AA249" s="513">
        <f t="shared" si="1425"/>
        <v>31881</v>
      </c>
      <c r="AB249" s="513">
        <f t="shared" si="1425"/>
        <v>24694</v>
      </c>
      <c r="AC249" s="515">
        <f t="shared" si="1425"/>
        <v>46138</v>
      </c>
      <c r="AD249" s="515">
        <f t="shared" si="1425"/>
        <v>78019</v>
      </c>
      <c r="AE249" s="516">
        <f t="shared" si="1425"/>
        <v>102713</v>
      </c>
      <c r="AF249" s="515">
        <f t="shared" si="1425"/>
        <v>16172.49053228666</v>
      </c>
      <c r="AG249" s="515">
        <f t="shared" si="1230"/>
        <v>2511.9416739795579</v>
      </c>
      <c r="AH249" s="515">
        <f t="shared" si="974"/>
        <v>39713.422457819506</v>
      </c>
      <c r="AI249" s="515">
        <f t="shared" si="975"/>
        <v>11053.836115995829</v>
      </c>
      <c r="AJ249" s="515">
        <f t="shared" ref="AJ249:AM250" si="1426">SUM(AJ143,AJ151,AJ204)</f>
        <v>18684.432206266218</v>
      </c>
      <c r="AK249" s="515">
        <f t="shared" si="1426"/>
        <v>58397.854664085724</v>
      </c>
      <c r="AL249" s="516">
        <f t="shared" si="1426"/>
        <v>69451.690780081553</v>
      </c>
      <c r="AM249" s="515">
        <f t="shared" si="1426"/>
        <v>25946.57004219056</v>
      </c>
      <c r="AN249" s="515">
        <f t="shared" si="976"/>
        <v>23678.445197008314</v>
      </c>
      <c r="AO249" s="515">
        <f t="shared" si="977"/>
        <v>54032.214478056027</v>
      </c>
      <c r="AP249" s="515">
        <f t="shared" si="977"/>
        <v>17198.040622860644</v>
      </c>
      <c r="AQ249" s="515">
        <f t="shared" ref="AQ249:AV250" si="1427">SUM(AQ143,AQ151,AQ204)</f>
        <v>49625.015239198874</v>
      </c>
      <c r="AR249" s="515">
        <f t="shared" si="1427"/>
        <v>103657.2297172549</v>
      </c>
      <c r="AS249" s="516">
        <f t="shared" si="1427"/>
        <v>120855.27034011554</v>
      </c>
      <c r="AT249" s="515">
        <f t="shared" si="1427"/>
        <v>13952</v>
      </c>
      <c r="AU249" s="515">
        <f t="shared" si="1427"/>
        <v>8360</v>
      </c>
      <c r="AV249" s="515">
        <f t="shared" si="1427"/>
        <v>12662</v>
      </c>
      <c r="AW249" s="515">
        <f t="shared" si="978"/>
        <v>18057</v>
      </c>
      <c r="AX249" s="515">
        <f t="shared" ref="AX249:BS250" si="1428">SUM(AX143,AX151,AX204)</f>
        <v>22312</v>
      </c>
      <c r="AY249" s="515">
        <f t="shared" si="1428"/>
        <v>34974</v>
      </c>
      <c r="AZ249" s="515">
        <f t="shared" si="1428"/>
        <v>53031</v>
      </c>
      <c r="BA249" s="515">
        <f t="shared" si="1428"/>
        <v>17075</v>
      </c>
      <c r="BB249" s="515">
        <f t="shared" si="1428"/>
        <v>3340</v>
      </c>
      <c r="BC249" s="515">
        <f t="shared" si="1428"/>
        <v>-14608</v>
      </c>
      <c r="BD249" s="515">
        <f t="shared" si="1428"/>
        <v>223641</v>
      </c>
      <c r="BE249" s="515">
        <f t="shared" si="1428"/>
        <v>20415</v>
      </c>
      <c r="BF249" s="515">
        <f t="shared" si="1428"/>
        <v>5807</v>
      </c>
      <c r="BG249" s="515">
        <f t="shared" si="1428"/>
        <v>229448</v>
      </c>
      <c r="BH249" s="515">
        <f t="shared" si="1428"/>
        <v>2291</v>
      </c>
      <c r="BI249" s="515">
        <f t="shared" si="1428"/>
        <v>-3719</v>
      </c>
      <c r="BJ249" s="515">
        <f t="shared" si="1428"/>
        <v>15824</v>
      </c>
      <c r="BK249" s="515">
        <f t="shared" si="1428"/>
        <v>7949</v>
      </c>
      <c r="BL249" s="515">
        <f t="shared" si="1428"/>
        <v>-1428</v>
      </c>
      <c r="BM249" s="515">
        <f t="shared" si="1428"/>
        <v>14396</v>
      </c>
      <c r="BN249" s="515">
        <f t="shared" si="1428"/>
        <v>22345</v>
      </c>
      <c r="BO249" s="515">
        <f t="shared" si="1428"/>
        <v>-1949</v>
      </c>
      <c r="BP249" s="515">
        <f t="shared" si="1428"/>
        <v>-31735</v>
      </c>
      <c r="BQ249" s="515">
        <f t="shared" si="1428"/>
        <v>-72520</v>
      </c>
      <c r="BR249" s="515">
        <f t="shared" si="1428"/>
        <v>-6289</v>
      </c>
      <c r="BS249" s="515">
        <f t="shared" si="1428"/>
        <v>270283</v>
      </c>
      <c r="BT249" s="515">
        <f t="shared" ref="BT249:BU249" si="1429">SUM(BT143,BT151,BT204)</f>
        <v>197763</v>
      </c>
      <c r="BU249" s="515">
        <f t="shared" si="1429"/>
        <v>191474</v>
      </c>
      <c r="BV249" s="515">
        <f t="shared" ref="BV249:BY249" si="1430">SUM(BV143,BV151,BV204)</f>
        <v>-41318</v>
      </c>
      <c r="BW249" s="515">
        <f t="shared" si="1430"/>
        <v>-29917</v>
      </c>
      <c r="BX249" s="515">
        <f t="shared" si="1430"/>
        <v>47839</v>
      </c>
      <c r="BY249" s="515">
        <f t="shared" si="1430"/>
        <v>35708</v>
      </c>
      <c r="BZ249" s="515">
        <f t="shared" ref="BZ249:CA249" si="1431">SUM(BZ143,BZ151,BZ204)</f>
        <v>-71235</v>
      </c>
      <c r="CA249" s="515">
        <f t="shared" si="1431"/>
        <v>-23396</v>
      </c>
      <c r="CB249" s="515">
        <f t="shared" ref="CB249:CG249" si="1432">SUM(CB143,CB151,CB204)</f>
        <v>12312</v>
      </c>
      <c r="CC249" s="515">
        <f t="shared" si="1432"/>
        <v>216</v>
      </c>
      <c r="CD249" s="515">
        <f t="shared" si="1432"/>
        <v>16166</v>
      </c>
      <c r="CE249" s="515">
        <f t="shared" si="1432"/>
        <v>102112</v>
      </c>
      <c r="CF249" s="515">
        <f t="shared" si="1432"/>
        <v>70169</v>
      </c>
      <c r="CG249" s="515">
        <f t="shared" si="1432"/>
        <v>16382</v>
      </c>
      <c r="CH249" s="515">
        <f t="shared" ref="CH249:CI249" si="1433">SUM(CH143,CH151,CH204)</f>
        <v>118494</v>
      </c>
      <c r="CI249" s="515">
        <f t="shared" si="1433"/>
        <v>188663</v>
      </c>
      <c r="CJ249" s="515">
        <v>25474</v>
      </c>
      <c r="CK249" s="515">
        <f t="shared" ref="CK249" si="1434">SUM(CK143,CK151,CK204)</f>
        <v>22608</v>
      </c>
      <c r="CL249" s="515">
        <f t="shared" ref="CL249:CO249" si="1435">SUM(CL143,CL151,CL204)</f>
        <v>0</v>
      </c>
      <c r="CM249" s="515">
        <f t="shared" si="1435"/>
        <v>0</v>
      </c>
      <c r="CN249" s="515">
        <f t="shared" si="1435"/>
        <v>48082</v>
      </c>
      <c r="CO249" s="515">
        <f t="shared" si="1435"/>
        <v>0</v>
      </c>
    </row>
    <row r="250" spans="1:93" s="483" customFormat="1" x14ac:dyDescent="0.25">
      <c r="A250" s="455" t="str">
        <f>Language!C188</f>
        <v>Transbrasiliana</v>
      </c>
      <c r="B250" s="513">
        <f t="shared" ref="B250:AF250" si="1436">SUM(B144,B152,B205)</f>
        <v>0</v>
      </c>
      <c r="C250" s="513">
        <f t="shared" si="1436"/>
        <v>0</v>
      </c>
      <c r="D250" s="513">
        <f t="shared" si="1436"/>
        <v>0</v>
      </c>
      <c r="E250" s="513">
        <f t="shared" si="1436"/>
        <v>0</v>
      </c>
      <c r="F250" s="514">
        <f t="shared" si="1436"/>
        <v>0</v>
      </c>
      <c r="G250" s="513">
        <f t="shared" si="1436"/>
        <v>0</v>
      </c>
      <c r="H250" s="513">
        <f t="shared" si="1436"/>
        <v>0</v>
      </c>
      <c r="I250" s="513">
        <f t="shared" si="1436"/>
        <v>0</v>
      </c>
      <c r="J250" s="514">
        <f t="shared" si="1436"/>
        <v>0</v>
      </c>
      <c r="K250" s="513">
        <f t="shared" si="1436"/>
        <v>0</v>
      </c>
      <c r="L250" s="513">
        <f t="shared" si="1436"/>
        <v>0</v>
      </c>
      <c r="M250" s="513">
        <f t="shared" si="1436"/>
        <v>0</v>
      </c>
      <c r="N250" s="514">
        <f t="shared" si="1436"/>
        <v>0</v>
      </c>
      <c r="O250" s="513">
        <f t="shared" si="1436"/>
        <v>0</v>
      </c>
      <c r="P250" s="513">
        <f t="shared" si="1436"/>
        <v>0</v>
      </c>
      <c r="Q250" s="513">
        <f t="shared" si="1436"/>
        <v>0</v>
      </c>
      <c r="R250" s="514">
        <f t="shared" si="1436"/>
        <v>24612</v>
      </c>
      <c r="S250" s="513">
        <f t="shared" si="1436"/>
        <v>3871</v>
      </c>
      <c r="T250" s="513">
        <f t="shared" si="1436"/>
        <v>4501</v>
      </c>
      <c r="U250" s="513">
        <f t="shared" si="1436"/>
        <v>7833</v>
      </c>
      <c r="V250" s="513">
        <f t="shared" si="1436"/>
        <v>28483</v>
      </c>
      <c r="W250" s="515">
        <f t="shared" si="1436"/>
        <v>32984</v>
      </c>
      <c r="X250" s="516">
        <f t="shared" si="1436"/>
        <v>40817</v>
      </c>
      <c r="Y250" s="517">
        <f t="shared" si="1436"/>
        <v>5470</v>
      </c>
      <c r="Z250" s="515">
        <f t="shared" si="1436"/>
        <v>3406</v>
      </c>
      <c r="AA250" s="513">
        <f t="shared" si="1436"/>
        <v>-517</v>
      </c>
      <c r="AB250" s="513">
        <f t="shared" si="1436"/>
        <v>22704</v>
      </c>
      <c r="AC250" s="515">
        <f t="shared" si="1436"/>
        <v>8876</v>
      </c>
      <c r="AD250" s="515">
        <f t="shared" si="1436"/>
        <v>8359</v>
      </c>
      <c r="AE250" s="516">
        <f t="shared" si="1436"/>
        <v>31063</v>
      </c>
      <c r="AF250" s="515">
        <f t="shared" si="1436"/>
        <v>7261.8294884801089</v>
      </c>
      <c r="AG250" s="515">
        <f t="shared" si="1230"/>
        <v>4115.9006712601695</v>
      </c>
      <c r="AH250" s="515">
        <f t="shared" si="974"/>
        <v>6047.8857559104199</v>
      </c>
      <c r="AI250" s="515">
        <f t="shared" si="975"/>
        <v>19164.220250516279</v>
      </c>
      <c r="AJ250" s="515">
        <f t="shared" si="1426"/>
        <v>11377.730159740278</v>
      </c>
      <c r="AK250" s="515">
        <f t="shared" si="1426"/>
        <v>17425.615915650698</v>
      </c>
      <c r="AL250" s="516">
        <f t="shared" si="1426"/>
        <v>36589.836166166977</v>
      </c>
      <c r="AM250" s="515">
        <f t="shared" si="1426"/>
        <v>8123.1391904907905</v>
      </c>
      <c r="AN250" s="515">
        <f t="shared" si="976"/>
        <v>4528.9436867322038</v>
      </c>
      <c r="AO250" s="515">
        <f t="shared" si="977"/>
        <v>7043.6919496757255</v>
      </c>
      <c r="AP250" s="515">
        <f t="shared" si="977"/>
        <v>8770.2340755484802</v>
      </c>
      <c r="AQ250" s="515">
        <f t="shared" si="1427"/>
        <v>12652.082877222994</v>
      </c>
      <c r="AR250" s="515">
        <f t="shared" si="1427"/>
        <v>19695.77482689872</v>
      </c>
      <c r="AS250" s="516">
        <f t="shared" si="1427"/>
        <v>28466.0089024472</v>
      </c>
      <c r="AT250" s="515">
        <f>SUM(AT144,AT152,AT205)</f>
        <v>4299</v>
      </c>
      <c r="AU250" s="515">
        <f t="shared" si="1427"/>
        <v>-6004</v>
      </c>
      <c r="AV250" s="515">
        <f t="shared" si="1427"/>
        <v>14136</v>
      </c>
      <c r="AW250" s="515">
        <f t="shared" si="978"/>
        <v>288</v>
      </c>
      <c r="AX250" s="515">
        <f t="shared" ref="AX250:BS250" si="1437">SUM(AX144,AX152,AX205)</f>
        <v>-1705</v>
      </c>
      <c r="AY250" s="515">
        <f t="shared" si="1437"/>
        <v>10915</v>
      </c>
      <c r="AZ250" s="515">
        <f t="shared" si="1437"/>
        <v>11203</v>
      </c>
      <c r="BA250" s="515">
        <f t="shared" si="1437"/>
        <v>-259</v>
      </c>
      <c r="BB250" s="515">
        <f t="shared" si="1437"/>
        <v>2820</v>
      </c>
      <c r="BC250" s="515">
        <f t="shared" si="1437"/>
        <v>4882</v>
      </c>
      <c r="BD250" s="515">
        <f t="shared" si="1437"/>
        <v>5339</v>
      </c>
      <c r="BE250" s="515">
        <f t="shared" si="1437"/>
        <v>2561</v>
      </c>
      <c r="BF250" s="515">
        <f t="shared" si="1437"/>
        <v>7443</v>
      </c>
      <c r="BG250" s="515">
        <f t="shared" si="1437"/>
        <v>12782</v>
      </c>
      <c r="BH250" s="515">
        <f t="shared" si="1437"/>
        <v>-988</v>
      </c>
      <c r="BI250" s="515">
        <f t="shared" si="1437"/>
        <v>12809</v>
      </c>
      <c r="BJ250" s="515">
        <f t="shared" si="1437"/>
        <v>12109</v>
      </c>
      <c r="BK250" s="515">
        <f t="shared" si="1437"/>
        <v>18632</v>
      </c>
      <c r="BL250" s="515">
        <f t="shared" si="1437"/>
        <v>11821</v>
      </c>
      <c r="BM250" s="515">
        <f t="shared" si="1437"/>
        <v>23930</v>
      </c>
      <c r="BN250" s="515">
        <f t="shared" si="1437"/>
        <v>42562</v>
      </c>
      <c r="BO250" s="515">
        <f t="shared" si="1437"/>
        <v>11886</v>
      </c>
      <c r="BP250" s="515">
        <f t="shared" si="1437"/>
        <v>15012</v>
      </c>
      <c r="BQ250" s="515">
        <f t="shared" si="1428"/>
        <v>14812</v>
      </c>
      <c r="BR250" s="515">
        <f t="shared" si="1437"/>
        <v>11120</v>
      </c>
      <c r="BS250" s="515">
        <f t="shared" si="1437"/>
        <v>26898</v>
      </c>
      <c r="BT250" s="515">
        <f t="shared" ref="BT250:BU250" si="1438">SUM(BT144,BT152,BT205)</f>
        <v>41710</v>
      </c>
      <c r="BU250" s="515">
        <f t="shared" si="1438"/>
        <v>52830</v>
      </c>
      <c r="BV250" s="515">
        <f t="shared" ref="BV250:BY250" si="1439">SUM(BV144,BV152,BV205)</f>
        <v>8426</v>
      </c>
      <c r="BW250" s="515">
        <f t="shared" si="1439"/>
        <v>6348</v>
      </c>
      <c r="BX250" s="515">
        <f t="shared" si="1439"/>
        <v>15273</v>
      </c>
      <c r="BY250" s="515">
        <f t="shared" si="1439"/>
        <v>15240</v>
      </c>
      <c r="BZ250" s="515">
        <f t="shared" ref="BZ250:CA250" si="1440">SUM(BZ144,BZ152,BZ205)</f>
        <v>14774</v>
      </c>
      <c r="CA250" s="515">
        <f t="shared" si="1440"/>
        <v>30047</v>
      </c>
      <c r="CB250" s="515">
        <f t="shared" ref="CB250:CF250" si="1441">SUM(CB144,CB152,CB205)</f>
        <v>45287</v>
      </c>
      <c r="CC250" s="515">
        <f t="shared" si="1441"/>
        <v>14166</v>
      </c>
      <c r="CD250" s="515">
        <f t="shared" si="1441"/>
        <v>18134</v>
      </c>
      <c r="CE250" s="515">
        <f t="shared" si="1441"/>
        <v>17591</v>
      </c>
      <c r="CF250" s="515">
        <f t="shared" si="1441"/>
        <v>13217</v>
      </c>
      <c r="CG250" s="515">
        <f>SUM(CG144,CG152,CG205)</f>
        <v>32300</v>
      </c>
      <c r="CH250" s="515">
        <f>SUM(CH144,CH152,CH205)</f>
        <v>49891</v>
      </c>
      <c r="CI250" s="515">
        <f>SUM(CI144,CI152,CI205)</f>
        <v>63108</v>
      </c>
      <c r="CJ250" s="515">
        <v>-6601</v>
      </c>
      <c r="CK250" s="515">
        <f>SUM(CK144,CK152,CK205)</f>
        <v>14294</v>
      </c>
      <c r="CL250" s="515">
        <f t="shared" ref="CL250:CO250" si="1442">SUM(CL144,CL152,CL205)</f>
        <v>0</v>
      </c>
      <c r="CM250" s="515">
        <f t="shared" si="1442"/>
        <v>0</v>
      </c>
      <c r="CN250" s="515">
        <f t="shared" si="1442"/>
        <v>7693</v>
      </c>
      <c r="CO250" s="515">
        <f t="shared" si="1442"/>
        <v>0</v>
      </c>
    </row>
    <row r="251" spans="1:93" s="483" customFormat="1" x14ac:dyDescent="0.25">
      <c r="A251" s="455" t="s">
        <v>670</v>
      </c>
      <c r="B251" s="518"/>
      <c r="C251" s="518"/>
      <c r="D251" s="518"/>
      <c r="E251" s="518"/>
      <c r="F251" s="519"/>
      <c r="G251" s="518"/>
      <c r="H251" s="518"/>
      <c r="I251" s="518"/>
      <c r="J251" s="519"/>
      <c r="K251" s="518"/>
      <c r="L251" s="518"/>
      <c r="M251" s="518"/>
      <c r="N251" s="519"/>
      <c r="O251" s="518"/>
      <c r="P251" s="518"/>
      <c r="Q251" s="518"/>
      <c r="R251" s="519"/>
      <c r="S251" s="518"/>
      <c r="T251" s="518"/>
      <c r="U251" s="518"/>
      <c r="V251" s="518"/>
      <c r="W251" s="520"/>
      <c r="X251" s="521"/>
      <c r="Y251" s="522"/>
      <c r="Z251" s="520"/>
      <c r="AA251" s="518"/>
      <c r="AB251" s="518"/>
      <c r="AC251" s="520"/>
      <c r="AD251" s="520"/>
      <c r="AE251" s="521"/>
      <c r="AF251" s="520"/>
      <c r="AG251" s="520">
        <f t="shared" si="1230"/>
        <v>0</v>
      </c>
      <c r="AH251" s="520">
        <f t="shared" si="974"/>
        <v>0</v>
      </c>
      <c r="AI251" s="520">
        <f t="shared" si="975"/>
        <v>0</v>
      </c>
      <c r="AJ251" s="520"/>
      <c r="AK251" s="520"/>
      <c r="AL251" s="521"/>
      <c r="AM251" s="520">
        <f>SUM(AM153,AM206)</f>
        <v>-1341.4444943820226</v>
      </c>
      <c r="AN251" s="520">
        <f t="shared" si="976"/>
        <v>-982.43441427196422</v>
      </c>
      <c r="AO251" s="520">
        <f t="shared" si="977"/>
        <v>-997.41274342452061</v>
      </c>
      <c r="AP251" s="520">
        <f t="shared" si="977"/>
        <v>-875.27403958353352</v>
      </c>
      <c r="AQ251" s="520">
        <f t="shared" ref="AQ251:AV251" si="1443">SUM(AQ153,AQ206)</f>
        <v>-2323.8789086539869</v>
      </c>
      <c r="AR251" s="520">
        <f t="shared" si="1443"/>
        <v>-3321.2916520785075</v>
      </c>
      <c r="AS251" s="521">
        <f t="shared" si="1443"/>
        <v>-4196.565691662041</v>
      </c>
      <c r="AT251" s="515">
        <f t="shared" si="1443"/>
        <v>0</v>
      </c>
      <c r="AU251" s="515">
        <f t="shared" si="1443"/>
        <v>-1393</v>
      </c>
      <c r="AV251" s="515">
        <f t="shared" si="1443"/>
        <v>-533</v>
      </c>
      <c r="AW251" s="515">
        <f t="shared" si="978"/>
        <v>1460</v>
      </c>
      <c r="AX251" s="515">
        <f>SUM(AX145,AX153,AX206)</f>
        <v>-926</v>
      </c>
      <c r="AY251" s="515">
        <f>SUM(AY145,AY153,AY206)</f>
        <v>-1460</v>
      </c>
      <c r="AZ251" s="515">
        <f t="shared" ref="AZ251:BS251" si="1444">SUM(AZ153,AZ206)</f>
        <v>0</v>
      </c>
      <c r="BA251" s="515">
        <f t="shared" si="1444"/>
        <v>0</v>
      </c>
      <c r="BB251" s="515">
        <f t="shared" si="1444"/>
        <v>0</v>
      </c>
      <c r="BC251" s="515">
        <f t="shared" si="1444"/>
        <v>0</v>
      </c>
      <c r="BD251" s="515">
        <f t="shared" si="1444"/>
        <v>0</v>
      </c>
      <c r="BE251" s="515">
        <f t="shared" si="1444"/>
        <v>0</v>
      </c>
      <c r="BF251" s="515">
        <f t="shared" si="1444"/>
        <v>0</v>
      </c>
      <c r="BG251" s="515">
        <f t="shared" si="1444"/>
        <v>0</v>
      </c>
      <c r="BH251" s="515">
        <f t="shared" si="1444"/>
        <v>0</v>
      </c>
      <c r="BI251" s="515">
        <f t="shared" si="1444"/>
        <v>0</v>
      </c>
      <c r="BJ251" s="515">
        <f t="shared" si="1444"/>
        <v>0</v>
      </c>
      <c r="BK251" s="515">
        <f t="shared" si="1444"/>
        <v>0</v>
      </c>
      <c r="BL251" s="515">
        <f t="shared" si="1444"/>
        <v>0</v>
      </c>
      <c r="BM251" s="515">
        <f t="shared" si="1444"/>
        <v>0</v>
      </c>
      <c r="BN251" s="515">
        <f t="shared" si="1444"/>
        <v>0</v>
      </c>
      <c r="BO251" s="515">
        <f t="shared" si="1444"/>
        <v>0</v>
      </c>
      <c r="BP251" s="515">
        <f t="shared" si="1444"/>
        <v>0</v>
      </c>
      <c r="BQ251" s="515">
        <f t="shared" si="1444"/>
        <v>0</v>
      </c>
      <c r="BR251" s="515">
        <f t="shared" si="1444"/>
        <v>0</v>
      </c>
      <c r="BS251" s="515">
        <f t="shared" si="1444"/>
        <v>0</v>
      </c>
      <c r="BT251" s="515">
        <f t="shared" ref="BT251:BU251" si="1445">SUM(BT153,BT206)</f>
        <v>0</v>
      </c>
      <c r="BU251" s="515">
        <f t="shared" si="1445"/>
        <v>0</v>
      </c>
      <c r="BV251" s="515">
        <f t="shared" ref="BV251:BY251" si="1446">SUM(BV153,BV206)</f>
        <v>0</v>
      </c>
      <c r="BW251" s="515">
        <f t="shared" si="1446"/>
        <v>0</v>
      </c>
      <c r="BX251" s="515">
        <f t="shared" si="1446"/>
        <v>0</v>
      </c>
      <c r="BY251" s="515">
        <f t="shared" si="1446"/>
        <v>0</v>
      </c>
      <c r="BZ251" s="515">
        <f t="shared" ref="BZ251:CA251" si="1447">SUM(BZ153,BZ206)</f>
        <v>0</v>
      </c>
      <c r="CA251" s="515">
        <f t="shared" si="1447"/>
        <v>0</v>
      </c>
      <c r="CB251" s="515">
        <f t="shared" ref="CB251:CG251" si="1448">SUM(CB153,CB206)</f>
        <v>0</v>
      </c>
      <c r="CC251" s="515">
        <f t="shared" si="1448"/>
        <v>0</v>
      </c>
      <c r="CD251" s="515">
        <f t="shared" si="1448"/>
        <v>0</v>
      </c>
      <c r="CE251" s="515">
        <f t="shared" si="1448"/>
        <v>0</v>
      </c>
      <c r="CF251" s="515">
        <f t="shared" si="1448"/>
        <v>0</v>
      </c>
      <c r="CG251" s="515">
        <f t="shared" si="1448"/>
        <v>0</v>
      </c>
      <c r="CH251" s="515">
        <f t="shared" ref="CH251:CI251" si="1449">SUM(CH153,CH206)</f>
        <v>0</v>
      </c>
      <c r="CI251" s="515">
        <f t="shared" si="1449"/>
        <v>0</v>
      </c>
      <c r="CJ251" s="515">
        <v>0</v>
      </c>
      <c r="CK251" s="515">
        <f t="shared" ref="CK251" si="1450">SUM(CK153,CK206)</f>
        <v>0</v>
      </c>
      <c r="CL251" s="515">
        <f t="shared" ref="CL251:CO251" si="1451">SUM(CL153,CL206)</f>
        <v>0</v>
      </c>
      <c r="CM251" s="515">
        <f t="shared" si="1451"/>
        <v>0</v>
      </c>
      <c r="CN251" s="515">
        <f t="shared" si="1451"/>
        <v>0</v>
      </c>
      <c r="CO251" s="515">
        <f t="shared" si="1451"/>
        <v>0</v>
      </c>
    </row>
    <row r="252" spans="1:93" s="483" customFormat="1" x14ac:dyDescent="0.25">
      <c r="A252" s="713" t="s">
        <v>695</v>
      </c>
      <c r="B252" s="513"/>
      <c r="C252" s="513"/>
      <c r="D252" s="513"/>
      <c r="E252" s="513"/>
      <c r="F252" s="514"/>
      <c r="G252" s="513"/>
      <c r="H252" s="513"/>
      <c r="I252" s="513"/>
      <c r="J252" s="514"/>
      <c r="K252" s="513"/>
      <c r="L252" s="513"/>
      <c r="M252" s="513"/>
      <c r="N252" s="514"/>
      <c r="O252" s="513"/>
      <c r="P252" s="513"/>
      <c r="Q252" s="513"/>
      <c r="R252" s="514"/>
      <c r="S252" s="513"/>
      <c r="T252" s="513"/>
      <c r="U252" s="513"/>
      <c r="V252" s="513"/>
      <c r="W252" s="515"/>
      <c r="X252" s="516"/>
      <c r="Y252" s="517"/>
      <c r="Z252" s="515"/>
      <c r="AA252" s="513"/>
      <c r="AB252" s="513"/>
      <c r="AC252" s="515"/>
      <c r="AD252" s="515"/>
      <c r="AE252" s="516"/>
      <c r="AF252" s="515"/>
      <c r="AG252" s="515"/>
      <c r="AH252" s="515"/>
      <c r="AI252" s="515"/>
      <c r="AJ252" s="515"/>
      <c r="AK252" s="515"/>
      <c r="AL252" s="516"/>
      <c r="AM252" s="515"/>
      <c r="AN252" s="515"/>
      <c r="AO252" s="515"/>
      <c r="AP252" s="515"/>
      <c r="AQ252" s="515"/>
      <c r="AR252" s="515"/>
      <c r="AS252" s="516"/>
      <c r="AT252" s="757">
        <v>200</v>
      </c>
      <c r="AU252" s="758">
        <v>16929</v>
      </c>
      <c r="AV252" s="758"/>
      <c r="AW252" s="758"/>
      <c r="AX252" s="758">
        <v>16323</v>
      </c>
      <c r="AY252" s="758"/>
      <c r="AZ252" s="758"/>
      <c r="BA252" s="758"/>
      <c r="BB252" s="758"/>
      <c r="BC252" s="758"/>
      <c r="BD252" s="758"/>
      <c r="BE252" s="758"/>
      <c r="BF252" s="758"/>
      <c r="BG252" s="758"/>
      <c r="BH252" s="758"/>
      <c r="BI252" s="758"/>
      <c r="BJ252" s="758"/>
      <c r="BK252" s="758"/>
      <c r="BL252" s="758"/>
      <c r="BM252" s="758"/>
      <c r="BN252" s="758"/>
      <c r="BO252" s="758"/>
      <c r="BP252" s="758"/>
      <c r="BQ252" s="758"/>
      <c r="BR252" s="758"/>
      <c r="BS252" s="758"/>
      <c r="BT252" s="758"/>
      <c r="BU252" s="758"/>
      <c r="BV252" s="758"/>
      <c r="BW252" s="758"/>
      <c r="BX252" s="758"/>
      <c r="BY252" s="758"/>
      <c r="BZ252" s="758"/>
      <c r="CA252" s="758"/>
      <c r="CB252" s="758"/>
      <c r="CC252" s="758"/>
      <c r="CD252" s="758"/>
      <c r="CE252" s="758"/>
      <c r="CF252" s="758"/>
      <c r="CG252" s="758"/>
      <c r="CH252" s="758"/>
      <c r="CI252" s="758"/>
      <c r="CJ252" s="758"/>
      <c r="CK252" s="758"/>
      <c r="CL252" s="758"/>
      <c r="CM252" s="758"/>
      <c r="CN252" s="758"/>
      <c r="CO252" s="758"/>
    </row>
    <row r="253" spans="1:93" s="423" customFormat="1" ht="13" x14ac:dyDescent="0.3">
      <c r="A253" s="501" t="str">
        <f>Language!C189</f>
        <v>Resultado Financeiro</v>
      </c>
      <c r="B253" s="423">
        <f t="shared" ref="B253:AL253" si="1452">SUM(B254,B255,B256,B257,B258)</f>
        <v>-12145</v>
      </c>
      <c r="C253" s="423">
        <f t="shared" si="1452"/>
        <v>-11910</v>
      </c>
      <c r="D253" s="423">
        <f t="shared" si="1452"/>
        <v>-13820</v>
      </c>
      <c r="E253" s="423">
        <f t="shared" si="1452"/>
        <v>-9955</v>
      </c>
      <c r="F253" s="462">
        <f t="shared" si="1452"/>
        <v>-11943</v>
      </c>
      <c r="G253" s="423">
        <f t="shared" si="1452"/>
        <v>-12017</v>
      </c>
      <c r="H253" s="423">
        <f t="shared" si="1452"/>
        <v>-11406</v>
      </c>
      <c r="I253" s="423">
        <f t="shared" si="1452"/>
        <v>-9418</v>
      </c>
      <c r="J253" s="462">
        <f t="shared" si="1452"/>
        <v>-9085</v>
      </c>
      <c r="K253" s="423">
        <f t="shared" si="1452"/>
        <v>-10055</v>
      </c>
      <c r="L253" s="423">
        <f t="shared" si="1452"/>
        <v>-11616</v>
      </c>
      <c r="M253" s="423">
        <f t="shared" si="1452"/>
        <v>-12592</v>
      </c>
      <c r="N253" s="462">
        <f t="shared" si="1452"/>
        <v>-12163</v>
      </c>
      <c r="O253" s="423">
        <f t="shared" si="1452"/>
        <v>-13040</v>
      </c>
      <c r="P253" s="423">
        <f t="shared" si="1452"/>
        <v>-19260</v>
      </c>
      <c r="Q253" s="423">
        <f t="shared" si="1452"/>
        <v>-24815</v>
      </c>
      <c r="R253" s="462">
        <f t="shared" si="1452"/>
        <v>-55649</v>
      </c>
      <c r="S253" s="461">
        <f t="shared" si="1452"/>
        <v>-63934</v>
      </c>
      <c r="T253" s="461">
        <f t="shared" si="1452"/>
        <v>-64312</v>
      </c>
      <c r="U253" s="461">
        <f t="shared" si="1452"/>
        <v>-113604</v>
      </c>
      <c r="V253" s="461">
        <f t="shared" si="1452"/>
        <v>-119583</v>
      </c>
      <c r="W253" s="502">
        <f t="shared" si="1452"/>
        <v>-183895</v>
      </c>
      <c r="X253" s="503">
        <f t="shared" si="1452"/>
        <v>-297499</v>
      </c>
      <c r="Y253" s="504">
        <f t="shared" si="1452"/>
        <v>-100109</v>
      </c>
      <c r="Z253" s="502">
        <f t="shared" si="1452"/>
        <v>-110435</v>
      </c>
      <c r="AA253" s="461">
        <f t="shared" si="1452"/>
        <v>-97311</v>
      </c>
      <c r="AB253" s="461">
        <f t="shared" si="1452"/>
        <v>-136590</v>
      </c>
      <c r="AC253" s="502">
        <f t="shared" si="1452"/>
        <v>-210544</v>
      </c>
      <c r="AD253" s="502">
        <f t="shared" si="1452"/>
        <v>-307855</v>
      </c>
      <c r="AE253" s="503">
        <f t="shared" si="1452"/>
        <v>-444445</v>
      </c>
      <c r="AF253" s="502">
        <f t="shared" si="1452"/>
        <v>-126947</v>
      </c>
      <c r="AG253" s="502">
        <f t="shared" si="1230"/>
        <v>-94718</v>
      </c>
      <c r="AH253" s="502">
        <f t="shared" si="974"/>
        <v>-81704</v>
      </c>
      <c r="AI253" s="502">
        <f t="shared" si="975"/>
        <v>-231741</v>
      </c>
      <c r="AJ253" s="502">
        <f t="shared" si="1452"/>
        <v>-221665</v>
      </c>
      <c r="AK253" s="502">
        <f t="shared" si="1452"/>
        <v>-303369</v>
      </c>
      <c r="AL253" s="503">
        <f t="shared" si="1452"/>
        <v>-535110</v>
      </c>
      <c r="AM253" s="502">
        <f>SUM(AM254:AM259)</f>
        <v>-72243</v>
      </c>
      <c r="AN253" s="502">
        <f t="shared" si="976"/>
        <v>-76600</v>
      </c>
      <c r="AO253" s="502">
        <f t="shared" si="977"/>
        <v>-78225</v>
      </c>
      <c r="AP253" s="502">
        <f t="shared" si="977"/>
        <v>-118248</v>
      </c>
      <c r="AQ253" s="502">
        <f>SUM(AQ254:AQ259)</f>
        <v>-148843</v>
      </c>
      <c r="AR253" s="502">
        <f>SUM(AR254:AR259)</f>
        <v>-227068</v>
      </c>
      <c r="AS253" s="503">
        <f>SUM(AS254:AS259)</f>
        <v>-345316</v>
      </c>
      <c r="AT253" s="502">
        <f>SUM(AT254:AT259)</f>
        <v>-74080.988299999997</v>
      </c>
      <c r="AU253" s="502">
        <f t="shared" ref="AU253" si="1453">SUM(AU254:AU259)</f>
        <v>-87703.3606</v>
      </c>
      <c r="AV253" s="502">
        <f>SUM(AV254:AV259)</f>
        <v>-83649.011200000008</v>
      </c>
      <c r="AW253" s="502">
        <f t="shared" si="978"/>
        <v>-54941.922399999981</v>
      </c>
      <c r="AX253" s="502">
        <f t="shared" ref="AX253:BE253" si="1454">SUM(AX254:AX259)</f>
        <v>-161784.34889999998</v>
      </c>
      <c r="AY253" s="502">
        <f>SUM(AY254:AY260)</f>
        <v>-243202.36009999999</v>
      </c>
      <c r="AZ253" s="502">
        <f t="shared" si="1454"/>
        <v>-298144.28249999997</v>
      </c>
      <c r="BA253" s="502">
        <f t="shared" si="1454"/>
        <v>-31242</v>
      </c>
      <c r="BB253" s="502">
        <f t="shared" si="1454"/>
        <v>-7855</v>
      </c>
      <c r="BC253" s="502">
        <f t="shared" si="1454"/>
        <v>-38640</v>
      </c>
      <c r="BD253" s="502">
        <f t="shared" si="1454"/>
        <v>17150</v>
      </c>
      <c r="BE253" s="502">
        <f t="shared" si="1454"/>
        <v>-39097</v>
      </c>
      <c r="BF253" s="502">
        <f t="shared" ref="BF253:BG253" si="1455">SUM(BF254:BF259)</f>
        <v>-77737</v>
      </c>
      <c r="BG253" s="502">
        <f t="shared" si="1455"/>
        <v>-60587</v>
      </c>
      <c r="BH253" s="502">
        <f t="shared" ref="BH253:BL253" si="1456">SUM(BH254:BH259)</f>
        <v>-45025</v>
      </c>
      <c r="BI253" s="502">
        <f t="shared" si="1456"/>
        <v>-29113</v>
      </c>
      <c r="BJ253" s="502">
        <f t="shared" si="1456"/>
        <v>29939</v>
      </c>
      <c r="BK253" s="502">
        <f t="shared" si="1456"/>
        <v>-63041</v>
      </c>
      <c r="BL253" s="502">
        <f t="shared" si="1456"/>
        <v>-74138</v>
      </c>
      <c r="BM253" s="502">
        <f t="shared" ref="BM253:BN253" si="1457">SUM(BM254:BM259)</f>
        <v>-44199</v>
      </c>
      <c r="BN253" s="502">
        <f t="shared" si="1457"/>
        <v>-107240</v>
      </c>
      <c r="BO253" s="502">
        <f t="shared" ref="BO253:BS253" si="1458">SUM(BO254:BO259)</f>
        <v>-42590</v>
      </c>
      <c r="BP253" s="502">
        <f t="shared" si="1458"/>
        <v>-75708</v>
      </c>
      <c r="BQ253" s="502">
        <f t="shared" si="1458"/>
        <v>-13076</v>
      </c>
      <c r="BR253" s="502">
        <f t="shared" si="1458"/>
        <v>-19037</v>
      </c>
      <c r="BS253" s="502">
        <f t="shared" si="1458"/>
        <v>-118298</v>
      </c>
      <c r="BT253" s="502">
        <f t="shared" ref="BT253:BU253" si="1459">SUM(BT254:BT259)</f>
        <v>-131374</v>
      </c>
      <c r="BU253" s="502">
        <f t="shared" si="1459"/>
        <v>-150411</v>
      </c>
      <c r="BV253" s="502">
        <f t="shared" ref="BV253:BY253" si="1460">SUM(BV254:BV259)</f>
        <v>-54616</v>
      </c>
      <c r="BW253" s="502">
        <f t="shared" si="1460"/>
        <v>-47044</v>
      </c>
      <c r="BX253" s="502">
        <f t="shared" si="1460"/>
        <v>-30747</v>
      </c>
      <c r="BY253" s="502">
        <f t="shared" si="1460"/>
        <v>-33980</v>
      </c>
      <c r="BZ253" s="502">
        <f t="shared" ref="BZ253:CA253" si="1461">SUM(BZ254:BZ259)</f>
        <v>-101660</v>
      </c>
      <c r="CA253" s="502">
        <f t="shared" si="1461"/>
        <v>-132407</v>
      </c>
      <c r="CB253" s="502">
        <f t="shared" ref="CB253:CC253" si="1462">SUM(CB254:CB259)</f>
        <v>-166387</v>
      </c>
      <c r="CC253" s="502">
        <f t="shared" si="1462"/>
        <v>-38007</v>
      </c>
      <c r="CD253" s="502">
        <f t="shared" ref="CD253" si="1463">SUM(CD254:CD259)</f>
        <v>-34650</v>
      </c>
      <c r="CE253" s="502">
        <f t="shared" ref="CE253:CG253" si="1464">SUM(CE254:CE259)</f>
        <v>-71818</v>
      </c>
      <c r="CF253" s="502">
        <f t="shared" si="1464"/>
        <v>-120254</v>
      </c>
      <c r="CG253" s="502">
        <f t="shared" si="1464"/>
        <v>-72657</v>
      </c>
      <c r="CH253" s="502">
        <f>SUM(CH254:CH259)</f>
        <v>-144475</v>
      </c>
      <c r="CI253" s="502">
        <f t="shared" ref="CI253" si="1465">SUM(CI254:CI259)</f>
        <v>-264729</v>
      </c>
      <c r="CJ253" s="502">
        <v>-48858</v>
      </c>
      <c r="CK253" s="502">
        <f t="shared" ref="CK253:CO253" si="1466">SUM(CK254:CK259)</f>
        <v>-49736</v>
      </c>
      <c r="CL253" s="502">
        <f t="shared" si="1466"/>
        <v>0</v>
      </c>
      <c r="CM253" s="502">
        <f t="shared" si="1466"/>
        <v>0</v>
      </c>
      <c r="CN253" s="502">
        <f t="shared" si="1466"/>
        <v>-98594</v>
      </c>
      <c r="CO253" s="502">
        <f t="shared" si="1466"/>
        <v>0</v>
      </c>
    </row>
    <row r="254" spans="1:93" s="289" customFormat="1" x14ac:dyDescent="0.25">
      <c r="A254" s="523" t="str">
        <f>Language!C190</f>
        <v>Concepa</v>
      </c>
      <c r="B254" s="278">
        <v>-7938</v>
      </c>
      <c r="C254" s="278">
        <v>-6044</v>
      </c>
      <c r="D254" s="278">
        <v>-7489</v>
      </c>
      <c r="E254" s="278">
        <v>-4828</v>
      </c>
      <c r="F254" s="279">
        <v>-5235</v>
      </c>
      <c r="G254" s="278">
        <v>-8230</v>
      </c>
      <c r="H254" s="278">
        <v>-7644</v>
      </c>
      <c r="I254" s="278">
        <v>-5550</v>
      </c>
      <c r="J254" s="279">
        <v>-4888</v>
      </c>
      <c r="K254" s="278">
        <v>-4763</v>
      </c>
      <c r="L254" s="278">
        <v>-5047</v>
      </c>
      <c r="M254" s="278">
        <v>-5042</v>
      </c>
      <c r="N254" s="279">
        <v>-5462</v>
      </c>
      <c r="O254" s="278">
        <v>-5198</v>
      </c>
      <c r="P254" s="278">
        <v>-5653</v>
      </c>
      <c r="Q254" s="278">
        <v>-6395</v>
      </c>
      <c r="R254" s="279">
        <v>-15193</v>
      </c>
      <c r="S254" s="280">
        <v>-14953</v>
      </c>
      <c r="T254" s="280">
        <f t="shared" ref="T254:T258" si="1467">W254-S254-R254</f>
        <v>-19491</v>
      </c>
      <c r="U254" s="280">
        <f>X254-W254</f>
        <v>-21730</v>
      </c>
      <c r="V254" s="280">
        <f t="shared" ref="V254:V258" si="1468">R254+S254</f>
        <v>-30146</v>
      </c>
      <c r="W254" s="281">
        <v>-49637</v>
      </c>
      <c r="X254" s="282">
        <v>-71367</v>
      </c>
      <c r="Y254" s="283">
        <v>-19508</v>
      </c>
      <c r="Z254" s="281">
        <f t="shared" ref="Z254:Z258" si="1469">AC254-Y254</f>
        <v>-12503</v>
      </c>
      <c r="AA254" s="280">
        <f t="shared" ref="AA254:AA258" si="1470">AD254-Z254-Y254</f>
        <v>-7573</v>
      </c>
      <c r="AB254" s="280">
        <f>AE254-AD254</f>
        <v>-17423</v>
      </c>
      <c r="AC254" s="281">
        <v>-32011</v>
      </c>
      <c r="AD254" s="281">
        <v>-39584</v>
      </c>
      <c r="AE254" s="282">
        <v>-57007</v>
      </c>
      <c r="AF254" s="281">
        <v>1473.7206396626505</v>
      </c>
      <c r="AG254" s="281">
        <f t="shared" si="1230"/>
        <v>7403.1347273068868</v>
      </c>
      <c r="AH254" s="281">
        <f t="shared" si="974"/>
        <v>-379.38377836827385</v>
      </c>
      <c r="AI254" s="281">
        <f t="shared" si="975"/>
        <v>-184004.47158860127</v>
      </c>
      <c r="AJ254" s="281">
        <v>8876.8553669695375</v>
      </c>
      <c r="AK254" s="281">
        <v>8497.4715886012636</v>
      </c>
      <c r="AL254" s="282">
        <v>-175507</v>
      </c>
      <c r="AM254" s="281">
        <v>-870</v>
      </c>
      <c r="AN254" s="281">
        <f t="shared" si="976"/>
        <v>178</v>
      </c>
      <c r="AO254" s="281">
        <f t="shared" si="977"/>
        <v>-67</v>
      </c>
      <c r="AP254" s="281">
        <f t="shared" si="977"/>
        <v>-26737</v>
      </c>
      <c r="AQ254" s="281">
        <v>-692</v>
      </c>
      <c r="AR254" s="281">
        <v>-759</v>
      </c>
      <c r="AS254" s="282">
        <v>-27496</v>
      </c>
      <c r="AT254" s="281">
        <v>0</v>
      </c>
      <c r="AU254" s="281">
        <f>AX254-AT254</f>
        <v>-1558</v>
      </c>
      <c r="AV254" s="281">
        <f>AY254-AX254</f>
        <v>-451</v>
      </c>
      <c r="AW254" s="281">
        <f t="shared" si="978"/>
        <v>2009</v>
      </c>
      <c r="AX254" s="281">
        <v>-1558</v>
      </c>
      <c r="AY254" s="302">
        <v>-2009</v>
      </c>
      <c r="AZ254" s="302">
        <v>0</v>
      </c>
      <c r="BA254" s="281">
        <v>0</v>
      </c>
      <c r="BB254" s="281">
        <f>BE254-BA254</f>
        <v>0</v>
      </c>
      <c r="BC254" s="281">
        <f>BF254-BE254</f>
        <v>0</v>
      </c>
      <c r="BD254" s="281">
        <f>BG254-BF254</f>
        <v>0</v>
      </c>
      <c r="BE254" s="281">
        <v>0</v>
      </c>
      <c r="BF254" s="281">
        <v>0</v>
      </c>
      <c r="BG254" s="281">
        <v>0</v>
      </c>
      <c r="BH254" s="281">
        <v>0</v>
      </c>
      <c r="BI254" s="281"/>
      <c r="BJ254" s="281"/>
      <c r="BK254" s="281"/>
      <c r="BL254" s="281">
        <v>0</v>
      </c>
      <c r="BM254" s="281">
        <v>0</v>
      </c>
      <c r="BN254" s="281">
        <v>0</v>
      </c>
      <c r="BO254" s="281">
        <v>0</v>
      </c>
      <c r="BP254" s="281">
        <f>BS254-BO254</f>
        <v>0</v>
      </c>
      <c r="BQ254" s="281">
        <f>BT254-BS254</f>
        <v>0</v>
      </c>
      <c r="BR254" s="281">
        <f>BU254-BT254</f>
        <v>0</v>
      </c>
      <c r="BS254" s="302">
        <v>0</v>
      </c>
      <c r="BT254" s="302">
        <v>0</v>
      </c>
      <c r="BU254" s="302">
        <v>0</v>
      </c>
      <c r="BV254" s="302">
        <v>0</v>
      </c>
      <c r="BW254" s="302">
        <f>BZ254-BV254</f>
        <v>0</v>
      </c>
      <c r="BX254" s="302">
        <f>CA254-BZ254</f>
        <v>0</v>
      </c>
      <c r="BY254" s="302">
        <f>CB254-CA254</f>
        <v>0</v>
      </c>
      <c r="BZ254" s="302">
        <v>0</v>
      </c>
      <c r="CA254" s="302">
        <v>0</v>
      </c>
      <c r="CB254" s="302">
        <v>0</v>
      </c>
      <c r="CC254" s="302">
        <v>0</v>
      </c>
      <c r="CD254" s="302">
        <f>CG254-CC254</f>
        <v>0</v>
      </c>
      <c r="CE254" s="302">
        <f>CH254-CG254</f>
        <v>0</v>
      </c>
      <c r="CF254" s="302">
        <f>CI254-CH254</f>
        <v>0</v>
      </c>
      <c r="CG254" s="302">
        <v>0</v>
      </c>
      <c r="CH254" s="302">
        <v>0</v>
      </c>
      <c r="CI254" s="302">
        <v>0</v>
      </c>
      <c r="CJ254" s="302">
        <v>0</v>
      </c>
      <c r="CK254" s="302">
        <f>CN254-CJ254</f>
        <v>0</v>
      </c>
      <c r="CL254" s="302"/>
      <c r="CM254" s="302"/>
      <c r="CN254" s="302">
        <v>0</v>
      </c>
      <c r="CO254" s="302"/>
    </row>
    <row r="255" spans="1:93" s="289" customFormat="1" x14ac:dyDescent="0.25">
      <c r="A255" s="523" t="str">
        <f>Language!C191</f>
        <v>Concer</v>
      </c>
      <c r="B255" s="278">
        <v>-1876</v>
      </c>
      <c r="C255" s="278">
        <v>-1486</v>
      </c>
      <c r="D255" s="278">
        <v>-2378</v>
      </c>
      <c r="E255" s="278">
        <v>-1677</v>
      </c>
      <c r="F255" s="279">
        <v>-3475</v>
      </c>
      <c r="G255" s="278">
        <v>-1675</v>
      </c>
      <c r="H255" s="278">
        <v>-1523</v>
      </c>
      <c r="I255" s="278">
        <v>-1477</v>
      </c>
      <c r="J255" s="279">
        <v>-2298</v>
      </c>
      <c r="K255" s="278">
        <v>-3230</v>
      </c>
      <c r="L255" s="278">
        <v>-3939</v>
      </c>
      <c r="M255" s="278">
        <v>-4494</v>
      </c>
      <c r="N255" s="279">
        <v>-5043</v>
      </c>
      <c r="O255" s="278">
        <v>-5716</v>
      </c>
      <c r="P255" s="278">
        <v>-7365</v>
      </c>
      <c r="Q255" s="278">
        <v>-10442</v>
      </c>
      <c r="R255" s="279">
        <v>-16836</v>
      </c>
      <c r="S255" s="280">
        <v>-19572</v>
      </c>
      <c r="T255" s="280">
        <f t="shared" si="1467"/>
        <v>-17982</v>
      </c>
      <c r="U255" s="280">
        <f>X255-W255</f>
        <v>-24321</v>
      </c>
      <c r="V255" s="280">
        <f t="shared" si="1468"/>
        <v>-36408</v>
      </c>
      <c r="W255" s="281">
        <v>-54390</v>
      </c>
      <c r="X255" s="282">
        <v>-78711</v>
      </c>
      <c r="Y255" s="283">
        <v>-23469</v>
      </c>
      <c r="Z255" s="281">
        <f t="shared" si="1469"/>
        <v>-27263</v>
      </c>
      <c r="AA255" s="280">
        <f t="shared" si="1470"/>
        <v>-26190</v>
      </c>
      <c r="AB255" s="280">
        <f>AE255-AD255</f>
        <v>-28226</v>
      </c>
      <c r="AC255" s="281">
        <v>-50732</v>
      </c>
      <c r="AD255" s="281">
        <v>-76922</v>
      </c>
      <c r="AE255" s="282">
        <v>-105148</v>
      </c>
      <c r="AF255" s="281">
        <v>-27051.397010650249</v>
      </c>
      <c r="AG255" s="281">
        <f t="shared" si="1230"/>
        <v>-22084.907339146677</v>
      </c>
      <c r="AH255" s="281">
        <f t="shared" si="974"/>
        <v>-18805.978055725245</v>
      </c>
      <c r="AI255" s="281">
        <f t="shared" si="975"/>
        <v>7650.2824055221718</v>
      </c>
      <c r="AJ255" s="281">
        <v>-49136.304349796927</v>
      </c>
      <c r="AK255" s="281">
        <v>-67942.282405522172</v>
      </c>
      <c r="AL255" s="282">
        <v>-60292</v>
      </c>
      <c r="AM255" s="281">
        <v>-8344</v>
      </c>
      <c r="AN255" s="281">
        <f t="shared" si="976"/>
        <v>-9780</v>
      </c>
      <c r="AO255" s="281">
        <f t="shared" si="977"/>
        <v>-9509</v>
      </c>
      <c r="AP255" s="281">
        <f t="shared" si="977"/>
        <v>-9038</v>
      </c>
      <c r="AQ255" s="281">
        <v>-18124</v>
      </c>
      <c r="AR255" s="281">
        <v>-27633</v>
      </c>
      <c r="AS255" s="282">
        <v>-36671</v>
      </c>
      <c r="AT255" s="281">
        <v>-9052.9882999999991</v>
      </c>
      <c r="AU255" s="281">
        <f t="shared" ref="AU255:AU259" si="1471">AX255-AT255</f>
        <v>-9475.3606000000018</v>
      </c>
      <c r="AV255" s="281">
        <f t="shared" ref="AV255:AV259" si="1472">AY255-AX255</f>
        <v>-9947.0112000000008</v>
      </c>
      <c r="AW255" s="281">
        <f t="shared" si="978"/>
        <v>-8215.9223999999922</v>
      </c>
      <c r="AX255" s="281">
        <v>-18528.348900000001</v>
      </c>
      <c r="AY255" s="281">
        <v>-28475.360100000002</v>
      </c>
      <c r="AZ255" s="281">
        <v>-36691.282499999994</v>
      </c>
      <c r="BA255" s="281">
        <v>-6752</v>
      </c>
      <c r="BB255" s="281">
        <f t="shared" ref="BB255:BB259" si="1473">BE255-BA255</f>
        <v>-6064</v>
      </c>
      <c r="BC255" s="281">
        <f t="shared" ref="BC255:BC259" si="1474">BF255-BE255</f>
        <v>-4060</v>
      </c>
      <c r="BD255" s="281">
        <f t="shared" ref="BD255:BD259" si="1475">BG255-BF255</f>
        <v>33671</v>
      </c>
      <c r="BE255" s="281">
        <v>-12816</v>
      </c>
      <c r="BF255" s="281">
        <v>-16876</v>
      </c>
      <c r="BG255" s="281">
        <v>16795</v>
      </c>
      <c r="BH255" s="281">
        <v>-4244</v>
      </c>
      <c r="BI255" s="281">
        <f>BL255-BH255</f>
        <v>2779</v>
      </c>
      <c r="BJ255" s="281">
        <f>BM255-BL255</f>
        <v>-5008</v>
      </c>
      <c r="BK255" s="281">
        <f>BN255-BM255</f>
        <v>-5931</v>
      </c>
      <c r="BL255" s="281">
        <v>-1465</v>
      </c>
      <c r="BM255" s="281">
        <v>-6473</v>
      </c>
      <c r="BN255" s="281">
        <v>-12404</v>
      </c>
      <c r="BO255" s="281">
        <v>-5385</v>
      </c>
      <c r="BP255" s="281">
        <f t="shared" ref="BP255:BP259" si="1476">BS255-BO255</f>
        <v>-6543</v>
      </c>
      <c r="BQ255" s="281">
        <f t="shared" ref="BQ255:BQ259" si="1477">BT255-BS255</f>
        <v>-4737</v>
      </c>
      <c r="BR255" s="281">
        <f t="shared" ref="BR255:BR259" si="1478">BU255-BT255</f>
        <v>-4434</v>
      </c>
      <c r="BS255" s="281">
        <v>-11928</v>
      </c>
      <c r="BT255" s="281">
        <v>-16665</v>
      </c>
      <c r="BU255" s="281">
        <v>-21099</v>
      </c>
      <c r="BV255" s="281">
        <v>-7078</v>
      </c>
      <c r="BW255" s="302">
        <f t="shared" ref="BW255:BW259" si="1479">BZ255-BV255</f>
        <v>-4290</v>
      </c>
      <c r="BX255" s="302">
        <f t="shared" ref="BX255:BX259" si="1480">CA255-BZ255</f>
        <v>-8127</v>
      </c>
      <c r="BY255" s="302">
        <f t="shared" ref="BY255:BY258" si="1481">CB255-CA255</f>
        <v>-5193</v>
      </c>
      <c r="BZ255" s="281">
        <v>-11368</v>
      </c>
      <c r="CA255" s="281">
        <v>-19495</v>
      </c>
      <c r="CB255" s="281">
        <v>-24688</v>
      </c>
      <c r="CC255" s="281">
        <v>-604</v>
      </c>
      <c r="CD255" s="302">
        <f t="shared" ref="CD255:CD259" si="1482">CG255-CC255</f>
        <v>-6962</v>
      </c>
      <c r="CE255" s="302">
        <f t="shared" ref="CE255:CE259" si="1483">CH255-CG255</f>
        <v>-21876</v>
      </c>
      <c r="CF255" s="302">
        <f t="shared" ref="CF255:CF259" si="1484">CI255-CH255</f>
        <v>-72528</v>
      </c>
      <c r="CG255" s="281">
        <v>-7566</v>
      </c>
      <c r="CH255" s="281">
        <v>-29442</v>
      </c>
      <c r="CI255" s="281">
        <v>-101970</v>
      </c>
      <c r="CJ255" s="281">
        <v>-6952</v>
      </c>
      <c r="CK255" s="302">
        <f t="shared" ref="CK255:CK259" si="1485">CN255-CJ255</f>
        <v>-5191</v>
      </c>
      <c r="CL255" s="281"/>
      <c r="CM255" s="281"/>
      <c r="CN255" s="281">
        <v>-12143</v>
      </c>
      <c r="CO255" s="281"/>
    </row>
    <row r="256" spans="1:93" s="289" customFormat="1" x14ac:dyDescent="0.25">
      <c r="A256" s="523" t="str">
        <f>Language!C192</f>
        <v>Econorte</v>
      </c>
      <c r="B256" s="278">
        <v>-2331</v>
      </c>
      <c r="C256" s="278">
        <v>-4380</v>
      </c>
      <c r="D256" s="278">
        <v>-3953</v>
      </c>
      <c r="E256" s="278">
        <v>-3450</v>
      </c>
      <c r="F256" s="279">
        <v>-3233</v>
      </c>
      <c r="G256" s="278">
        <v>-2112</v>
      </c>
      <c r="H256" s="278">
        <v>-2239</v>
      </c>
      <c r="I256" s="278">
        <v>-2391</v>
      </c>
      <c r="J256" s="279">
        <v>-1899</v>
      </c>
      <c r="K256" s="278">
        <v>-2062</v>
      </c>
      <c r="L256" s="278">
        <v>-2630</v>
      </c>
      <c r="M256" s="278">
        <v>-3056</v>
      </c>
      <c r="N256" s="279">
        <v>-5082</v>
      </c>
      <c r="O256" s="278">
        <v>-6026</v>
      </c>
      <c r="P256" s="278">
        <v>-8809</v>
      </c>
      <c r="Q256" s="278">
        <v>-5944</v>
      </c>
      <c r="R256" s="279">
        <v>-7775</v>
      </c>
      <c r="S256" s="280">
        <v>-11738</v>
      </c>
      <c r="T256" s="280">
        <f t="shared" si="1467"/>
        <v>-11314</v>
      </c>
      <c r="U256" s="280">
        <f>X256-W256</f>
        <v>-12852</v>
      </c>
      <c r="V256" s="280">
        <f t="shared" si="1468"/>
        <v>-19513</v>
      </c>
      <c r="W256" s="281">
        <v>-30827</v>
      </c>
      <c r="X256" s="282">
        <v>-43679</v>
      </c>
      <c r="Y256" s="283">
        <v>-14716</v>
      </c>
      <c r="Z256" s="281">
        <f t="shared" si="1469"/>
        <v>-11126</v>
      </c>
      <c r="AA256" s="280">
        <f t="shared" si="1470"/>
        <v>-10463</v>
      </c>
      <c r="AB256" s="280">
        <f>AE256-AD256</f>
        <v>-13976</v>
      </c>
      <c r="AC256" s="281">
        <v>-25842</v>
      </c>
      <c r="AD256" s="281">
        <v>-36305</v>
      </c>
      <c r="AE256" s="282">
        <v>-50281</v>
      </c>
      <c r="AF256" s="281">
        <v>-11013.015366112262</v>
      </c>
      <c r="AG256" s="281">
        <f t="shared" si="1230"/>
        <v>-9415.3966361723342</v>
      </c>
      <c r="AH256" s="281">
        <f t="shared" si="974"/>
        <v>-11015.784094452752</v>
      </c>
      <c r="AI256" s="281">
        <f t="shared" si="975"/>
        <v>-7770.8039032626511</v>
      </c>
      <c r="AJ256" s="281">
        <v>-20428.412002284596</v>
      </c>
      <c r="AK256" s="281">
        <v>-31444.196096737349</v>
      </c>
      <c r="AL256" s="282">
        <v>-39215</v>
      </c>
      <c r="AM256" s="281">
        <v>-8912</v>
      </c>
      <c r="AN256" s="281">
        <f t="shared" si="976"/>
        <v>-7279</v>
      </c>
      <c r="AO256" s="281">
        <f t="shared" si="977"/>
        <v>-8707</v>
      </c>
      <c r="AP256" s="281">
        <f t="shared" si="977"/>
        <v>-6245</v>
      </c>
      <c r="AQ256" s="281">
        <v>-16191</v>
      </c>
      <c r="AR256" s="281">
        <v>-24898</v>
      </c>
      <c r="AS256" s="282">
        <v>-31143</v>
      </c>
      <c r="AT256" s="281">
        <v>-6477</v>
      </c>
      <c r="AU256" s="281">
        <f t="shared" si="1471"/>
        <v>-11159</v>
      </c>
      <c r="AV256" s="281">
        <f t="shared" si="1472"/>
        <v>-5769</v>
      </c>
      <c r="AW256" s="281">
        <f t="shared" si="978"/>
        <v>-2868</v>
      </c>
      <c r="AX256" s="281">
        <v>-17636</v>
      </c>
      <c r="AY256" s="281">
        <v>-23405</v>
      </c>
      <c r="AZ256" s="281">
        <v>-26273</v>
      </c>
      <c r="BA256" s="281">
        <v>-2649</v>
      </c>
      <c r="BB256" s="281">
        <f t="shared" si="1473"/>
        <v>25597</v>
      </c>
      <c r="BC256" s="281">
        <f t="shared" si="1474"/>
        <v>-1730</v>
      </c>
      <c r="BD256" s="281">
        <f t="shared" si="1475"/>
        <v>-1708</v>
      </c>
      <c r="BE256" s="281">
        <v>22948</v>
      </c>
      <c r="BF256" s="281">
        <v>21218</v>
      </c>
      <c r="BG256" s="281">
        <v>19510</v>
      </c>
      <c r="BH256" s="281">
        <v>-498</v>
      </c>
      <c r="BI256" s="281">
        <f t="shared" ref="BI256:BI259" si="1486">BL256-BH256</f>
        <v>-88</v>
      </c>
      <c r="BJ256" s="281">
        <f t="shared" ref="BJ256:BJ258" si="1487">BM256-BL256</f>
        <v>-140</v>
      </c>
      <c r="BK256" s="281">
        <f t="shared" ref="BK256:BK259" si="1488">BN256-BM256</f>
        <v>301</v>
      </c>
      <c r="BL256" s="281">
        <v>-586</v>
      </c>
      <c r="BM256" s="281">
        <v>-726</v>
      </c>
      <c r="BN256" s="281">
        <v>-425</v>
      </c>
      <c r="BO256" s="281">
        <v>404</v>
      </c>
      <c r="BP256" s="281">
        <f t="shared" si="1476"/>
        <v>276</v>
      </c>
      <c r="BQ256" s="281">
        <f t="shared" si="1477"/>
        <v>213</v>
      </c>
      <c r="BR256" s="281">
        <f t="shared" si="1478"/>
        <v>130</v>
      </c>
      <c r="BS256" s="281">
        <v>680</v>
      </c>
      <c r="BT256" s="281">
        <v>893</v>
      </c>
      <c r="BU256" s="281">
        <v>1023</v>
      </c>
      <c r="BV256" s="281">
        <v>0</v>
      </c>
      <c r="BW256" s="302">
        <f t="shared" si="1479"/>
        <v>0</v>
      </c>
      <c r="BX256" s="302">
        <f t="shared" si="1480"/>
        <v>0</v>
      </c>
      <c r="BY256" s="302">
        <f t="shared" si="1481"/>
        <v>0</v>
      </c>
      <c r="BZ256" s="281">
        <v>0</v>
      </c>
      <c r="CA256" s="281">
        <v>0</v>
      </c>
      <c r="CB256" s="281">
        <v>0</v>
      </c>
      <c r="CC256" s="281">
        <v>0</v>
      </c>
      <c r="CD256" s="302">
        <f t="shared" si="1482"/>
        <v>0</v>
      </c>
      <c r="CE256" s="302">
        <f t="shared" si="1483"/>
        <v>0</v>
      </c>
      <c r="CF256" s="302">
        <f t="shared" si="1484"/>
        <v>0</v>
      </c>
      <c r="CG256" s="281">
        <v>0</v>
      </c>
      <c r="CH256" s="281">
        <v>0</v>
      </c>
      <c r="CI256" s="281">
        <v>0</v>
      </c>
      <c r="CJ256" s="281">
        <v>0</v>
      </c>
      <c r="CK256" s="302">
        <f t="shared" si="1485"/>
        <v>0</v>
      </c>
      <c r="CL256" s="281"/>
      <c r="CM256" s="281"/>
      <c r="CN256" s="281">
        <v>0</v>
      </c>
      <c r="CO256" s="281"/>
    </row>
    <row r="257" spans="1:93" s="289" customFormat="1" x14ac:dyDescent="0.25">
      <c r="A257" s="523" t="str">
        <f>Language!C193</f>
        <v>Concebra</v>
      </c>
      <c r="B257" s="278">
        <v>0</v>
      </c>
      <c r="C257" s="278">
        <v>0</v>
      </c>
      <c r="D257" s="278">
        <v>0</v>
      </c>
      <c r="E257" s="278">
        <v>0</v>
      </c>
      <c r="F257" s="279">
        <v>0</v>
      </c>
      <c r="G257" s="278">
        <v>0</v>
      </c>
      <c r="H257" s="278">
        <v>0</v>
      </c>
      <c r="I257" s="278">
        <v>0</v>
      </c>
      <c r="J257" s="279">
        <v>0</v>
      </c>
      <c r="K257" s="278">
        <v>0</v>
      </c>
      <c r="L257" s="278">
        <v>0</v>
      </c>
      <c r="M257" s="278">
        <v>0</v>
      </c>
      <c r="N257" s="279">
        <v>3424</v>
      </c>
      <c r="O257" s="278">
        <v>3900</v>
      </c>
      <c r="P257" s="278">
        <v>2567</v>
      </c>
      <c r="Q257" s="278">
        <v>-2034</v>
      </c>
      <c r="R257" s="279">
        <v>-7880</v>
      </c>
      <c r="S257" s="280">
        <v>-5344</v>
      </c>
      <c r="T257" s="280">
        <f t="shared" si="1467"/>
        <v>-3558</v>
      </c>
      <c r="U257" s="280">
        <f>X257-W257</f>
        <v>-40008</v>
      </c>
      <c r="V257" s="280">
        <f t="shared" si="1468"/>
        <v>-13224</v>
      </c>
      <c r="W257" s="281">
        <v>-16782</v>
      </c>
      <c r="X257" s="282">
        <v>-56790</v>
      </c>
      <c r="Y257" s="283">
        <v>-29682</v>
      </c>
      <c r="Z257" s="281">
        <f t="shared" si="1469"/>
        <v>-31014</v>
      </c>
      <c r="AA257" s="280">
        <f t="shared" si="1470"/>
        <v>-36949</v>
      </c>
      <c r="AB257" s="280">
        <f>AE257-AD257</f>
        <v>-66249</v>
      </c>
      <c r="AC257" s="281">
        <v>-60696</v>
      </c>
      <c r="AD257" s="281">
        <v>-97645</v>
      </c>
      <c r="AE257" s="282">
        <v>-163894</v>
      </c>
      <c r="AF257" s="281">
        <v>-68889.60533145543</v>
      </c>
      <c r="AG257" s="281">
        <f t="shared" si="1230"/>
        <v>-51666.260117667</v>
      </c>
      <c r="AH257" s="281">
        <f t="shared" si="974"/>
        <v>-43495.70075239717</v>
      </c>
      <c r="AI257" s="281">
        <f t="shared" si="975"/>
        <v>-36691.433798480401</v>
      </c>
      <c r="AJ257" s="281">
        <v>-120555.86544912243</v>
      </c>
      <c r="AK257" s="281">
        <v>-164051.5662015196</v>
      </c>
      <c r="AL257" s="282">
        <v>-200743</v>
      </c>
      <c r="AM257" s="281">
        <v>-47715</v>
      </c>
      <c r="AN257" s="281">
        <f t="shared" si="976"/>
        <v>-50948</v>
      </c>
      <c r="AO257" s="281">
        <f t="shared" si="977"/>
        <v>-51237</v>
      </c>
      <c r="AP257" s="281">
        <f t="shared" si="977"/>
        <v>-55083</v>
      </c>
      <c r="AQ257" s="281">
        <v>-98663</v>
      </c>
      <c r="AR257" s="281">
        <v>-149900</v>
      </c>
      <c r="AS257" s="282">
        <v>-204983</v>
      </c>
      <c r="AT257" s="281">
        <v>-50448</v>
      </c>
      <c r="AU257" s="281">
        <f t="shared" si="1471"/>
        <v>-58142</v>
      </c>
      <c r="AV257" s="281">
        <f t="shared" si="1472"/>
        <v>-59988</v>
      </c>
      <c r="AW257" s="281">
        <f t="shared" si="978"/>
        <v>-17664</v>
      </c>
      <c r="AX257" s="281">
        <v>-108590</v>
      </c>
      <c r="AY257" s="281">
        <v>-168578</v>
      </c>
      <c r="AZ257" s="281">
        <v>-186242</v>
      </c>
      <c r="BA257" s="281">
        <v>-8695</v>
      </c>
      <c r="BB257" s="281">
        <f t="shared" si="1473"/>
        <v>-13129</v>
      </c>
      <c r="BC257" s="281">
        <f t="shared" si="1474"/>
        <v>-17922</v>
      </c>
      <c r="BD257" s="281">
        <f t="shared" si="1475"/>
        <v>-28891</v>
      </c>
      <c r="BE257" s="281">
        <v>-21824</v>
      </c>
      <c r="BF257" s="281">
        <v>-39746</v>
      </c>
      <c r="BG257" s="281">
        <v>-68637</v>
      </c>
      <c r="BH257" s="281">
        <v>-32518</v>
      </c>
      <c r="BI257" s="281">
        <f t="shared" si="1486"/>
        <v>-28077</v>
      </c>
      <c r="BJ257" s="281">
        <f t="shared" si="1487"/>
        <v>-28028</v>
      </c>
      <c r="BK257" s="281">
        <f t="shared" si="1488"/>
        <v>-48616</v>
      </c>
      <c r="BL257" s="281">
        <v>-60595</v>
      </c>
      <c r="BM257" s="281">
        <v>-88623</v>
      </c>
      <c r="BN257" s="281">
        <v>-137239</v>
      </c>
      <c r="BO257" s="281">
        <v>-32330</v>
      </c>
      <c r="BP257" s="281">
        <f t="shared" si="1476"/>
        <v>-49338</v>
      </c>
      <c r="BQ257" s="281">
        <f t="shared" si="1477"/>
        <v>3747</v>
      </c>
      <c r="BR257" s="281">
        <f t="shared" si="1478"/>
        <v>-11151</v>
      </c>
      <c r="BS257" s="281">
        <v>-81668</v>
      </c>
      <c r="BT257" s="281">
        <v>-77921</v>
      </c>
      <c r="BU257" s="281">
        <v>-89072</v>
      </c>
      <c r="BV257" s="281">
        <v>-33925</v>
      </c>
      <c r="BW257" s="302">
        <f t="shared" si="1479"/>
        <v>-32006</v>
      </c>
      <c r="BX257" s="302">
        <f t="shared" si="1480"/>
        <v>-14385</v>
      </c>
      <c r="BY257" s="302">
        <f t="shared" si="1481"/>
        <v>-20203</v>
      </c>
      <c r="BZ257" s="281">
        <v>-65931</v>
      </c>
      <c r="CA257" s="281">
        <v>-80316</v>
      </c>
      <c r="CB257" s="281">
        <v>-100519</v>
      </c>
      <c r="CC257" s="281">
        <v>-23096</v>
      </c>
      <c r="CD257" s="302">
        <f t="shared" si="1482"/>
        <v>-19180</v>
      </c>
      <c r="CE257" s="302">
        <f t="shared" si="1483"/>
        <v>-38061</v>
      </c>
      <c r="CF257" s="302">
        <f t="shared" si="1484"/>
        <v>-26525</v>
      </c>
      <c r="CG257" s="281">
        <v>-42276</v>
      </c>
      <c r="CH257" s="281">
        <v>-80337</v>
      </c>
      <c r="CI257" s="281">
        <v>-106862</v>
      </c>
      <c r="CJ257" s="281">
        <v>-22731</v>
      </c>
      <c r="CK257" s="302">
        <f t="shared" si="1485"/>
        <v>-27277</v>
      </c>
      <c r="CL257" s="281"/>
      <c r="CM257" s="281"/>
      <c r="CN257" s="281">
        <v>-50008</v>
      </c>
      <c r="CO257" s="281"/>
    </row>
    <row r="258" spans="1:93" s="289" customFormat="1" x14ac:dyDescent="0.25">
      <c r="A258" s="523" t="str">
        <f>Language!C194</f>
        <v>Transbrasiliana</v>
      </c>
      <c r="B258" s="278">
        <v>0</v>
      </c>
      <c r="C258" s="278">
        <v>0</v>
      </c>
      <c r="D258" s="278">
        <v>0</v>
      </c>
      <c r="E258" s="278">
        <v>0</v>
      </c>
      <c r="F258" s="279">
        <v>0</v>
      </c>
      <c r="G258" s="278">
        <v>0</v>
      </c>
      <c r="H258" s="278">
        <v>0</v>
      </c>
      <c r="I258" s="278">
        <v>0</v>
      </c>
      <c r="J258" s="279">
        <v>0</v>
      </c>
      <c r="K258" s="278">
        <v>0</v>
      </c>
      <c r="L258" s="278">
        <v>0</v>
      </c>
      <c r="M258" s="278">
        <v>0</v>
      </c>
      <c r="N258" s="279">
        <v>0</v>
      </c>
      <c r="O258" s="278">
        <v>0</v>
      </c>
      <c r="P258" s="278">
        <v>0</v>
      </c>
      <c r="Q258" s="278">
        <v>0</v>
      </c>
      <c r="R258" s="279">
        <v>-7965</v>
      </c>
      <c r="S258" s="280">
        <v>-12327</v>
      </c>
      <c r="T258" s="280">
        <f t="shared" si="1467"/>
        <v>-11967</v>
      </c>
      <c r="U258" s="280">
        <f>X258-W258</f>
        <v>-14693</v>
      </c>
      <c r="V258" s="280">
        <f t="shared" si="1468"/>
        <v>-20292</v>
      </c>
      <c r="W258" s="281">
        <v>-32259</v>
      </c>
      <c r="X258" s="282">
        <v>-46952</v>
      </c>
      <c r="Y258" s="283">
        <v>-12734</v>
      </c>
      <c r="Z258" s="281">
        <f t="shared" si="1469"/>
        <v>-28529</v>
      </c>
      <c r="AA258" s="280">
        <f t="shared" si="1470"/>
        <v>-16136</v>
      </c>
      <c r="AB258" s="280">
        <f>AE258-AD258</f>
        <v>-10716</v>
      </c>
      <c r="AC258" s="281">
        <v>-41263</v>
      </c>
      <c r="AD258" s="281">
        <v>-57399</v>
      </c>
      <c r="AE258" s="282">
        <v>-68115</v>
      </c>
      <c r="AF258" s="281">
        <v>-21466.702931444706</v>
      </c>
      <c r="AG258" s="281">
        <f t="shared" si="1230"/>
        <v>-18954.570634320895</v>
      </c>
      <c r="AH258" s="281">
        <f t="shared" si="974"/>
        <v>-8007.1533190565315</v>
      </c>
      <c r="AI258" s="281">
        <f t="shared" si="975"/>
        <v>-10924.573115177867</v>
      </c>
      <c r="AJ258" s="281">
        <v>-40421.273565765601</v>
      </c>
      <c r="AK258" s="281">
        <v>-48428.426884822133</v>
      </c>
      <c r="AL258" s="282">
        <v>-59353</v>
      </c>
      <c r="AM258" s="281">
        <v>-6257</v>
      </c>
      <c r="AN258" s="281">
        <f t="shared" si="976"/>
        <v>-8643</v>
      </c>
      <c r="AO258" s="281">
        <f t="shared" si="977"/>
        <v>-8545</v>
      </c>
      <c r="AP258" s="281">
        <f t="shared" si="977"/>
        <v>-21085</v>
      </c>
      <c r="AQ258" s="281">
        <v>-14900</v>
      </c>
      <c r="AR258" s="281">
        <v>-23445</v>
      </c>
      <c r="AS258" s="282">
        <v>-44530</v>
      </c>
      <c r="AT258" s="281">
        <v>-8103</v>
      </c>
      <c r="AU258" s="281">
        <f t="shared" si="1471"/>
        <v>-7212</v>
      </c>
      <c r="AV258" s="281">
        <f t="shared" si="1472"/>
        <v>-7429</v>
      </c>
      <c r="AW258" s="281">
        <f t="shared" si="978"/>
        <v>-26194</v>
      </c>
      <c r="AX258" s="281">
        <v>-15315</v>
      </c>
      <c r="AY258" s="281">
        <v>-22744</v>
      </c>
      <c r="AZ258" s="281">
        <v>-48938</v>
      </c>
      <c r="BA258" s="281">
        <v>-13146</v>
      </c>
      <c r="BB258" s="281">
        <f t="shared" si="1473"/>
        <v>-14259</v>
      </c>
      <c r="BC258" s="281">
        <f t="shared" si="1474"/>
        <v>-14928</v>
      </c>
      <c r="BD258" s="281">
        <f t="shared" si="1475"/>
        <v>14078</v>
      </c>
      <c r="BE258" s="281">
        <v>-27405</v>
      </c>
      <c r="BF258" s="281">
        <v>-42333</v>
      </c>
      <c r="BG258" s="281">
        <v>-28255</v>
      </c>
      <c r="BH258" s="281">
        <v>-7765</v>
      </c>
      <c r="BI258" s="281">
        <f t="shared" si="1486"/>
        <v>-3727</v>
      </c>
      <c r="BJ258" s="281">
        <f t="shared" si="1487"/>
        <v>63115</v>
      </c>
      <c r="BK258" s="281">
        <f t="shared" si="1488"/>
        <v>-8795</v>
      </c>
      <c r="BL258" s="281">
        <v>-11492</v>
      </c>
      <c r="BM258" s="281">
        <v>51623</v>
      </c>
      <c r="BN258" s="281">
        <v>42828</v>
      </c>
      <c r="BO258" s="281">
        <v>-5279</v>
      </c>
      <c r="BP258" s="281">
        <f t="shared" si="1476"/>
        <v>-20103</v>
      </c>
      <c r="BQ258" s="281">
        <f t="shared" si="1477"/>
        <v>-12299</v>
      </c>
      <c r="BR258" s="281">
        <f t="shared" si="1478"/>
        <v>-3582</v>
      </c>
      <c r="BS258" s="281">
        <v>-25382</v>
      </c>
      <c r="BT258" s="281">
        <v>-37681</v>
      </c>
      <c r="BU258" s="281">
        <v>-41263</v>
      </c>
      <c r="BV258" s="281">
        <v>-13613</v>
      </c>
      <c r="BW258" s="302">
        <f t="shared" si="1479"/>
        <v>-10748</v>
      </c>
      <c r="BX258" s="302">
        <f t="shared" si="1480"/>
        <v>-8235</v>
      </c>
      <c r="BY258" s="302">
        <f t="shared" si="1481"/>
        <v>-8584</v>
      </c>
      <c r="BZ258" s="281">
        <v>-24361</v>
      </c>
      <c r="CA258" s="281">
        <v>-32596</v>
      </c>
      <c r="CB258" s="281">
        <v>-41180</v>
      </c>
      <c r="CC258" s="281">
        <v>-14307</v>
      </c>
      <c r="CD258" s="302">
        <f t="shared" si="1482"/>
        <v>-8508</v>
      </c>
      <c r="CE258" s="302">
        <f t="shared" si="1483"/>
        <v>-11881</v>
      </c>
      <c r="CF258" s="302">
        <f t="shared" si="1484"/>
        <v>-21201</v>
      </c>
      <c r="CG258" s="281">
        <v>-22815</v>
      </c>
      <c r="CH258" s="281">
        <v>-34696</v>
      </c>
      <c r="CI258" s="281">
        <v>-55897</v>
      </c>
      <c r="CJ258" s="281">
        <v>-19175</v>
      </c>
      <c r="CK258" s="302">
        <f t="shared" si="1485"/>
        <v>-17268</v>
      </c>
      <c r="CL258" s="281"/>
      <c r="CM258" s="281"/>
      <c r="CN258" s="281">
        <v>-36443</v>
      </c>
      <c r="CO258" s="281"/>
    </row>
    <row r="259" spans="1:93" s="289" customFormat="1" x14ac:dyDescent="0.25">
      <c r="A259" s="523" t="s">
        <v>670</v>
      </c>
      <c r="B259" s="278"/>
      <c r="C259" s="278"/>
      <c r="D259" s="278"/>
      <c r="E259" s="278"/>
      <c r="F259" s="279"/>
      <c r="G259" s="278"/>
      <c r="H259" s="278"/>
      <c r="I259" s="278"/>
      <c r="J259" s="279"/>
      <c r="K259" s="278"/>
      <c r="L259" s="278"/>
      <c r="M259" s="278"/>
      <c r="N259" s="279"/>
      <c r="O259" s="278"/>
      <c r="P259" s="278"/>
      <c r="Q259" s="278"/>
      <c r="R259" s="279"/>
      <c r="S259" s="280"/>
      <c r="T259" s="280"/>
      <c r="U259" s="280"/>
      <c r="V259" s="280"/>
      <c r="W259" s="281"/>
      <c r="X259" s="282"/>
      <c r="Y259" s="283"/>
      <c r="Z259" s="281"/>
      <c r="AA259" s="280"/>
      <c r="AB259" s="280"/>
      <c r="AC259" s="281"/>
      <c r="AD259" s="281"/>
      <c r="AE259" s="282"/>
      <c r="AF259" s="281"/>
      <c r="AG259" s="281">
        <f t="shared" si="1230"/>
        <v>0</v>
      </c>
      <c r="AH259" s="281">
        <f t="shared" si="974"/>
        <v>0</v>
      </c>
      <c r="AI259" s="281">
        <f t="shared" si="975"/>
        <v>0</v>
      </c>
      <c r="AJ259" s="281"/>
      <c r="AK259" s="281"/>
      <c r="AL259" s="282"/>
      <c r="AM259" s="281">
        <v>-145</v>
      </c>
      <c r="AN259" s="281">
        <f t="shared" si="976"/>
        <v>-128</v>
      </c>
      <c r="AO259" s="281">
        <f t="shared" si="977"/>
        <v>-160</v>
      </c>
      <c r="AP259" s="281">
        <f t="shared" si="977"/>
        <v>-60</v>
      </c>
      <c r="AQ259" s="281">
        <v>-273</v>
      </c>
      <c r="AR259" s="281">
        <v>-433</v>
      </c>
      <c r="AS259" s="282">
        <v>-493</v>
      </c>
      <c r="AT259" s="281">
        <v>0</v>
      </c>
      <c r="AU259" s="281">
        <f t="shared" si="1471"/>
        <v>-157</v>
      </c>
      <c r="AV259" s="281">
        <f t="shared" si="1472"/>
        <v>-65</v>
      </c>
      <c r="AW259" s="281">
        <f t="shared" si="978"/>
        <v>222</v>
      </c>
      <c r="AX259" s="281">
        <v>-157</v>
      </c>
      <c r="AY259" s="281">
        <v>-222</v>
      </c>
      <c r="AZ259" s="281">
        <v>0</v>
      </c>
      <c r="BA259" s="281">
        <v>0</v>
      </c>
      <c r="BB259" s="281">
        <f t="shared" si="1473"/>
        <v>0</v>
      </c>
      <c r="BC259" s="281">
        <f t="shared" si="1474"/>
        <v>0</v>
      </c>
      <c r="BD259" s="281">
        <f t="shared" si="1475"/>
        <v>0</v>
      </c>
      <c r="BE259" s="281">
        <v>0</v>
      </c>
      <c r="BF259" s="281">
        <v>0</v>
      </c>
      <c r="BG259" s="281">
        <v>0</v>
      </c>
      <c r="BH259" s="281">
        <v>0</v>
      </c>
      <c r="BI259" s="281">
        <f t="shared" si="1486"/>
        <v>0</v>
      </c>
      <c r="BJ259" s="281">
        <f>BM259-BL259</f>
        <v>0</v>
      </c>
      <c r="BK259" s="281">
        <f t="shared" si="1488"/>
        <v>0</v>
      </c>
      <c r="BL259" s="281">
        <v>0</v>
      </c>
      <c r="BM259" s="281">
        <v>0</v>
      </c>
      <c r="BN259" s="281">
        <v>0</v>
      </c>
      <c r="BO259" s="281">
        <v>0</v>
      </c>
      <c r="BP259" s="281">
        <f t="shared" si="1476"/>
        <v>0</v>
      </c>
      <c r="BQ259" s="281">
        <f t="shared" si="1477"/>
        <v>0</v>
      </c>
      <c r="BR259" s="281">
        <f t="shared" si="1478"/>
        <v>0</v>
      </c>
      <c r="BS259" s="281">
        <v>0</v>
      </c>
      <c r="BT259" s="281">
        <v>0</v>
      </c>
      <c r="BU259" s="281">
        <v>0</v>
      </c>
      <c r="BV259" s="281">
        <v>0</v>
      </c>
      <c r="BW259" s="302">
        <f t="shared" si="1479"/>
        <v>0</v>
      </c>
      <c r="BX259" s="302">
        <f t="shared" si="1480"/>
        <v>0</v>
      </c>
      <c r="BY259" s="281"/>
      <c r="BZ259" s="281">
        <v>0</v>
      </c>
      <c r="CA259" s="281">
        <v>0</v>
      </c>
      <c r="CB259" s="281">
        <v>0</v>
      </c>
      <c r="CC259" s="281">
        <v>0</v>
      </c>
      <c r="CD259" s="302">
        <f t="shared" si="1482"/>
        <v>0</v>
      </c>
      <c r="CE259" s="302">
        <f t="shared" si="1483"/>
        <v>0</v>
      </c>
      <c r="CF259" s="302">
        <f t="shared" si="1484"/>
        <v>0</v>
      </c>
      <c r="CG259" s="281">
        <v>0</v>
      </c>
      <c r="CH259" s="281">
        <v>0</v>
      </c>
      <c r="CI259" s="281">
        <v>0</v>
      </c>
      <c r="CJ259" s="281">
        <v>0</v>
      </c>
      <c r="CK259" s="302">
        <f t="shared" si="1485"/>
        <v>0</v>
      </c>
      <c r="CL259" s="281"/>
      <c r="CM259" s="281"/>
      <c r="CN259" s="281">
        <v>0</v>
      </c>
      <c r="CO259" s="281"/>
    </row>
    <row r="260" spans="1:93" s="289" customFormat="1" x14ac:dyDescent="0.25">
      <c r="A260" s="713" t="s">
        <v>695</v>
      </c>
      <c r="B260" s="278"/>
      <c r="C260" s="278"/>
      <c r="D260" s="278"/>
      <c r="E260" s="278"/>
      <c r="F260" s="279"/>
      <c r="G260" s="278"/>
      <c r="H260" s="278"/>
      <c r="I260" s="278"/>
      <c r="J260" s="279"/>
      <c r="K260" s="278"/>
      <c r="L260" s="278"/>
      <c r="M260" s="278"/>
      <c r="N260" s="279"/>
      <c r="O260" s="278"/>
      <c r="P260" s="278"/>
      <c r="Q260" s="278"/>
      <c r="R260" s="279"/>
      <c r="S260" s="280"/>
      <c r="T260" s="280"/>
      <c r="U260" s="280"/>
      <c r="V260" s="280"/>
      <c r="W260" s="281"/>
      <c r="X260" s="282"/>
      <c r="Y260" s="283"/>
      <c r="Z260" s="281"/>
      <c r="AA260" s="280"/>
      <c r="AB260" s="280"/>
      <c r="AC260" s="281"/>
      <c r="AD260" s="281"/>
      <c r="AE260" s="282"/>
      <c r="AF260" s="281"/>
      <c r="AG260" s="281"/>
      <c r="AH260" s="281"/>
      <c r="AI260" s="281"/>
      <c r="AJ260" s="281"/>
      <c r="AK260" s="281"/>
      <c r="AL260" s="282"/>
      <c r="AM260" s="281"/>
      <c r="AN260" s="281"/>
      <c r="AO260" s="281"/>
      <c r="AP260" s="281"/>
      <c r="AQ260" s="281"/>
      <c r="AR260" s="281"/>
      <c r="AS260" s="282"/>
      <c r="AT260" s="281"/>
      <c r="AU260" s="281"/>
      <c r="AV260" s="281"/>
      <c r="AW260" s="281"/>
      <c r="AX260" s="281"/>
      <c r="AY260" s="281">
        <v>2231</v>
      </c>
      <c r="AZ260" s="281"/>
      <c r="BA260" s="281"/>
      <c r="BB260" s="281"/>
      <c r="BC260" s="281"/>
      <c r="BD260" s="281"/>
      <c r="BE260" s="281"/>
      <c r="BF260" s="281"/>
      <c r="BG260" s="281"/>
      <c r="BH260" s="281"/>
      <c r="BI260" s="281"/>
      <c r="BJ260" s="281"/>
      <c r="BK260" s="281"/>
      <c r="BL260" s="281"/>
      <c r="BM260" s="281"/>
      <c r="BN260" s="281"/>
      <c r="BO260" s="281"/>
      <c r="BP260" s="281"/>
      <c r="BQ260" s="281"/>
      <c r="BR260" s="281"/>
      <c r="BS260" s="281"/>
      <c r="BT260" s="281"/>
      <c r="BU260" s="281"/>
      <c r="BV260" s="281"/>
      <c r="BW260" s="281"/>
      <c r="BX260" s="281"/>
      <c r="BY260" s="281"/>
      <c r="BZ260" s="281"/>
      <c r="CA260" s="281"/>
      <c r="CB260" s="281"/>
      <c r="CC260" s="281"/>
      <c r="CD260" s="281"/>
      <c r="CE260" s="281"/>
      <c r="CF260" s="281"/>
      <c r="CG260" s="281"/>
      <c r="CH260" s="281"/>
      <c r="CI260" s="281"/>
      <c r="CJ260" s="281"/>
      <c r="CK260" s="281"/>
      <c r="CL260" s="281"/>
      <c r="CM260" s="281"/>
      <c r="CN260" s="281"/>
      <c r="CO260" s="281"/>
    </row>
    <row r="261" spans="1:93" s="423" customFormat="1" ht="13" x14ac:dyDescent="0.3">
      <c r="A261" s="524" t="str">
        <f>Language!C195</f>
        <v>Imposto sobre o Lucro</v>
      </c>
      <c r="B261" s="423">
        <f>SUM(B262,B265,B268,B271,B274)</f>
        <v>-5540</v>
      </c>
      <c r="C261" s="423">
        <f t="shared" ref="C261:R261" si="1489">SUM(C262,C265,C268,C271,C274)</f>
        <v>-3692</v>
      </c>
      <c r="D261" s="423">
        <f t="shared" si="1489"/>
        <v>-6103</v>
      </c>
      <c r="E261" s="423">
        <f t="shared" si="1489"/>
        <v>-11890</v>
      </c>
      <c r="F261" s="462">
        <f t="shared" si="1489"/>
        <v>-10177</v>
      </c>
      <c r="G261" s="423">
        <f t="shared" si="1489"/>
        <v>-6465</v>
      </c>
      <c r="H261" s="423">
        <f t="shared" si="1489"/>
        <v>-12059</v>
      </c>
      <c r="I261" s="423">
        <f t="shared" si="1489"/>
        <v>-10745</v>
      </c>
      <c r="J261" s="462">
        <f t="shared" si="1489"/>
        <v>-15657</v>
      </c>
      <c r="K261" s="423">
        <f t="shared" si="1489"/>
        <v>-6999</v>
      </c>
      <c r="L261" s="423">
        <f t="shared" si="1489"/>
        <v>-5495</v>
      </c>
      <c r="M261" s="423">
        <f t="shared" si="1489"/>
        <v>-10325</v>
      </c>
      <c r="N261" s="462">
        <f t="shared" si="1489"/>
        <v>-10111</v>
      </c>
      <c r="O261" s="423">
        <f t="shared" si="1489"/>
        <v>-13963</v>
      </c>
      <c r="P261" s="423">
        <f t="shared" si="1489"/>
        <v>-23388</v>
      </c>
      <c r="Q261" s="423">
        <f t="shared" si="1489"/>
        <v>-11013</v>
      </c>
      <c r="R261" s="462">
        <f t="shared" si="1489"/>
        <v>-62427</v>
      </c>
      <c r="S261" s="461">
        <f t="shared" ref="S261:X261" si="1490">SUM(S262,S265,S268,S271,S274)</f>
        <v>-13919</v>
      </c>
      <c r="T261" s="461">
        <f t="shared" si="1490"/>
        <v>-8676</v>
      </c>
      <c r="U261" s="461">
        <f t="shared" si="1490"/>
        <v>13417</v>
      </c>
      <c r="V261" s="461"/>
      <c r="W261" s="502">
        <f t="shared" si="1490"/>
        <v>-85022</v>
      </c>
      <c r="X261" s="503">
        <f t="shared" si="1490"/>
        <v>-71605</v>
      </c>
      <c r="Y261" s="504">
        <f>SUM(Y262,Y265,Y268,Y271,Y274)</f>
        <v>3067</v>
      </c>
      <c r="Z261" s="502">
        <f t="shared" ref="Z261:AC261" si="1491">SUM(Z262,Z265,Z268,Z271,Z274)</f>
        <v>11277</v>
      </c>
      <c r="AA261" s="461">
        <f t="shared" si="1491"/>
        <v>1910</v>
      </c>
      <c r="AB261" s="461">
        <f t="shared" si="1491"/>
        <v>-105092</v>
      </c>
      <c r="AC261" s="502">
        <f t="shared" si="1491"/>
        <v>14344</v>
      </c>
      <c r="AD261" s="502">
        <f t="shared" ref="AD261:AE261" si="1492">SUM(AD262,AD265,AD268,AD271,AD274)</f>
        <v>16254</v>
      </c>
      <c r="AE261" s="503">
        <f t="shared" si="1492"/>
        <v>-88838</v>
      </c>
      <c r="AF261" s="502">
        <f t="shared" ref="AF261:AJ261" si="1493">SUM(AF262,AF265,AF268,AF271,AF274)</f>
        <v>19024</v>
      </c>
      <c r="AG261" s="502">
        <f t="shared" si="1230"/>
        <v>19851</v>
      </c>
      <c r="AH261" s="502">
        <f t="shared" si="974"/>
        <v>899</v>
      </c>
      <c r="AI261" s="502">
        <f t="shared" si="975"/>
        <v>-9943</v>
      </c>
      <c r="AJ261" s="502">
        <f t="shared" si="1493"/>
        <v>38875</v>
      </c>
      <c r="AK261" s="502">
        <f t="shared" ref="AK261" si="1494">SUM(AK262,AK265,AK268,AK271,AK274)</f>
        <v>39774</v>
      </c>
      <c r="AL261" s="503">
        <f t="shared" ref="AL261:AQ261" si="1495">SUM(AL262,AL265,AL268,AL271,AL274)</f>
        <v>29831</v>
      </c>
      <c r="AM261" s="502">
        <f t="shared" si="1495"/>
        <v>-4448</v>
      </c>
      <c r="AN261" s="502">
        <f t="shared" si="976"/>
        <v>14184</v>
      </c>
      <c r="AO261" s="502">
        <f t="shared" si="977"/>
        <v>6533</v>
      </c>
      <c r="AP261" s="502">
        <f t="shared" si="977"/>
        <v>8355</v>
      </c>
      <c r="AQ261" s="502">
        <f t="shared" si="1495"/>
        <v>9736</v>
      </c>
      <c r="AR261" s="502">
        <f t="shared" ref="AR261:AS261" si="1496">SUM(AR262,AR265,AR268,AR271,AR274)</f>
        <v>16269</v>
      </c>
      <c r="AS261" s="503">
        <f t="shared" si="1496"/>
        <v>24624</v>
      </c>
      <c r="AT261" s="502">
        <f t="shared" ref="AT261:AU261" si="1497">SUM(AT262,AT265,AT268,AT271,AT274)</f>
        <v>12091.5844</v>
      </c>
      <c r="AU261" s="502">
        <f t="shared" si="1497"/>
        <v>13235.809000000001</v>
      </c>
      <c r="AV261" s="502">
        <f t="shared" ref="AV261:AZ261" si="1498">SUM(AV262,AV265,AV268,AV271,AV274)</f>
        <v>12997.861399999994</v>
      </c>
      <c r="AW261" s="502">
        <f t="shared" si="978"/>
        <v>60827.884000000005</v>
      </c>
      <c r="AX261" s="502">
        <f t="shared" ref="AX261" si="1499">SUM(AX262,AX265,AX268,AX271,AX274)</f>
        <v>25327.393400000001</v>
      </c>
      <c r="AY261" s="502">
        <f t="shared" si="1498"/>
        <v>38325.254799999995</v>
      </c>
      <c r="AZ261" s="502">
        <f t="shared" si="1498"/>
        <v>99153.138800000001</v>
      </c>
      <c r="BA261" s="502">
        <f t="shared" ref="BA261:BB261" si="1500">SUM(BA262,BA265,BA268,BA271,BA274)</f>
        <v>-3760</v>
      </c>
      <c r="BB261" s="502">
        <f t="shared" si="1500"/>
        <v>5797</v>
      </c>
      <c r="BC261" s="502">
        <f t="shared" ref="BC261:BE261" si="1501">SUM(BC262,BC265,BC268,BC271,BC274)</f>
        <v>14059</v>
      </c>
      <c r="BD261" s="502">
        <f t="shared" ref="BD261" si="1502">SUM(BD262,BD265,BD268,BD271,BD274)</f>
        <v>-62385</v>
      </c>
      <c r="BE261" s="502">
        <f t="shared" si="1501"/>
        <v>2037</v>
      </c>
      <c r="BF261" s="502">
        <f t="shared" ref="BF261:BG261" si="1503">SUM(BF262,BF265,BF268,BF271,BF274)</f>
        <v>16096</v>
      </c>
      <c r="BG261" s="502">
        <f t="shared" si="1503"/>
        <v>-46289</v>
      </c>
      <c r="BH261" s="502">
        <f t="shared" ref="BH261:BL261" si="1504">SUM(BH262,BH265,BH268,BH271,BH274)</f>
        <v>15807</v>
      </c>
      <c r="BI261" s="502">
        <f t="shared" si="1504"/>
        <v>18460</v>
      </c>
      <c r="BJ261" s="502">
        <f t="shared" si="1504"/>
        <v>-13029</v>
      </c>
      <c r="BK261" s="502">
        <f t="shared" si="1504"/>
        <v>12633</v>
      </c>
      <c r="BL261" s="502">
        <f t="shared" si="1504"/>
        <v>34267</v>
      </c>
      <c r="BM261" s="502">
        <f t="shared" ref="BM261:BN261" si="1505">SUM(BM262,BM265,BM268,BM271,BM274)</f>
        <v>21238</v>
      </c>
      <c r="BN261" s="502">
        <f t="shared" si="1505"/>
        <v>33871</v>
      </c>
      <c r="BO261" s="502">
        <f t="shared" ref="BO261:BS261" si="1506">SUM(BO262,BO265,BO268,BO271,BO274)</f>
        <v>4533</v>
      </c>
      <c r="BP261" s="502">
        <f t="shared" si="1506"/>
        <v>-100849.51533350305</v>
      </c>
      <c r="BQ261" s="502">
        <f t="shared" si="1506"/>
        <v>7277.2423332484777</v>
      </c>
      <c r="BR261" s="502">
        <f t="shared" si="1506"/>
        <v>-10122.757666751522</v>
      </c>
      <c r="BS261" s="502">
        <f t="shared" si="1506"/>
        <v>-96316.515333503048</v>
      </c>
      <c r="BT261" s="502">
        <f t="shared" ref="BT261:BU261" si="1507">SUM(BT262,BT265,BT268,BT271,BT274)</f>
        <v>-89039.273000254572</v>
      </c>
      <c r="BU261" s="502">
        <f t="shared" si="1507"/>
        <v>-99162.030667006096</v>
      </c>
      <c r="BV261" s="502">
        <f t="shared" ref="BV261:BY261" si="1508">SUM(BV262,BV265,BV268,BV271,BV274)</f>
        <v>9879.9014207452965</v>
      </c>
      <c r="BW261" s="502">
        <f t="shared" si="1508"/>
        <v>5237.456043027013</v>
      </c>
      <c r="BX261" s="502">
        <f t="shared" si="1508"/>
        <v>69751.678731886161</v>
      </c>
      <c r="BY261" s="502">
        <f t="shared" si="1508"/>
        <v>-2854.3212681138461</v>
      </c>
      <c r="BZ261" s="502">
        <f t="shared" ref="BZ261:CA261" si="1509">SUM(BZ262,BZ265,BZ268,BZ271,BZ274)</f>
        <v>15117.357463772309</v>
      </c>
      <c r="CA261" s="502">
        <f t="shared" si="1509"/>
        <v>84869.036195658467</v>
      </c>
      <c r="CB261" s="502">
        <f t="shared" ref="CB261:CC261" si="1510">SUM(CB262,CB265,CB268,CB271,CB274)</f>
        <v>82014.714927544614</v>
      </c>
      <c r="CC261" s="502">
        <f t="shared" si="1510"/>
        <v>-1654.3174763021721</v>
      </c>
      <c r="CD261" s="502">
        <f t="shared" ref="CD261" si="1511">SUM(CD262,CD265,CD268,CD271,CD274)</f>
        <v>-4707.4391651942979</v>
      </c>
      <c r="CE261" s="502">
        <f t="shared" ref="CE261:CG261" si="1512">SUM(CE262,CE265,CE268,CE271,CE274)</f>
        <v>-18082.243358503529</v>
      </c>
      <c r="CF261" s="502">
        <f t="shared" si="1512"/>
        <v>-36821</v>
      </c>
      <c r="CG261" s="502">
        <f t="shared" si="1512"/>
        <v>-6361.7566414964695</v>
      </c>
      <c r="CH261" s="502">
        <f t="shared" ref="CH261:CI261" si="1513">SUM(CH262,CH265,CH268,CH271,CH274)</f>
        <v>-24444</v>
      </c>
      <c r="CI261" s="502">
        <f t="shared" si="1513"/>
        <v>-61265</v>
      </c>
      <c r="CJ261" s="502">
        <v>470</v>
      </c>
      <c r="CK261" s="502">
        <f t="shared" ref="CK261" si="1514">SUM(CK262,CK265,CK268,CK271,CK274)</f>
        <v>-5447</v>
      </c>
      <c r="CL261" s="502">
        <f t="shared" ref="CL261:CO261" si="1515">SUM(CL262,CL265,CL268,CL271,CL274)</f>
        <v>0</v>
      </c>
      <c r="CM261" s="502">
        <f t="shared" si="1515"/>
        <v>0</v>
      </c>
      <c r="CN261" s="502">
        <f t="shared" si="1515"/>
        <v>-4977</v>
      </c>
      <c r="CO261" s="502">
        <f t="shared" si="1515"/>
        <v>0</v>
      </c>
    </row>
    <row r="262" spans="1:93" s="289" customFormat="1" x14ac:dyDescent="0.25">
      <c r="A262" s="523" t="str">
        <f>Language!C196</f>
        <v>Concepa</v>
      </c>
      <c r="B262" s="289">
        <f>SUM(B263,B264)</f>
        <v>-1636</v>
      </c>
      <c r="C262" s="289">
        <f t="shared" ref="C262:R262" si="1516">SUM(C263,C264)</f>
        <v>22</v>
      </c>
      <c r="D262" s="289">
        <f t="shared" si="1516"/>
        <v>-2233</v>
      </c>
      <c r="E262" s="289">
        <f t="shared" si="1516"/>
        <v>-2895</v>
      </c>
      <c r="F262" s="290">
        <f t="shared" si="1516"/>
        <v>-4137</v>
      </c>
      <c r="G262" s="289">
        <f t="shared" si="1516"/>
        <v>1039</v>
      </c>
      <c r="H262" s="289">
        <f t="shared" si="1516"/>
        <v>-3464</v>
      </c>
      <c r="I262" s="289">
        <f t="shared" si="1516"/>
        <v>-1064</v>
      </c>
      <c r="J262" s="290">
        <f t="shared" si="1516"/>
        <v>-6010</v>
      </c>
      <c r="K262" s="289">
        <f t="shared" si="1516"/>
        <v>-1902</v>
      </c>
      <c r="L262" s="289">
        <f t="shared" si="1516"/>
        <v>-1908</v>
      </c>
      <c r="M262" s="289">
        <f t="shared" si="1516"/>
        <v>-5086</v>
      </c>
      <c r="N262" s="290">
        <f t="shared" si="1516"/>
        <v>-5542</v>
      </c>
      <c r="O262" s="289">
        <f t="shared" si="1516"/>
        <v>-1678</v>
      </c>
      <c r="P262" s="289">
        <f t="shared" si="1516"/>
        <v>-7031</v>
      </c>
      <c r="Q262" s="289">
        <f t="shared" si="1516"/>
        <v>-12949</v>
      </c>
      <c r="R262" s="290">
        <f t="shared" si="1516"/>
        <v>-12611</v>
      </c>
      <c r="S262" s="291">
        <f t="shared" ref="S262:W262" si="1517">SUM(S263,S264)</f>
        <v>-8375</v>
      </c>
      <c r="T262" s="291">
        <f t="shared" ref="T262:U262" si="1518">SUM(T263,T264)</f>
        <v>-8216</v>
      </c>
      <c r="U262" s="291">
        <f t="shared" si="1518"/>
        <v>12644</v>
      </c>
      <c r="V262" s="291"/>
      <c r="W262" s="292">
        <f t="shared" si="1517"/>
        <v>-29202</v>
      </c>
      <c r="X262" s="293">
        <f t="shared" ref="X262" si="1519">SUM(X263,X264)</f>
        <v>-16558</v>
      </c>
      <c r="Y262" s="294">
        <f>SUM(Y263,Y264)</f>
        <v>-3012</v>
      </c>
      <c r="Z262" s="292">
        <f t="shared" ref="Z262:AC262" si="1520">SUM(Z263,Z264)</f>
        <v>-851</v>
      </c>
      <c r="AA262" s="291">
        <f t="shared" si="1520"/>
        <v>-3403</v>
      </c>
      <c r="AB262" s="291">
        <f t="shared" si="1520"/>
        <v>-3027</v>
      </c>
      <c r="AC262" s="292">
        <f t="shared" si="1520"/>
        <v>-3863</v>
      </c>
      <c r="AD262" s="292">
        <f t="shared" ref="AD262:AE262" si="1521">SUM(AD263,AD264)</f>
        <v>-7266</v>
      </c>
      <c r="AE262" s="293">
        <f t="shared" si="1521"/>
        <v>-10293</v>
      </c>
      <c r="AF262" s="292">
        <f t="shared" ref="AF262:AJ262" si="1522">SUM(AF263,AF264)</f>
        <v>-3136.4669594384313</v>
      </c>
      <c r="AG262" s="292">
        <f t="shared" si="1230"/>
        <v>3259.8813209281934</v>
      </c>
      <c r="AH262" s="292">
        <f t="shared" ref="AH262:AH298" si="1523">AK262-AJ262</f>
        <v>948.25549732115178</v>
      </c>
      <c r="AI262" s="292">
        <f t="shared" ref="AI262:AI298" si="1524">AL262-AK262</f>
        <v>-8272.6698588109139</v>
      </c>
      <c r="AJ262" s="292">
        <f t="shared" si="1522"/>
        <v>123.41436148976209</v>
      </c>
      <c r="AK262" s="292">
        <f t="shared" ref="AK262" si="1525">SUM(AK263,AK264)</f>
        <v>1071.6698588109139</v>
      </c>
      <c r="AL262" s="293">
        <f t="shared" ref="AL262:AQ262" si="1526">SUM(AL263,AL264)</f>
        <v>-7201</v>
      </c>
      <c r="AM262" s="292">
        <f t="shared" si="1526"/>
        <v>-10347</v>
      </c>
      <c r="AN262" s="292">
        <f t="shared" ref="AN262:AN298" si="1527">AQ262-AM262</f>
        <v>-3980</v>
      </c>
      <c r="AO262" s="292">
        <f t="shared" ref="AO262:AP298" si="1528">AR262-AQ262</f>
        <v>1389.100262726517</v>
      </c>
      <c r="AP262" s="292">
        <f t="shared" si="1528"/>
        <v>1850.0206378302355</v>
      </c>
      <c r="AQ262" s="292">
        <f t="shared" si="1526"/>
        <v>-14327</v>
      </c>
      <c r="AR262" s="292">
        <f t="shared" ref="AR262:AS262" si="1529">SUM(AR263,AR264)</f>
        <v>-12937.899737273483</v>
      </c>
      <c r="AS262" s="293">
        <f t="shared" si="1529"/>
        <v>-11087.879099443247</v>
      </c>
      <c r="AT262" s="292">
        <f t="shared" ref="AT262" si="1530">SUM(AT263,AT264)</f>
        <v>0</v>
      </c>
      <c r="AU262" s="292"/>
      <c r="AV262" s="292">
        <f t="shared" ref="AV262:AZ262" si="1531">SUM(AV263,AV264)</f>
        <v>0</v>
      </c>
      <c r="AW262" s="292">
        <f t="shared" ref="AW262:AW298" si="1532">AZ262-AY262</f>
        <v>0</v>
      </c>
      <c r="AX262" s="734">
        <f t="shared" ref="AX262" si="1533">SUM(AX263,AX264)</f>
        <v>0</v>
      </c>
      <c r="AY262" s="292">
        <f t="shared" si="1531"/>
        <v>0</v>
      </c>
      <c r="AZ262" s="734">
        <f t="shared" si="1531"/>
        <v>0</v>
      </c>
      <c r="BA262" s="734">
        <f t="shared" ref="BA262:BB262" si="1534">SUM(BA263,BA264)</f>
        <v>0</v>
      </c>
      <c r="BB262" s="734">
        <f t="shared" si="1534"/>
        <v>0</v>
      </c>
      <c r="BC262" s="734">
        <f t="shared" ref="BC262:BE262" si="1535">SUM(BC263,BC264)</f>
        <v>0</v>
      </c>
      <c r="BD262" s="734">
        <f t="shared" ref="BD262" si="1536">SUM(BD263,BD264)</f>
        <v>0</v>
      </c>
      <c r="BE262" s="734">
        <f t="shared" si="1535"/>
        <v>0</v>
      </c>
      <c r="BF262" s="734">
        <f t="shared" ref="BF262:BG262" si="1537">SUM(BF263,BF264)</f>
        <v>0</v>
      </c>
      <c r="BG262" s="734">
        <f t="shared" si="1537"/>
        <v>0</v>
      </c>
      <c r="BH262" s="734">
        <f t="shared" ref="BH262:BL262" si="1538">SUM(BH263,BH264)</f>
        <v>0</v>
      </c>
      <c r="BI262" s="734">
        <f t="shared" si="1538"/>
        <v>0</v>
      </c>
      <c r="BJ262" s="734">
        <f t="shared" si="1538"/>
        <v>0</v>
      </c>
      <c r="BK262" s="734">
        <f t="shared" si="1538"/>
        <v>0</v>
      </c>
      <c r="BL262" s="734">
        <f t="shared" si="1538"/>
        <v>0</v>
      </c>
      <c r="BM262" s="734">
        <f t="shared" ref="BM262:BN262" si="1539">SUM(BM263,BM264)</f>
        <v>0</v>
      </c>
      <c r="BN262" s="734">
        <f t="shared" si="1539"/>
        <v>0</v>
      </c>
      <c r="BO262" s="734">
        <f t="shared" ref="BO262:BS262" si="1540">SUM(BO263,BO264)</f>
        <v>0</v>
      </c>
      <c r="BP262" s="734">
        <f t="shared" si="1540"/>
        <v>0</v>
      </c>
      <c r="BQ262" s="734">
        <f t="shared" si="1540"/>
        <v>0</v>
      </c>
      <c r="BR262" s="734">
        <f t="shared" si="1540"/>
        <v>0</v>
      </c>
      <c r="BS262" s="734">
        <f t="shared" si="1540"/>
        <v>0</v>
      </c>
      <c r="BT262" s="734">
        <f t="shared" ref="BT262:BU262" si="1541">SUM(BT263,BT264)</f>
        <v>0</v>
      </c>
      <c r="BU262" s="734">
        <f t="shared" si="1541"/>
        <v>0</v>
      </c>
      <c r="BV262" s="734">
        <f t="shared" ref="BV262:BY262" si="1542">SUM(BV263,BV264)</f>
        <v>0</v>
      </c>
      <c r="BW262" s="734">
        <f t="shared" si="1542"/>
        <v>0</v>
      </c>
      <c r="BX262" s="734">
        <f t="shared" si="1542"/>
        <v>0</v>
      </c>
      <c r="BY262" s="734">
        <f t="shared" si="1542"/>
        <v>0</v>
      </c>
      <c r="BZ262" s="734">
        <f t="shared" ref="BZ262:CA262" si="1543">SUM(BZ263,BZ264)</f>
        <v>0</v>
      </c>
      <c r="CA262" s="734">
        <f t="shared" si="1543"/>
        <v>0</v>
      </c>
      <c r="CB262" s="734">
        <f t="shared" ref="CB262:CC262" si="1544">SUM(CB263,CB264)</f>
        <v>0</v>
      </c>
      <c r="CC262" s="734">
        <f t="shared" si="1544"/>
        <v>0</v>
      </c>
      <c r="CD262" s="734">
        <f t="shared" ref="CD262" si="1545">SUM(CD263,CD264)</f>
        <v>0</v>
      </c>
      <c r="CE262" s="734">
        <f t="shared" ref="CE262:CG262" si="1546">SUM(CE263,CE264)</f>
        <v>0</v>
      </c>
      <c r="CF262" s="734">
        <f t="shared" si="1546"/>
        <v>0</v>
      </c>
      <c r="CG262" s="734">
        <f t="shared" si="1546"/>
        <v>0</v>
      </c>
      <c r="CH262" s="734">
        <f t="shared" ref="CH262:CI262" si="1547">SUM(CH263,CH264)</f>
        <v>0</v>
      </c>
      <c r="CI262" s="734">
        <f t="shared" si="1547"/>
        <v>0</v>
      </c>
      <c r="CJ262" s="734">
        <v>0</v>
      </c>
      <c r="CK262" s="734">
        <f t="shared" ref="CK262" si="1548">SUM(CK263,CK264)</f>
        <v>0</v>
      </c>
      <c r="CL262" s="734">
        <f t="shared" ref="CL262:CO262" si="1549">SUM(CL263,CL264)</f>
        <v>0</v>
      </c>
      <c r="CM262" s="734">
        <f t="shared" si="1549"/>
        <v>0</v>
      </c>
      <c r="CN262" s="734">
        <f t="shared" si="1549"/>
        <v>0</v>
      </c>
      <c r="CO262" s="734">
        <f t="shared" si="1549"/>
        <v>0</v>
      </c>
    </row>
    <row r="263" spans="1:93" s="289" customFormat="1" x14ac:dyDescent="0.25">
      <c r="A263" s="378" t="str">
        <f>Language!C197</f>
        <v>Corrente</v>
      </c>
      <c r="B263" s="278">
        <v>-3082</v>
      </c>
      <c r="C263" s="278">
        <v>-1530</v>
      </c>
      <c r="D263" s="278">
        <v>-2417</v>
      </c>
      <c r="E263" s="278">
        <v>-4514</v>
      </c>
      <c r="F263" s="279">
        <v>-5497</v>
      </c>
      <c r="G263" s="278">
        <v>-2166</v>
      </c>
      <c r="H263" s="278">
        <v>-4379</v>
      </c>
      <c r="I263" s="278">
        <v>-2295</v>
      </c>
      <c r="J263" s="279">
        <v>-7329</v>
      </c>
      <c r="K263" s="278">
        <v>-3578</v>
      </c>
      <c r="L263" s="278">
        <v>-3366</v>
      </c>
      <c r="M263" s="278">
        <v>-6352</v>
      </c>
      <c r="N263" s="279">
        <v>-7573</v>
      </c>
      <c r="O263" s="278">
        <v>-3614</v>
      </c>
      <c r="P263" s="278">
        <v>-5171</v>
      </c>
      <c r="Q263" s="278">
        <v>-6017</v>
      </c>
      <c r="R263" s="279">
        <v>-7772</v>
      </c>
      <c r="S263" s="280">
        <v>-2734</v>
      </c>
      <c r="T263" s="280">
        <f t="shared" ref="T263:T267" si="1550">W263-S263-R263</f>
        <v>-1297</v>
      </c>
      <c r="U263" s="280">
        <f>X263-W263</f>
        <v>-6874</v>
      </c>
      <c r="V263" s="280">
        <f t="shared" ref="V263:V264" si="1551">R263+S263</f>
        <v>-10506</v>
      </c>
      <c r="W263" s="281">
        <v>-11803</v>
      </c>
      <c r="X263" s="282">
        <v>-18677</v>
      </c>
      <c r="Y263" s="283">
        <v>-5286</v>
      </c>
      <c r="Z263" s="281">
        <f t="shared" ref="Z263:Z264" si="1552">AC263-Y263</f>
        <v>-9247</v>
      </c>
      <c r="AA263" s="280">
        <f t="shared" ref="AA263:AA267" si="1553">AD263-Z263-Y263</f>
        <v>-5721</v>
      </c>
      <c r="AB263" s="280">
        <f>AE263-AD263</f>
        <v>-3962</v>
      </c>
      <c r="AC263" s="281">
        <v>-14533</v>
      </c>
      <c r="AD263" s="281">
        <v>-20254</v>
      </c>
      <c r="AE263" s="282">
        <v>-24216</v>
      </c>
      <c r="AF263" s="281">
        <v>-6276</v>
      </c>
      <c r="AG263" s="281">
        <f t="shared" si="1230"/>
        <v>1342</v>
      </c>
      <c r="AH263" s="281">
        <f t="shared" si="1523"/>
        <v>-7047</v>
      </c>
      <c r="AI263" s="281">
        <f t="shared" si="1524"/>
        <v>-7762</v>
      </c>
      <c r="AJ263" s="281">
        <v>-4934</v>
      </c>
      <c r="AK263" s="281">
        <v>-11981</v>
      </c>
      <c r="AL263" s="282">
        <v>-19743</v>
      </c>
      <c r="AM263" s="281">
        <v>-10348</v>
      </c>
      <c r="AN263" s="281">
        <f t="shared" si="1527"/>
        <v>-3974</v>
      </c>
      <c r="AO263" s="281">
        <f t="shared" si="1528"/>
        <v>1389</v>
      </c>
      <c r="AP263" s="281">
        <f t="shared" si="1528"/>
        <v>1850</v>
      </c>
      <c r="AQ263" s="281">
        <v>-14322</v>
      </c>
      <c r="AR263" s="281">
        <v>-12933</v>
      </c>
      <c r="AS263" s="282">
        <v>-11083</v>
      </c>
      <c r="AT263" s="281"/>
      <c r="AU263" s="281"/>
      <c r="AV263" s="281"/>
      <c r="AW263" s="281">
        <f t="shared" si="1532"/>
        <v>0</v>
      </c>
      <c r="AX263" s="281">
        <v>0</v>
      </c>
      <c r="AY263" s="281">
        <v>0</v>
      </c>
      <c r="AZ263" s="734">
        <v>0</v>
      </c>
      <c r="BA263" s="734">
        <v>0</v>
      </c>
      <c r="BB263" s="734">
        <v>0</v>
      </c>
      <c r="BC263" s="734">
        <v>0</v>
      </c>
      <c r="BD263" s="734">
        <v>0</v>
      </c>
      <c r="BE263" s="734">
        <v>0</v>
      </c>
      <c r="BF263" s="734">
        <v>0</v>
      </c>
      <c r="BG263" s="734">
        <v>0</v>
      </c>
      <c r="BH263" s="734">
        <v>0</v>
      </c>
      <c r="BI263" s="734">
        <v>0</v>
      </c>
      <c r="BJ263" s="734">
        <v>0</v>
      </c>
      <c r="BK263" s="734">
        <v>0</v>
      </c>
      <c r="BL263" s="734">
        <v>0</v>
      </c>
      <c r="BM263" s="734">
        <v>0</v>
      </c>
      <c r="BN263" s="734">
        <v>0</v>
      </c>
      <c r="BO263" s="734">
        <v>0</v>
      </c>
      <c r="BP263" s="734">
        <v>0</v>
      </c>
      <c r="BQ263" s="734">
        <v>0</v>
      </c>
      <c r="BR263" s="734">
        <v>0</v>
      </c>
      <c r="BS263" s="734">
        <v>0</v>
      </c>
      <c r="BT263" s="734">
        <v>0</v>
      </c>
      <c r="BU263" s="734">
        <v>0</v>
      </c>
      <c r="BV263" s="734">
        <v>0</v>
      </c>
      <c r="BW263" s="734">
        <v>0</v>
      </c>
      <c r="BX263" s="734">
        <v>0</v>
      </c>
      <c r="BY263" s="734">
        <v>0</v>
      </c>
      <c r="BZ263" s="734">
        <v>0</v>
      </c>
      <c r="CA263" s="734">
        <v>0</v>
      </c>
      <c r="CB263" s="734">
        <v>0</v>
      </c>
      <c r="CC263" s="734">
        <v>0</v>
      </c>
      <c r="CD263" s="734">
        <v>0</v>
      </c>
      <c r="CE263" s="734">
        <v>0</v>
      </c>
      <c r="CF263" s="734">
        <v>0</v>
      </c>
      <c r="CG263" s="734">
        <v>0</v>
      </c>
      <c r="CH263" s="734">
        <v>0</v>
      </c>
      <c r="CI263" s="734">
        <v>0</v>
      </c>
      <c r="CJ263" s="734">
        <v>0</v>
      </c>
      <c r="CK263" s="734">
        <v>0</v>
      </c>
      <c r="CL263" s="734">
        <v>0</v>
      </c>
      <c r="CM263" s="734">
        <v>0</v>
      </c>
      <c r="CN263" s="734">
        <v>0</v>
      </c>
      <c r="CO263" s="734">
        <v>0</v>
      </c>
    </row>
    <row r="264" spans="1:93" s="289" customFormat="1" x14ac:dyDescent="0.25">
      <c r="A264" s="378" t="str">
        <f>Language!C198</f>
        <v>Diferido</v>
      </c>
      <c r="B264" s="278">
        <v>1446</v>
      </c>
      <c r="C264" s="278">
        <v>1552</v>
      </c>
      <c r="D264" s="278">
        <v>184</v>
      </c>
      <c r="E264" s="278">
        <v>1619</v>
      </c>
      <c r="F264" s="279">
        <v>1360</v>
      </c>
      <c r="G264" s="278">
        <v>3205</v>
      </c>
      <c r="H264" s="278">
        <v>915</v>
      </c>
      <c r="I264" s="278">
        <v>1231</v>
      </c>
      <c r="J264" s="279">
        <v>1319</v>
      </c>
      <c r="K264" s="278">
        <v>1676</v>
      </c>
      <c r="L264" s="278">
        <v>1458</v>
      </c>
      <c r="M264" s="278">
        <v>1266</v>
      </c>
      <c r="N264" s="279">
        <v>2031</v>
      </c>
      <c r="O264" s="278">
        <v>1936</v>
      </c>
      <c r="P264" s="278">
        <v>-1860</v>
      </c>
      <c r="Q264" s="278">
        <v>-6932</v>
      </c>
      <c r="R264" s="279">
        <v>-4839</v>
      </c>
      <c r="S264" s="280">
        <v>-5641</v>
      </c>
      <c r="T264" s="280">
        <f t="shared" si="1550"/>
        <v>-6919</v>
      </c>
      <c r="U264" s="280">
        <f>X264-W264</f>
        <v>19518</v>
      </c>
      <c r="V264" s="280">
        <f t="shared" si="1551"/>
        <v>-10480</v>
      </c>
      <c r="W264" s="281">
        <v>-17399</v>
      </c>
      <c r="X264" s="282">
        <v>2119</v>
      </c>
      <c r="Y264" s="283">
        <v>2274</v>
      </c>
      <c r="Z264" s="281">
        <f t="shared" si="1552"/>
        <v>8396</v>
      </c>
      <c r="AA264" s="280">
        <f t="shared" si="1553"/>
        <v>2318</v>
      </c>
      <c r="AB264" s="280">
        <f>AE264-AD264</f>
        <v>935</v>
      </c>
      <c r="AC264" s="281">
        <v>10670</v>
      </c>
      <c r="AD264" s="281">
        <v>12988</v>
      </c>
      <c r="AE264" s="282">
        <v>13923</v>
      </c>
      <c r="AF264" s="281">
        <v>3139.5330405615687</v>
      </c>
      <c r="AG264" s="281">
        <f t="shared" si="1230"/>
        <v>1917.8813209281934</v>
      </c>
      <c r="AH264" s="281">
        <f t="shared" si="1523"/>
        <v>7995.2554973211518</v>
      </c>
      <c r="AI264" s="281">
        <f t="shared" si="1524"/>
        <v>-510.66985881091387</v>
      </c>
      <c r="AJ264" s="281">
        <v>5057.4143614897621</v>
      </c>
      <c r="AK264" s="281">
        <v>13052.669858810914</v>
      </c>
      <c r="AL264" s="282">
        <v>12542</v>
      </c>
      <c r="AM264" s="281">
        <v>1</v>
      </c>
      <c r="AN264" s="281">
        <f t="shared" si="1527"/>
        <v>-6</v>
      </c>
      <c r="AO264" s="281">
        <f t="shared" si="1528"/>
        <v>0.10026272651741408</v>
      </c>
      <c r="AP264" s="281">
        <f t="shared" si="1528"/>
        <v>2.0637830234729648E-2</v>
      </c>
      <c r="AQ264" s="281">
        <v>-5</v>
      </c>
      <c r="AR264" s="281">
        <v>-4.8997372734825859</v>
      </c>
      <c r="AS264" s="282">
        <v>-4.8790994432478563</v>
      </c>
      <c r="AT264" s="281"/>
      <c r="AU264" s="281"/>
      <c r="AV264" s="281"/>
      <c r="AW264" s="281">
        <f t="shared" si="1532"/>
        <v>0</v>
      </c>
      <c r="AX264" s="281">
        <v>0</v>
      </c>
      <c r="AY264" s="281">
        <v>0</v>
      </c>
      <c r="AZ264" s="734">
        <v>0</v>
      </c>
      <c r="BA264" s="734">
        <v>0</v>
      </c>
      <c r="BB264" s="734">
        <v>0</v>
      </c>
      <c r="BC264" s="734">
        <v>0</v>
      </c>
      <c r="BD264" s="734">
        <v>0</v>
      </c>
      <c r="BE264" s="734">
        <v>0</v>
      </c>
      <c r="BF264" s="734">
        <v>0</v>
      </c>
      <c r="BG264" s="734">
        <v>0</v>
      </c>
      <c r="BH264" s="734">
        <v>0</v>
      </c>
      <c r="BI264" s="734">
        <v>0</v>
      </c>
      <c r="BJ264" s="734">
        <v>0</v>
      </c>
      <c r="BK264" s="734">
        <v>0</v>
      </c>
      <c r="BL264" s="734">
        <v>0</v>
      </c>
      <c r="BM264" s="734">
        <v>0</v>
      </c>
      <c r="BN264" s="734">
        <v>0</v>
      </c>
      <c r="BO264" s="734">
        <v>0</v>
      </c>
      <c r="BP264" s="734">
        <v>0</v>
      </c>
      <c r="BQ264" s="734">
        <v>0</v>
      </c>
      <c r="BR264" s="734">
        <v>0</v>
      </c>
      <c r="BS264" s="734">
        <v>0</v>
      </c>
      <c r="BT264" s="734">
        <v>0</v>
      </c>
      <c r="BU264" s="734">
        <v>0</v>
      </c>
      <c r="BV264" s="734">
        <v>0</v>
      </c>
      <c r="BW264" s="734">
        <v>0</v>
      </c>
      <c r="BX264" s="734">
        <v>0</v>
      </c>
      <c r="BY264" s="734">
        <v>0</v>
      </c>
      <c r="BZ264" s="734">
        <v>0</v>
      </c>
      <c r="CA264" s="734">
        <v>0</v>
      </c>
      <c r="CB264" s="734">
        <v>0</v>
      </c>
      <c r="CC264" s="734">
        <v>0</v>
      </c>
      <c r="CD264" s="734">
        <v>0</v>
      </c>
      <c r="CE264" s="734">
        <v>0</v>
      </c>
      <c r="CF264" s="734">
        <v>0</v>
      </c>
      <c r="CG264" s="734">
        <v>0</v>
      </c>
      <c r="CH264" s="734">
        <v>0</v>
      </c>
      <c r="CI264" s="734">
        <v>0</v>
      </c>
      <c r="CJ264" s="734">
        <v>0</v>
      </c>
      <c r="CK264" s="734">
        <v>0</v>
      </c>
      <c r="CL264" s="734">
        <v>0</v>
      </c>
      <c r="CM264" s="734">
        <v>0</v>
      </c>
      <c r="CN264" s="734">
        <v>0</v>
      </c>
      <c r="CO264" s="734">
        <v>0</v>
      </c>
    </row>
    <row r="265" spans="1:93" s="289" customFormat="1" x14ac:dyDescent="0.25">
      <c r="A265" s="523" t="str">
        <f>Language!C199</f>
        <v>Concer</v>
      </c>
      <c r="B265" s="289">
        <f>SUM(B266,B267)</f>
        <v>-1762</v>
      </c>
      <c r="C265" s="289">
        <f t="shared" ref="C265:R265" si="1554">SUM(C266,C267)</f>
        <v>-1573</v>
      </c>
      <c r="D265" s="289">
        <f t="shared" si="1554"/>
        <v>-1762</v>
      </c>
      <c r="E265" s="289">
        <f t="shared" si="1554"/>
        <v>-4821</v>
      </c>
      <c r="F265" s="290">
        <f t="shared" si="1554"/>
        <v>-2038</v>
      </c>
      <c r="G265" s="289">
        <f t="shared" si="1554"/>
        <v>-2435</v>
      </c>
      <c r="H265" s="289">
        <f t="shared" si="1554"/>
        <v>-3205</v>
      </c>
      <c r="I265" s="289">
        <f t="shared" si="1554"/>
        <v>-4720</v>
      </c>
      <c r="J265" s="290">
        <f t="shared" si="1554"/>
        <v>-4518</v>
      </c>
      <c r="K265" s="289">
        <f t="shared" si="1554"/>
        <v>-640</v>
      </c>
      <c r="L265" s="289">
        <f t="shared" si="1554"/>
        <v>1103</v>
      </c>
      <c r="M265" s="289">
        <f t="shared" si="1554"/>
        <v>-959</v>
      </c>
      <c r="N265" s="290">
        <f t="shared" si="1554"/>
        <v>-729</v>
      </c>
      <c r="O265" s="289">
        <f t="shared" si="1554"/>
        <v>-7714</v>
      </c>
      <c r="P265" s="289">
        <f t="shared" si="1554"/>
        <v>-13357</v>
      </c>
      <c r="Q265" s="289">
        <f t="shared" si="1554"/>
        <v>7900</v>
      </c>
      <c r="R265" s="290">
        <f t="shared" si="1554"/>
        <v>-41275</v>
      </c>
      <c r="S265" s="291">
        <f t="shared" ref="S265:W265" si="1555">SUM(S266,S267)</f>
        <v>-6474</v>
      </c>
      <c r="T265" s="291">
        <f t="shared" si="1555"/>
        <v>6951</v>
      </c>
      <c r="U265" s="291">
        <f t="shared" si="1555"/>
        <v>-1348</v>
      </c>
      <c r="V265" s="291"/>
      <c r="W265" s="292">
        <f t="shared" si="1555"/>
        <v>-40798</v>
      </c>
      <c r="X265" s="293">
        <f t="shared" ref="X265" si="1556">SUM(X266,X267)</f>
        <v>-42146</v>
      </c>
      <c r="Y265" s="294">
        <f>SUM(Y266,Y267)</f>
        <v>1667</v>
      </c>
      <c r="Z265" s="292">
        <f t="shared" ref="Z265:AC265" si="1557">SUM(Z266,Z267)</f>
        <v>3660</v>
      </c>
      <c r="AA265" s="291">
        <f t="shared" si="1557"/>
        <v>4232</v>
      </c>
      <c r="AB265" s="291">
        <f t="shared" si="1557"/>
        <v>5889</v>
      </c>
      <c r="AC265" s="292">
        <f t="shared" si="1557"/>
        <v>5327</v>
      </c>
      <c r="AD265" s="292">
        <f t="shared" ref="AD265:AE265" si="1558">SUM(AD266,AD267)</f>
        <v>9559</v>
      </c>
      <c r="AE265" s="293">
        <f t="shared" si="1558"/>
        <v>15448</v>
      </c>
      <c r="AF265" s="292">
        <f t="shared" ref="AF265:AJ265" si="1559">SUM(AF266,AF267)</f>
        <v>4899.3343476607079</v>
      </c>
      <c r="AG265" s="292">
        <f t="shared" si="1230"/>
        <v>4148.4333475426229</v>
      </c>
      <c r="AH265" s="292">
        <f t="shared" si="1523"/>
        <v>3411.1955330821456</v>
      </c>
      <c r="AI265" s="292">
        <f t="shared" si="1524"/>
        <v>-3040.9632282854764</v>
      </c>
      <c r="AJ265" s="292">
        <f t="shared" si="1559"/>
        <v>9047.7676952033307</v>
      </c>
      <c r="AK265" s="292">
        <f t="shared" ref="AK265" si="1560">SUM(AK266,AK267)</f>
        <v>12458.963228285476</v>
      </c>
      <c r="AL265" s="293">
        <f t="shared" ref="AL265:AQ265" si="1561">SUM(AL266,AL267)</f>
        <v>9418</v>
      </c>
      <c r="AM265" s="292">
        <f t="shared" si="1561"/>
        <v>1662</v>
      </c>
      <c r="AN265" s="292">
        <f t="shared" si="1527"/>
        <v>9988</v>
      </c>
      <c r="AO265" s="292">
        <f t="shared" si="1528"/>
        <v>3114.8682999124248</v>
      </c>
      <c r="AP265" s="292">
        <f t="shared" si="1528"/>
        <v>3557.1259293719268</v>
      </c>
      <c r="AQ265" s="292">
        <f t="shared" si="1561"/>
        <v>11650</v>
      </c>
      <c r="AR265" s="292">
        <f t="shared" ref="AR265:AS265" si="1562">SUM(AR266,AR267)</f>
        <v>14764.868299912425</v>
      </c>
      <c r="AS265" s="293">
        <f t="shared" si="1562"/>
        <v>18321.994229284352</v>
      </c>
      <c r="AT265" s="292">
        <f t="shared" ref="AT265:AU265" si="1563">SUM(AT266,AT267)</f>
        <v>11757.5844</v>
      </c>
      <c r="AU265" s="292">
        <f t="shared" si="1563"/>
        <v>12634.809000000001</v>
      </c>
      <c r="AV265" s="292">
        <f t="shared" ref="AV265:AZ265" si="1564">SUM(AV266,AV267)</f>
        <v>13584.861399999994</v>
      </c>
      <c r="AW265" s="292">
        <f t="shared" si="1532"/>
        <v>13204.884000000005</v>
      </c>
      <c r="AX265" s="292">
        <f t="shared" ref="AX265" si="1565">SUM(AX266,AX267)</f>
        <v>24392.393400000001</v>
      </c>
      <c r="AY265" s="292">
        <f t="shared" si="1564"/>
        <v>37977.254799999995</v>
      </c>
      <c r="AZ265" s="292">
        <f t="shared" si="1564"/>
        <v>51182.138800000001</v>
      </c>
      <c r="BA265" s="292">
        <f t="shared" ref="BA265:BB265" si="1566">SUM(BA266,BA267)</f>
        <v>2359</v>
      </c>
      <c r="BB265" s="292">
        <f t="shared" si="1566"/>
        <v>1122</v>
      </c>
      <c r="BC265" s="292">
        <f t="shared" ref="BC265:BE265" si="1567">SUM(BC266,BC267)</f>
        <v>7386</v>
      </c>
      <c r="BD265" s="292">
        <f t="shared" ref="BD265" si="1568">SUM(BD266,BD267)</f>
        <v>6138</v>
      </c>
      <c r="BE265" s="292">
        <f t="shared" si="1567"/>
        <v>3481</v>
      </c>
      <c r="BF265" s="292">
        <f t="shared" ref="BF265:BG265" si="1569">SUM(BF266,BF267)</f>
        <v>10867</v>
      </c>
      <c r="BG265" s="292">
        <f t="shared" si="1569"/>
        <v>17005</v>
      </c>
      <c r="BH265" s="292">
        <f t="shared" ref="BH265:BL265" si="1570">SUM(BH266,BH267)</f>
        <v>5530</v>
      </c>
      <c r="BI265" s="292">
        <f t="shared" si="1570"/>
        <v>10487</v>
      </c>
      <c r="BJ265" s="292">
        <f t="shared" si="1570"/>
        <v>-5720</v>
      </c>
      <c r="BK265" s="292">
        <f t="shared" si="1570"/>
        <v>2108</v>
      </c>
      <c r="BL265" s="292">
        <f t="shared" si="1570"/>
        <v>16017</v>
      </c>
      <c r="BM265" s="292">
        <f t="shared" ref="BM265:BN265" si="1571">SUM(BM266,BM267)</f>
        <v>10297</v>
      </c>
      <c r="BN265" s="292">
        <f t="shared" si="1571"/>
        <v>12405</v>
      </c>
      <c r="BO265" s="292">
        <f t="shared" ref="BO265:BS265" si="1572">SUM(BO266,BO267)</f>
        <v>2089</v>
      </c>
      <c r="BP265" s="292">
        <f t="shared" si="1572"/>
        <v>2620</v>
      </c>
      <c r="BQ265" s="292">
        <f t="shared" si="1572"/>
        <v>1851</v>
      </c>
      <c r="BR265" s="292">
        <f t="shared" si="1572"/>
        <v>2310</v>
      </c>
      <c r="BS265" s="292">
        <f t="shared" si="1572"/>
        <v>4709</v>
      </c>
      <c r="BT265" s="292">
        <f t="shared" ref="BT265:BU265" si="1573">SUM(BT266,BT267)</f>
        <v>6560</v>
      </c>
      <c r="BU265" s="292">
        <f t="shared" si="1573"/>
        <v>8870</v>
      </c>
      <c r="BV265" s="292">
        <f t="shared" ref="BV265:BY265" si="1574">SUM(BV266,BV267)</f>
        <v>2967</v>
      </c>
      <c r="BW265" s="292">
        <f t="shared" si="1574"/>
        <v>155</v>
      </c>
      <c r="BX265" s="292">
        <f t="shared" si="1574"/>
        <v>1533</v>
      </c>
      <c r="BY265" s="292">
        <f t="shared" si="1574"/>
        <v>2662</v>
      </c>
      <c r="BZ265" s="292">
        <f t="shared" ref="BZ265:CA265" si="1575">SUM(BZ266,BZ267)</f>
        <v>3122</v>
      </c>
      <c r="CA265" s="292">
        <f t="shared" si="1575"/>
        <v>4655</v>
      </c>
      <c r="CB265" s="292">
        <f t="shared" ref="CB265:CI265" si="1576">SUM(CB266,CB267)</f>
        <v>7317</v>
      </c>
      <c r="CC265" s="292">
        <f t="shared" si="1576"/>
        <v>-1537</v>
      </c>
      <c r="CD265" s="292">
        <f t="shared" si="1576"/>
        <v>1226</v>
      </c>
      <c r="CE265" s="292">
        <f t="shared" si="1576"/>
        <v>3056</v>
      </c>
      <c r="CF265" s="292">
        <f t="shared" si="1576"/>
        <v>-16679</v>
      </c>
      <c r="CG265" s="292">
        <f t="shared" si="1576"/>
        <v>-311</v>
      </c>
      <c r="CH265" s="292">
        <f t="shared" si="1576"/>
        <v>2745</v>
      </c>
      <c r="CI265" s="292">
        <f t="shared" si="1576"/>
        <v>-13934</v>
      </c>
      <c r="CJ265" s="292">
        <v>1372</v>
      </c>
      <c r="CK265" s="292">
        <f t="shared" ref="CK265" si="1577">SUM(CK266,CK267)</f>
        <v>5222</v>
      </c>
      <c r="CL265" s="292">
        <f t="shared" ref="CL265:CO265" si="1578">SUM(CL266,CL267)</f>
        <v>0</v>
      </c>
      <c r="CM265" s="292">
        <f t="shared" si="1578"/>
        <v>0</v>
      </c>
      <c r="CN265" s="292">
        <f t="shared" si="1578"/>
        <v>6594</v>
      </c>
      <c r="CO265" s="292">
        <f t="shared" si="1578"/>
        <v>0</v>
      </c>
    </row>
    <row r="266" spans="1:93" s="289" customFormat="1" x14ac:dyDescent="0.25">
      <c r="A266" s="378" t="str">
        <f>Language!C200</f>
        <v>Corrente</v>
      </c>
      <c r="B266" s="278">
        <v>-3337</v>
      </c>
      <c r="C266" s="278">
        <v>-2851</v>
      </c>
      <c r="D266" s="278">
        <v>-3285</v>
      </c>
      <c r="E266" s="278">
        <v>-6189</v>
      </c>
      <c r="F266" s="279">
        <v>-3649</v>
      </c>
      <c r="G266" s="278">
        <v>-4023</v>
      </c>
      <c r="H266" s="278">
        <v>-4816</v>
      </c>
      <c r="I266" s="278">
        <v>-6282</v>
      </c>
      <c r="J266" s="279">
        <v>-6234</v>
      </c>
      <c r="K266" s="278">
        <v>-2324</v>
      </c>
      <c r="L266" s="278">
        <v>-594</v>
      </c>
      <c r="M266" s="278">
        <v>-2530</v>
      </c>
      <c r="N266" s="279">
        <v>-2335</v>
      </c>
      <c r="O266" s="278">
        <v>-1424</v>
      </c>
      <c r="P266" s="278">
        <v>-1351</v>
      </c>
      <c r="Q266" s="278">
        <v>-392</v>
      </c>
      <c r="R266" s="279">
        <v>793</v>
      </c>
      <c r="S266" s="280">
        <v>-13483</v>
      </c>
      <c r="T266" s="280">
        <f t="shared" si="1550"/>
        <v>11737</v>
      </c>
      <c r="U266" s="280">
        <f>X266-W266</f>
        <v>-5777</v>
      </c>
      <c r="V266" s="280">
        <f t="shared" ref="V266:V267" si="1579">R266+S266</f>
        <v>-12690</v>
      </c>
      <c r="W266" s="281">
        <v>-953</v>
      </c>
      <c r="X266" s="282">
        <v>-6730</v>
      </c>
      <c r="Y266" s="283">
        <v>0</v>
      </c>
      <c r="Z266" s="281">
        <f t="shared" ref="Z266:Z267" si="1580">AC266-Y266</f>
        <v>-123</v>
      </c>
      <c r="AA266" s="280">
        <f t="shared" si="1553"/>
        <v>216</v>
      </c>
      <c r="AB266" s="280">
        <f>AE266-AD266</f>
        <v>0</v>
      </c>
      <c r="AC266" s="281">
        <v>-123</v>
      </c>
      <c r="AD266" s="281">
        <v>93</v>
      </c>
      <c r="AE266" s="282">
        <v>93</v>
      </c>
      <c r="AF266" s="281">
        <v>0</v>
      </c>
      <c r="AG266" s="281">
        <f t="shared" si="1230"/>
        <v>0</v>
      </c>
      <c r="AH266" s="281">
        <f t="shared" si="1523"/>
        <v>0</v>
      </c>
      <c r="AI266" s="281">
        <f t="shared" si="1524"/>
        <v>-645</v>
      </c>
      <c r="AJ266" s="281">
        <v>0</v>
      </c>
      <c r="AK266" s="281">
        <v>0</v>
      </c>
      <c r="AL266" s="282">
        <v>-645</v>
      </c>
      <c r="AM266" s="281">
        <v>0</v>
      </c>
      <c r="AN266" s="281">
        <f t="shared" si="1527"/>
        <v>0</v>
      </c>
      <c r="AO266" s="281">
        <f t="shared" si="1528"/>
        <v>0</v>
      </c>
      <c r="AP266" s="281">
        <f t="shared" si="1528"/>
        <v>0</v>
      </c>
      <c r="AQ266" s="281">
        <v>0</v>
      </c>
      <c r="AR266" s="281"/>
      <c r="AS266" s="282"/>
      <c r="AT266" s="281">
        <v>-751.4085</v>
      </c>
      <c r="AU266" s="281">
        <f t="shared" ref="AU266:AU270" si="1581">AX266-AT266</f>
        <v>751.4085</v>
      </c>
      <c r="AV266" s="281">
        <f>AY266-AX266</f>
        <v>0</v>
      </c>
      <c r="AW266" s="281">
        <f t="shared" si="1532"/>
        <v>0</v>
      </c>
      <c r="AX266" s="281"/>
      <c r="AY266" s="281">
        <v>0</v>
      </c>
      <c r="AZ266" s="281"/>
      <c r="BA266" s="281"/>
      <c r="BB266" s="281"/>
      <c r="BC266" s="281"/>
      <c r="BD266" s="281"/>
      <c r="BE266" s="281"/>
      <c r="BF266" s="281"/>
      <c r="BG266" s="281"/>
      <c r="BH266" s="281"/>
      <c r="BI266" s="281"/>
      <c r="BJ266" s="281"/>
      <c r="BK266" s="281"/>
      <c r="BL266" s="281"/>
      <c r="BM266" s="281"/>
      <c r="BN266" s="281"/>
      <c r="BO266" s="281"/>
      <c r="BP266" s="281"/>
      <c r="BQ266" s="281"/>
      <c r="BR266" s="281"/>
      <c r="BS266" s="281"/>
      <c r="BT266" s="281"/>
      <c r="BU266" s="281"/>
      <c r="BV266" s="281"/>
      <c r="BW266" s="281">
        <f>BZ266-BV266</f>
        <v>-2820</v>
      </c>
      <c r="BX266" s="281">
        <f>CA266-BZ266</f>
        <v>-377</v>
      </c>
      <c r="BY266" s="281">
        <f>CB266-CA266</f>
        <v>-871</v>
      </c>
      <c r="BZ266" s="281">
        <v>-2820</v>
      </c>
      <c r="CA266" s="281">
        <v>-3197</v>
      </c>
      <c r="CB266" s="281">
        <v>-4068</v>
      </c>
      <c r="CC266" s="281">
        <v>-4359</v>
      </c>
      <c r="CD266" s="281">
        <f>CG266-CC266</f>
        <v>-1644</v>
      </c>
      <c r="CE266" s="281">
        <f>CH266-CG266</f>
        <v>1217</v>
      </c>
      <c r="CF266" s="281">
        <f>CI266-CH266</f>
        <v>4786</v>
      </c>
      <c r="CG266" s="281">
        <v>-6003</v>
      </c>
      <c r="CH266" s="281">
        <v>-4786</v>
      </c>
      <c r="CI266" s="281">
        <v>0</v>
      </c>
      <c r="CJ266" s="281">
        <v>-317</v>
      </c>
      <c r="CK266" s="281">
        <f>CN266-CJ266</f>
        <v>62</v>
      </c>
      <c r="CL266" s="281"/>
      <c r="CM266" s="281"/>
      <c r="CN266" s="281">
        <v>-255</v>
      </c>
      <c r="CO266" s="281"/>
    </row>
    <row r="267" spans="1:93" s="289" customFormat="1" x14ac:dyDescent="0.25">
      <c r="A267" s="378" t="str">
        <f>Language!C201</f>
        <v>Diferido</v>
      </c>
      <c r="B267" s="278">
        <v>1575</v>
      </c>
      <c r="C267" s="278">
        <v>1278</v>
      </c>
      <c r="D267" s="278">
        <v>1523</v>
      </c>
      <c r="E267" s="278">
        <v>1368</v>
      </c>
      <c r="F267" s="279">
        <v>1611</v>
      </c>
      <c r="G267" s="278">
        <v>1588</v>
      </c>
      <c r="H267" s="278">
        <v>1611</v>
      </c>
      <c r="I267" s="278">
        <v>1562</v>
      </c>
      <c r="J267" s="279">
        <v>1716</v>
      </c>
      <c r="K267" s="278">
        <v>1684</v>
      </c>
      <c r="L267" s="278">
        <v>1697</v>
      </c>
      <c r="M267" s="278">
        <v>1571</v>
      </c>
      <c r="N267" s="279">
        <v>1606</v>
      </c>
      <c r="O267" s="278">
        <v>-6290</v>
      </c>
      <c r="P267" s="278">
        <v>-12006</v>
      </c>
      <c r="Q267" s="278">
        <v>8292</v>
      </c>
      <c r="R267" s="279">
        <v>-42068</v>
      </c>
      <c r="S267" s="280">
        <v>7009</v>
      </c>
      <c r="T267" s="280">
        <f t="shared" si="1550"/>
        <v>-4786</v>
      </c>
      <c r="U267" s="280">
        <f>X267-W267</f>
        <v>4429</v>
      </c>
      <c r="V267" s="280">
        <f t="shared" si="1579"/>
        <v>-35059</v>
      </c>
      <c r="W267" s="281">
        <v>-39845</v>
      </c>
      <c r="X267" s="282">
        <v>-35416</v>
      </c>
      <c r="Y267" s="283">
        <v>1667</v>
      </c>
      <c r="Z267" s="281">
        <f t="shared" si="1580"/>
        <v>3783</v>
      </c>
      <c r="AA267" s="280">
        <f t="shared" si="1553"/>
        <v>4016</v>
      </c>
      <c r="AB267" s="280">
        <f>AE267-AD267</f>
        <v>5889</v>
      </c>
      <c r="AC267" s="281">
        <v>5450</v>
      </c>
      <c r="AD267" s="281">
        <v>9466</v>
      </c>
      <c r="AE267" s="282">
        <v>15355</v>
      </c>
      <c r="AF267" s="281">
        <v>4899.3343476607079</v>
      </c>
      <c r="AG267" s="281">
        <f t="shared" si="1230"/>
        <v>4148.4333475426229</v>
      </c>
      <c r="AH267" s="281">
        <f t="shared" si="1523"/>
        <v>3411.1955330821456</v>
      </c>
      <c r="AI267" s="281">
        <f t="shared" si="1524"/>
        <v>-2395.9632282854764</v>
      </c>
      <c r="AJ267" s="281">
        <v>9047.7676952033307</v>
      </c>
      <c r="AK267" s="281">
        <v>12458.963228285476</v>
      </c>
      <c r="AL267" s="282">
        <v>10063</v>
      </c>
      <c r="AM267" s="281">
        <v>1662</v>
      </c>
      <c r="AN267" s="281">
        <f t="shared" si="1527"/>
        <v>9988</v>
      </c>
      <c r="AO267" s="281">
        <f t="shared" si="1528"/>
        <v>3114.8682999124248</v>
      </c>
      <c r="AP267" s="281">
        <f t="shared" si="1528"/>
        <v>3557.1259293719268</v>
      </c>
      <c r="AQ267" s="281">
        <v>11650</v>
      </c>
      <c r="AR267" s="281">
        <v>14764.868299912425</v>
      </c>
      <c r="AS267" s="282">
        <v>18321.994229284352</v>
      </c>
      <c r="AT267" s="281">
        <v>12508.992899999999</v>
      </c>
      <c r="AU267" s="281">
        <f t="shared" si="1581"/>
        <v>11883.400500000002</v>
      </c>
      <c r="AV267" s="281">
        <f>AY267-AX267</f>
        <v>13584.861399999994</v>
      </c>
      <c r="AW267" s="281">
        <f t="shared" si="1532"/>
        <v>13204.884000000005</v>
      </c>
      <c r="AX267" s="281">
        <v>24392.393400000001</v>
      </c>
      <c r="AY267" s="281">
        <v>37977.254799999995</v>
      </c>
      <c r="AZ267" s="281">
        <v>51182.138800000001</v>
      </c>
      <c r="BA267" s="281">
        <v>2359</v>
      </c>
      <c r="BB267" s="281">
        <f>BE267-BA267</f>
        <v>1122</v>
      </c>
      <c r="BC267" s="281">
        <f>BF267-BE267</f>
        <v>7386</v>
      </c>
      <c r="BD267" s="281">
        <f>BG267-BF267</f>
        <v>6138</v>
      </c>
      <c r="BE267" s="281">
        <v>3481</v>
      </c>
      <c r="BF267" s="281">
        <v>10867</v>
      </c>
      <c r="BG267" s="281">
        <v>17005</v>
      </c>
      <c r="BH267" s="281">
        <v>5530</v>
      </c>
      <c r="BI267" s="281">
        <f>BL267-BH267</f>
        <v>10487</v>
      </c>
      <c r="BJ267" s="281">
        <f>BM267-BL267</f>
        <v>-5720</v>
      </c>
      <c r="BK267" s="281">
        <f>BN267-BM267</f>
        <v>2108</v>
      </c>
      <c r="BL267" s="281">
        <v>16017</v>
      </c>
      <c r="BM267" s="281">
        <v>10297</v>
      </c>
      <c r="BN267" s="281">
        <v>12405</v>
      </c>
      <c r="BO267" s="281">
        <v>2089</v>
      </c>
      <c r="BP267" s="281">
        <f>BS267-BO267</f>
        <v>2620</v>
      </c>
      <c r="BQ267" s="281">
        <f>BT267-BS267</f>
        <v>1851</v>
      </c>
      <c r="BR267" s="281">
        <f>BU267-BT267</f>
        <v>2310</v>
      </c>
      <c r="BS267" s="281">
        <v>4709</v>
      </c>
      <c r="BT267" s="281">
        <v>6560</v>
      </c>
      <c r="BU267" s="281">
        <v>8870</v>
      </c>
      <c r="BV267" s="281">
        <v>2967</v>
      </c>
      <c r="BW267" s="281">
        <f>BZ267-BV267</f>
        <v>2975</v>
      </c>
      <c r="BX267" s="281">
        <f>CA267-BZ267</f>
        <v>1910</v>
      </c>
      <c r="BY267" s="281">
        <f>CB267-CA267</f>
        <v>3533</v>
      </c>
      <c r="BZ267" s="281">
        <v>5942</v>
      </c>
      <c r="CA267" s="281">
        <v>7852</v>
      </c>
      <c r="CB267" s="281">
        <v>11385</v>
      </c>
      <c r="CC267" s="281">
        <v>2822</v>
      </c>
      <c r="CD267" s="281">
        <f>CG267-CC267</f>
        <v>2870</v>
      </c>
      <c r="CE267" s="281">
        <f>CH267-CG267</f>
        <v>1839</v>
      </c>
      <c r="CF267" s="281">
        <f>CI267-CH267</f>
        <v>-21465</v>
      </c>
      <c r="CG267" s="281">
        <v>5692</v>
      </c>
      <c r="CH267" s="281">
        <v>7531</v>
      </c>
      <c r="CI267" s="281">
        <v>-13934</v>
      </c>
      <c r="CJ267" s="281">
        <v>1689</v>
      </c>
      <c r="CK267" s="281">
        <f>CN267-CJ267</f>
        <v>5160</v>
      </c>
      <c r="CL267" s="281"/>
      <c r="CM267" s="281"/>
      <c r="CN267" s="281">
        <v>6849</v>
      </c>
      <c r="CO267" s="281"/>
    </row>
    <row r="268" spans="1:93" s="289" customFormat="1" x14ac:dyDescent="0.25">
      <c r="A268" s="523" t="str">
        <f>Language!C202</f>
        <v>Econorte</v>
      </c>
      <c r="B268" s="289">
        <f t="shared" ref="B268:R268" si="1582">SUM(B269,B270)</f>
        <v>-2142</v>
      </c>
      <c r="C268" s="289">
        <f t="shared" si="1582"/>
        <v>-2141</v>
      </c>
      <c r="D268" s="289">
        <f t="shared" si="1582"/>
        <v>-2108</v>
      </c>
      <c r="E268" s="289">
        <f t="shared" si="1582"/>
        <v>-4174</v>
      </c>
      <c r="F268" s="290">
        <f t="shared" si="1582"/>
        <v>-4002</v>
      </c>
      <c r="G268" s="289">
        <f t="shared" si="1582"/>
        <v>-5069</v>
      </c>
      <c r="H268" s="289">
        <f t="shared" si="1582"/>
        <v>-5390</v>
      </c>
      <c r="I268" s="289">
        <f t="shared" si="1582"/>
        <v>-4961</v>
      </c>
      <c r="J268" s="290">
        <f t="shared" si="1582"/>
        <v>-5129</v>
      </c>
      <c r="K268" s="289">
        <f t="shared" si="1582"/>
        <v>-4457</v>
      </c>
      <c r="L268" s="289">
        <f t="shared" si="1582"/>
        <v>-4690</v>
      </c>
      <c r="M268" s="289">
        <f t="shared" si="1582"/>
        <v>-4280</v>
      </c>
      <c r="N268" s="290">
        <f t="shared" si="1582"/>
        <v>-3840</v>
      </c>
      <c r="O268" s="289">
        <f t="shared" si="1582"/>
        <v>-2733</v>
      </c>
      <c r="P268" s="289">
        <f t="shared" si="1582"/>
        <v>-2515</v>
      </c>
      <c r="Q268" s="289">
        <f t="shared" si="1582"/>
        <v>-3697</v>
      </c>
      <c r="R268" s="290">
        <f t="shared" si="1582"/>
        <v>-1475</v>
      </c>
      <c r="S268" s="291">
        <f t="shared" ref="S268:W268" si="1583">SUM(S269,S270)</f>
        <v>758</v>
      </c>
      <c r="T268" s="291">
        <f t="shared" ref="T268:U268" si="1584">SUM(T269,T270)</f>
        <v>-437</v>
      </c>
      <c r="U268" s="291">
        <f t="shared" si="1584"/>
        <v>-5001</v>
      </c>
      <c r="V268" s="291"/>
      <c r="W268" s="292">
        <f t="shared" si="1583"/>
        <v>-1154</v>
      </c>
      <c r="X268" s="293">
        <f t="shared" ref="X268" si="1585">SUM(X269,X270)</f>
        <v>-6155</v>
      </c>
      <c r="Y268" s="294">
        <f>SUM(Y269,Y270)</f>
        <v>-359</v>
      </c>
      <c r="Z268" s="292">
        <f t="shared" ref="Z268:AC268" si="1586">SUM(Z269,Z270)</f>
        <v>-185</v>
      </c>
      <c r="AA268" s="291">
        <f t="shared" si="1586"/>
        <v>-1615</v>
      </c>
      <c r="AB268" s="291">
        <f t="shared" si="1586"/>
        <v>-81</v>
      </c>
      <c r="AC268" s="292">
        <f t="shared" si="1586"/>
        <v>-544</v>
      </c>
      <c r="AD268" s="292">
        <f t="shared" ref="AD268:AE268" si="1587">SUM(AD269,AD270)</f>
        <v>-2159</v>
      </c>
      <c r="AE268" s="293">
        <f t="shared" si="1587"/>
        <v>-2240</v>
      </c>
      <c r="AF268" s="292">
        <f t="shared" ref="AF268:AJ268" si="1588">SUM(AF269,AF270)</f>
        <v>-452.68290743110083</v>
      </c>
      <c r="AG268" s="292">
        <f t="shared" si="1230"/>
        <v>-1437.0104137347007</v>
      </c>
      <c r="AH268" s="292">
        <f t="shared" si="1523"/>
        <v>-4654.930859699205</v>
      </c>
      <c r="AI268" s="292">
        <f t="shared" si="1524"/>
        <v>-3245.3758191349934</v>
      </c>
      <c r="AJ268" s="292">
        <f t="shared" si="1588"/>
        <v>-1889.6933211658015</v>
      </c>
      <c r="AK268" s="292">
        <f t="shared" ref="AK268" si="1589">SUM(AK269,AK270)</f>
        <v>-6544.6241808650066</v>
      </c>
      <c r="AL268" s="293">
        <f t="shared" ref="AL268:AQ268" si="1590">SUM(AL269,AL270)</f>
        <v>-9790</v>
      </c>
      <c r="AM268" s="292">
        <f t="shared" si="1590"/>
        <v>-1697</v>
      </c>
      <c r="AN268" s="292">
        <f t="shared" si="1527"/>
        <v>-751</v>
      </c>
      <c r="AO268" s="292">
        <f t="shared" si="1528"/>
        <v>-1718.6004086856938</v>
      </c>
      <c r="AP268" s="292">
        <f t="shared" si="1528"/>
        <v>-8399.5524340013471</v>
      </c>
      <c r="AQ268" s="292">
        <f t="shared" si="1590"/>
        <v>-2448</v>
      </c>
      <c r="AR268" s="292">
        <f t="shared" ref="AR268:AS268" si="1591">SUM(AR269,AR270)</f>
        <v>-4166.6004086856938</v>
      </c>
      <c r="AS268" s="293">
        <f t="shared" si="1591"/>
        <v>-12566.152842687041</v>
      </c>
      <c r="AT268" s="292">
        <f>((SUM(AT269,AT270))+0)+0</f>
        <v>298</v>
      </c>
      <c r="AU268" s="292">
        <f t="shared" ref="AU268" si="1592">(SUM(AU269,AU270))+0</f>
        <v>-16</v>
      </c>
      <c r="AV268" s="292">
        <f>((SUM(AV269,AV270))+0)+0</f>
        <v>-16</v>
      </c>
      <c r="AW268" s="292">
        <f t="shared" si="1532"/>
        <v>-17</v>
      </c>
      <c r="AX268" s="292">
        <f t="shared" ref="AX268:BE268" si="1593">(SUM(AX269,AX270))+0</f>
        <v>282</v>
      </c>
      <c r="AY268" s="292">
        <f t="shared" si="1593"/>
        <v>266</v>
      </c>
      <c r="AZ268" s="292">
        <f t="shared" si="1593"/>
        <v>249</v>
      </c>
      <c r="BA268" s="292">
        <f t="shared" si="1593"/>
        <v>-4412</v>
      </c>
      <c r="BB268" s="292">
        <f t="shared" si="1593"/>
        <v>1208</v>
      </c>
      <c r="BC268" s="292">
        <f t="shared" si="1593"/>
        <v>-1828</v>
      </c>
      <c r="BD268" s="292">
        <f t="shared" si="1593"/>
        <v>-1687</v>
      </c>
      <c r="BE268" s="292">
        <f t="shared" si="1593"/>
        <v>-3204</v>
      </c>
      <c r="BF268" s="292">
        <f t="shared" ref="BF268:BG268" si="1594">(SUM(BF269,BF270))+0</f>
        <v>-5032</v>
      </c>
      <c r="BG268" s="292">
        <f t="shared" si="1594"/>
        <v>-6719</v>
      </c>
      <c r="BH268" s="292">
        <f t="shared" ref="BH268:BL268" si="1595">(SUM(BH269,BH270))+0</f>
        <v>-322</v>
      </c>
      <c r="BI268" s="292">
        <f t="shared" si="1595"/>
        <v>290</v>
      </c>
      <c r="BJ268" s="292">
        <f t="shared" si="1595"/>
        <v>-16</v>
      </c>
      <c r="BK268" s="292">
        <f t="shared" si="1595"/>
        <v>-16</v>
      </c>
      <c r="BL268" s="292">
        <f t="shared" si="1595"/>
        <v>-32</v>
      </c>
      <c r="BM268" s="292">
        <f t="shared" ref="BM268:BN268" si="1596">(SUM(BM269,BM270))+0</f>
        <v>-48</v>
      </c>
      <c r="BN268" s="292">
        <f t="shared" si="1596"/>
        <v>-64</v>
      </c>
      <c r="BO268" s="292">
        <f t="shared" ref="BO268:BS268" si="1597">(SUM(BO269,BO270))+0</f>
        <v>-4</v>
      </c>
      <c r="BP268" s="292">
        <f t="shared" si="1597"/>
        <v>-4</v>
      </c>
      <c r="BQ268" s="292">
        <f t="shared" si="1597"/>
        <v>-3</v>
      </c>
      <c r="BR268" s="292">
        <f t="shared" si="1597"/>
        <v>-4</v>
      </c>
      <c r="BS268" s="292">
        <f t="shared" si="1597"/>
        <v>-8</v>
      </c>
      <c r="BT268" s="292">
        <f t="shared" ref="BT268:BU268" si="1598">(SUM(BT269,BT270))+0</f>
        <v>-11</v>
      </c>
      <c r="BU268" s="292">
        <f t="shared" si="1598"/>
        <v>-15</v>
      </c>
      <c r="BV268" s="292">
        <f t="shared" ref="BV268:BY268" si="1599">(SUM(BV269,BV270))+0</f>
        <v>0</v>
      </c>
      <c r="BW268" s="292">
        <f t="shared" si="1599"/>
        <v>0</v>
      </c>
      <c r="BX268" s="292">
        <f t="shared" si="1599"/>
        <v>0</v>
      </c>
      <c r="BY268" s="292">
        <f t="shared" si="1599"/>
        <v>0</v>
      </c>
      <c r="BZ268" s="292">
        <f t="shared" ref="BZ268:CA268" si="1600">(SUM(BZ269,BZ270))+0</f>
        <v>0</v>
      </c>
      <c r="CA268" s="292">
        <f t="shared" si="1600"/>
        <v>0</v>
      </c>
      <c r="CB268" s="292">
        <f t="shared" ref="CB268:CC268" si="1601">(SUM(CB269,CB270))+0</f>
        <v>0</v>
      </c>
      <c r="CC268" s="292">
        <f t="shared" si="1601"/>
        <v>0</v>
      </c>
      <c r="CD268" s="292">
        <f t="shared" ref="CD268" si="1602">(SUM(CD269,CD270))+0</f>
        <v>0</v>
      </c>
      <c r="CE268" s="292">
        <f t="shared" ref="CE268:CG268" si="1603">(SUM(CE269,CE270))+0</f>
        <v>0</v>
      </c>
      <c r="CF268" s="292">
        <f t="shared" si="1603"/>
        <v>0</v>
      </c>
      <c r="CG268" s="292">
        <f t="shared" si="1603"/>
        <v>0</v>
      </c>
      <c r="CH268" s="292">
        <f t="shared" ref="CH268:CI268" si="1604">(SUM(CH269,CH270))+0</f>
        <v>0</v>
      </c>
      <c r="CI268" s="292">
        <f t="shared" si="1604"/>
        <v>0</v>
      </c>
      <c r="CJ268" s="292">
        <v>0</v>
      </c>
      <c r="CK268" s="292">
        <f t="shared" ref="CK268" si="1605">(SUM(CK269,CK270))+0</f>
        <v>0</v>
      </c>
      <c r="CL268" s="292">
        <f t="shared" ref="CL268:CO268" si="1606">(SUM(CL269,CL270))+0</f>
        <v>0</v>
      </c>
      <c r="CM268" s="292">
        <f t="shared" si="1606"/>
        <v>0</v>
      </c>
      <c r="CN268" s="292">
        <f t="shared" si="1606"/>
        <v>0</v>
      </c>
      <c r="CO268" s="292">
        <f t="shared" si="1606"/>
        <v>0</v>
      </c>
    </row>
    <row r="269" spans="1:93" s="289" customFormat="1" x14ac:dyDescent="0.25">
      <c r="A269" s="378" t="str">
        <f>Language!C203</f>
        <v>Corrente</v>
      </c>
      <c r="B269" s="278">
        <v>-2467</v>
      </c>
      <c r="C269" s="278">
        <v>-3384</v>
      </c>
      <c r="D269" s="278">
        <v>-3419</v>
      </c>
      <c r="E269" s="278">
        <v>-5267</v>
      </c>
      <c r="F269" s="279">
        <v>-4762</v>
      </c>
      <c r="G269" s="278">
        <v>-4950</v>
      </c>
      <c r="H269" s="278">
        <v>-5430</v>
      </c>
      <c r="I269" s="278">
        <v>-5059</v>
      </c>
      <c r="J269" s="279">
        <v>-4972</v>
      </c>
      <c r="K269" s="278">
        <v>-4179</v>
      </c>
      <c r="L269" s="278">
        <v>-4334</v>
      </c>
      <c r="M269" s="278">
        <v>-3256</v>
      </c>
      <c r="N269" s="279">
        <v>-3351</v>
      </c>
      <c r="O269" s="278">
        <v>-1891</v>
      </c>
      <c r="P269" s="278">
        <v>-1163</v>
      </c>
      <c r="Q269" s="278">
        <v>-1633</v>
      </c>
      <c r="R269" s="279">
        <v>-3234</v>
      </c>
      <c r="S269" s="280">
        <v>-963</v>
      </c>
      <c r="T269" s="280">
        <f t="shared" ref="T269:T270" si="1607">W269-S269-R269</f>
        <v>-2659</v>
      </c>
      <c r="U269" s="280">
        <f>X269-W269</f>
        <v>-10756</v>
      </c>
      <c r="V269" s="280">
        <f t="shared" ref="V269:V270" si="1608">R269+S269</f>
        <v>-4197</v>
      </c>
      <c r="W269" s="281">
        <v>-6856</v>
      </c>
      <c r="X269" s="282">
        <v>-17612</v>
      </c>
      <c r="Y269" s="283">
        <v>-4757</v>
      </c>
      <c r="Z269" s="281">
        <f t="shared" ref="Z269:Z270" si="1609">AC269-Y269</f>
        <v>-5105</v>
      </c>
      <c r="AA269" s="280">
        <f t="shared" ref="AA269:AA270" si="1610">AD269-Z269-Y269</f>
        <v>-4496</v>
      </c>
      <c r="AB269" s="280">
        <f>AE269-AD269</f>
        <v>-3796</v>
      </c>
      <c r="AC269" s="281">
        <v>-9862</v>
      </c>
      <c r="AD269" s="281">
        <v>-14358</v>
      </c>
      <c r="AE269" s="282">
        <v>-18154</v>
      </c>
      <c r="AF269" s="281">
        <v>-3323</v>
      </c>
      <c r="AG269" s="281">
        <f t="shared" si="1230"/>
        <v>-4885</v>
      </c>
      <c r="AH269" s="281">
        <f t="shared" si="1523"/>
        <v>-6256</v>
      </c>
      <c r="AI269" s="281">
        <f t="shared" si="1524"/>
        <v>-5543</v>
      </c>
      <c r="AJ269" s="281">
        <v>-8208</v>
      </c>
      <c r="AK269" s="281">
        <v>-14464</v>
      </c>
      <c r="AL269" s="282">
        <v>-20007</v>
      </c>
      <c r="AM269" s="281">
        <v>-5465</v>
      </c>
      <c r="AN269" s="281">
        <f t="shared" si="1527"/>
        <v>-2501</v>
      </c>
      <c r="AO269" s="281">
        <f t="shared" si="1528"/>
        <v>-5906</v>
      </c>
      <c r="AP269" s="281">
        <f t="shared" si="1528"/>
        <v>3035</v>
      </c>
      <c r="AQ269" s="281">
        <v>-7966</v>
      </c>
      <c r="AR269" s="281">
        <v>-13872</v>
      </c>
      <c r="AS269" s="282">
        <v>-10837</v>
      </c>
      <c r="AT269" s="281">
        <v>-17</v>
      </c>
      <c r="AU269" s="281">
        <f t="shared" si="1581"/>
        <v>-16</v>
      </c>
      <c r="AV269" s="281">
        <f>AY269-AX269</f>
        <v>-16</v>
      </c>
      <c r="AW269" s="281">
        <f t="shared" si="1532"/>
        <v>-17</v>
      </c>
      <c r="AX269" s="281">
        <v>-33</v>
      </c>
      <c r="AY269" s="281">
        <v>-49</v>
      </c>
      <c r="AZ269" s="281">
        <v>-66</v>
      </c>
      <c r="BA269" s="281">
        <v>-4412</v>
      </c>
      <c r="BB269" s="281">
        <f>BE269-BA269</f>
        <v>1208</v>
      </c>
      <c r="BC269" s="281">
        <f>BF269-BE269</f>
        <v>-1828</v>
      </c>
      <c r="BD269" s="281">
        <f>BG269-BF269</f>
        <v>-1687</v>
      </c>
      <c r="BE269" s="281">
        <v>-3204</v>
      </c>
      <c r="BF269" s="281">
        <v>-5032</v>
      </c>
      <c r="BG269" s="281">
        <v>-6719</v>
      </c>
      <c r="BH269" s="281">
        <v>-322</v>
      </c>
      <c r="BI269" s="281">
        <f>BL269-BH269</f>
        <v>290</v>
      </c>
      <c r="BJ269" s="281">
        <f>BM269-BL269</f>
        <v>-16</v>
      </c>
      <c r="BK269" s="281">
        <f>BN269-BM269</f>
        <v>-16</v>
      </c>
      <c r="BL269" s="281">
        <v>-32</v>
      </c>
      <c r="BM269" s="281">
        <v>-48</v>
      </c>
      <c r="BN269" s="281">
        <v>-64</v>
      </c>
      <c r="BO269" s="281">
        <v>-4</v>
      </c>
      <c r="BP269" s="281">
        <f>BS269-BO269</f>
        <v>-4</v>
      </c>
      <c r="BQ269" s="281">
        <f>BT269-BS269</f>
        <v>-3</v>
      </c>
      <c r="BR269" s="281">
        <f>BU269-BT269</f>
        <v>-4</v>
      </c>
      <c r="BS269" s="281">
        <v>-8</v>
      </c>
      <c r="BT269" s="281">
        <v>-11</v>
      </c>
      <c r="BU269" s="281">
        <v>-15</v>
      </c>
      <c r="BV269" s="281">
        <v>0</v>
      </c>
      <c r="BW269" s="281">
        <v>0</v>
      </c>
      <c r="BX269" s="281">
        <v>0</v>
      </c>
      <c r="BY269" s="281">
        <v>0</v>
      </c>
      <c r="BZ269" s="281">
        <v>0</v>
      </c>
      <c r="CA269" s="281">
        <v>0</v>
      </c>
      <c r="CB269" s="281">
        <v>0</v>
      </c>
      <c r="CC269" s="281">
        <v>0</v>
      </c>
      <c r="CD269" s="281">
        <f>CG269-CC269</f>
        <v>0</v>
      </c>
      <c r="CE269" s="281">
        <v>0</v>
      </c>
      <c r="CF269" s="281">
        <v>0</v>
      </c>
      <c r="CG269" s="281">
        <v>0</v>
      </c>
      <c r="CH269" s="281">
        <v>0</v>
      </c>
      <c r="CI269" s="281">
        <v>0</v>
      </c>
      <c r="CJ269" s="281">
        <v>0</v>
      </c>
      <c r="CK269" s="281">
        <v>0</v>
      </c>
      <c r="CL269" s="281">
        <v>0</v>
      </c>
      <c r="CM269" s="281">
        <v>0</v>
      </c>
      <c r="CN269" s="281">
        <v>0</v>
      </c>
      <c r="CO269" s="281">
        <v>0</v>
      </c>
    </row>
    <row r="270" spans="1:93" s="289" customFormat="1" x14ac:dyDescent="0.25">
      <c r="A270" s="378" t="str">
        <f>Language!C204</f>
        <v>Diferido</v>
      </c>
      <c r="B270" s="278">
        <v>325</v>
      </c>
      <c r="C270" s="278">
        <v>1243</v>
      </c>
      <c r="D270" s="278">
        <v>1311</v>
      </c>
      <c r="E270" s="278">
        <v>1093</v>
      </c>
      <c r="F270" s="279">
        <v>760</v>
      </c>
      <c r="G270" s="278">
        <v>-119</v>
      </c>
      <c r="H270" s="278">
        <v>40</v>
      </c>
      <c r="I270" s="278">
        <v>98</v>
      </c>
      <c r="J270" s="279">
        <v>-157</v>
      </c>
      <c r="K270" s="278">
        <v>-278</v>
      </c>
      <c r="L270" s="278">
        <v>-356</v>
      </c>
      <c r="M270" s="278">
        <v>-1024</v>
      </c>
      <c r="N270" s="279">
        <v>-489</v>
      </c>
      <c r="O270" s="278">
        <v>-842</v>
      </c>
      <c r="P270" s="278">
        <v>-1352</v>
      </c>
      <c r="Q270" s="278">
        <v>-2064</v>
      </c>
      <c r="R270" s="279">
        <v>1759</v>
      </c>
      <c r="S270" s="280">
        <v>1721</v>
      </c>
      <c r="T270" s="280">
        <f t="shared" si="1607"/>
        <v>2222</v>
      </c>
      <c r="U270" s="280">
        <f>X270-W270</f>
        <v>5755</v>
      </c>
      <c r="V270" s="280">
        <f t="shared" si="1608"/>
        <v>3480</v>
      </c>
      <c r="W270" s="281">
        <v>5702</v>
      </c>
      <c r="X270" s="282">
        <v>11457</v>
      </c>
      <c r="Y270" s="283">
        <v>4398</v>
      </c>
      <c r="Z270" s="281">
        <f t="shared" si="1609"/>
        <v>4920</v>
      </c>
      <c r="AA270" s="280">
        <f t="shared" si="1610"/>
        <v>2881</v>
      </c>
      <c r="AB270" s="280">
        <f>AE270-AD270</f>
        <v>3715</v>
      </c>
      <c r="AC270" s="281">
        <v>9318</v>
      </c>
      <c r="AD270" s="281">
        <v>12199</v>
      </c>
      <c r="AE270" s="282">
        <v>15914</v>
      </c>
      <c r="AF270" s="281">
        <v>2870.3170925688992</v>
      </c>
      <c r="AG270" s="281">
        <f t="shared" si="1230"/>
        <v>3447.9895862652993</v>
      </c>
      <c r="AH270" s="281">
        <f t="shared" si="1523"/>
        <v>1601.069140300795</v>
      </c>
      <c r="AI270" s="281">
        <f t="shared" si="1524"/>
        <v>2297.6241808650066</v>
      </c>
      <c r="AJ270" s="281">
        <v>6318.3066788341985</v>
      </c>
      <c r="AK270" s="281">
        <v>7919.3758191349934</v>
      </c>
      <c r="AL270" s="282">
        <v>10217</v>
      </c>
      <c r="AM270" s="281">
        <v>3768</v>
      </c>
      <c r="AN270" s="281">
        <f t="shared" si="1527"/>
        <v>1750</v>
      </c>
      <c r="AO270" s="281">
        <f t="shared" si="1528"/>
        <v>4187.3995913143062</v>
      </c>
      <c r="AP270" s="281">
        <f t="shared" si="1528"/>
        <v>-11434.552434001347</v>
      </c>
      <c r="AQ270" s="281">
        <v>5518</v>
      </c>
      <c r="AR270" s="281">
        <v>9705.3995913143062</v>
      </c>
      <c r="AS270" s="282">
        <v>-1729.1528426870402</v>
      </c>
      <c r="AT270" s="281">
        <v>315</v>
      </c>
      <c r="AU270" s="281">
        <f t="shared" si="1581"/>
        <v>0</v>
      </c>
      <c r="AV270" s="281">
        <f>AY270-AX270</f>
        <v>0</v>
      </c>
      <c r="AW270" s="281">
        <f t="shared" si="1532"/>
        <v>0</v>
      </c>
      <c r="AX270" s="281">
        <v>315</v>
      </c>
      <c r="AY270" s="281">
        <v>315</v>
      </c>
      <c r="AZ270" s="281">
        <v>315</v>
      </c>
      <c r="BA270" s="281">
        <v>0</v>
      </c>
      <c r="BB270" s="281">
        <f>BE270</f>
        <v>0</v>
      </c>
      <c r="BC270" s="281"/>
      <c r="BD270" s="281"/>
      <c r="BE270" s="281">
        <v>0</v>
      </c>
      <c r="BF270" s="281">
        <v>0</v>
      </c>
      <c r="BG270" s="281">
        <v>0</v>
      </c>
      <c r="BH270" s="281">
        <v>0</v>
      </c>
      <c r="BI270" s="281">
        <v>0</v>
      </c>
      <c r="BJ270" s="281">
        <v>0</v>
      </c>
      <c r="BK270" s="281">
        <v>0</v>
      </c>
      <c r="BL270" s="281">
        <v>0</v>
      </c>
      <c r="BM270" s="281">
        <v>0</v>
      </c>
      <c r="BN270" s="281"/>
      <c r="BO270" s="281"/>
      <c r="BP270" s="281"/>
      <c r="BQ270" s="281"/>
      <c r="BR270" s="281"/>
      <c r="BS270" s="281"/>
      <c r="BT270" s="281"/>
      <c r="BU270" s="281"/>
      <c r="BV270" s="281"/>
      <c r="BW270" s="281"/>
      <c r="BX270" s="281"/>
      <c r="BY270" s="281"/>
      <c r="BZ270" s="281"/>
      <c r="CA270" s="281"/>
      <c r="CB270" s="281"/>
      <c r="CC270" s="281"/>
      <c r="CD270" s="281"/>
      <c r="CE270" s="281"/>
      <c r="CF270" s="281"/>
      <c r="CG270" s="281"/>
      <c r="CH270" s="281"/>
      <c r="CI270" s="281">
        <v>0</v>
      </c>
      <c r="CJ270" s="281">
        <v>0</v>
      </c>
      <c r="CK270" s="281">
        <v>0</v>
      </c>
      <c r="CL270" s="281">
        <v>0</v>
      </c>
      <c r="CM270" s="281">
        <v>0</v>
      </c>
      <c r="CN270" s="281">
        <v>0</v>
      </c>
      <c r="CO270" s="281">
        <v>0</v>
      </c>
    </row>
    <row r="271" spans="1:93" s="289" customFormat="1" x14ac:dyDescent="0.25">
      <c r="A271" s="523" t="str">
        <f>Language!C205</f>
        <v>Concebra</v>
      </c>
      <c r="B271" s="289">
        <f t="shared" ref="B271:R271" si="1611">SUM(B272,B273)</f>
        <v>0</v>
      </c>
      <c r="C271" s="289">
        <f t="shared" si="1611"/>
        <v>0</v>
      </c>
      <c r="D271" s="289">
        <f t="shared" si="1611"/>
        <v>0</v>
      </c>
      <c r="E271" s="289">
        <f t="shared" si="1611"/>
        <v>0</v>
      </c>
      <c r="F271" s="290">
        <f t="shared" si="1611"/>
        <v>0</v>
      </c>
      <c r="G271" s="289">
        <f t="shared" si="1611"/>
        <v>0</v>
      </c>
      <c r="H271" s="289">
        <f t="shared" si="1611"/>
        <v>0</v>
      </c>
      <c r="I271" s="289">
        <f t="shared" si="1611"/>
        <v>0</v>
      </c>
      <c r="J271" s="290">
        <f t="shared" si="1611"/>
        <v>0</v>
      </c>
      <c r="K271" s="289">
        <f t="shared" si="1611"/>
        <v>0</v>
      </c>
      <c r="L271" s="289">
        <f t="shared" si="1611"/>
        <v>0</v>
      </c>
      <c r="M271" s="289">
        <f t="shared" si="1611"/>
        <v>0</v>
      </c>
      <c r="N271" s="290">
        <f t="shared" si="1611"/>
        <v>0</v>
      </c>
      <c r="O271" s="289">
        <f t="shared" si="1611"/>
        <v>-1838</v>
      </c>
      <c r="P271" s="289">
        <f t="shared" si="1611"/>
        <v>-485</v>
      </c>
      <c r="Q271" s="289">
        <f t="shared" si="1611"/>
        <v>-2267</v>
      </c>
      <c r="R271" s="290">
        <f t="shared" si="1611"/>
        <v>-524</v>
      </c>
      <c r="S271" s="291">
        <f t="shared" ref="S271:W271" si="1612">SUM(S272,S273)</f>
        <v>-1509</v>
      </c>
      <c r="T271" s="291">
        <f t="shared" ref="T271:U271" si="1613">SUM(T272,T273)</f>
        <v>-8742</v>
      </c>
      <c r="U271" s="291">
        <f t="shared" si="1613"/>
        <v>6638</v>
      </c>
      <c r="V271" s="291"/>
      <c r="W271" s="292">
        <f t="shared" si="1612"/>
        <v>-10775</v>
      </c>
      <c r="X271" s="293">
        <f t="shared" ref="X271" si="1614">SUM(X272,X273)</f>
        <v>-4137</v>
      </c>
      <c r="Y271" s="294">
        <f>SUM(Y272,Y273)</f>
        <v>2791</v>
      </c>
      <c r="Z271" s="292">
        <f t="shared" ref="Z271:AC271" si="1615">SUM(Z272,Z273)</f>
        <v>1016</v>
      </c>
      <c r="AA271" s="291">
        <f t="shared" si="1615"/>
        <v>-539</v>
      </c>
      <c r="AB271" s="291">
        <f t="shared" si="1615"/>
        <v>-104042</v>
      </c>
      <c r="AC271" s="292">
        <f t="shared" si="1615"/>
        <v>3807</v>
      </c>
      <c r="AD271" s="292">
        <f t="shared" ref="AD271:AE271" si="1616">SUM(AD272,AD273)</f>
        <v>3268</v>
      </c>
      <c r="AE271" s="293">
        <f t="shared" si="1616"/>
        <v>-100774</v>
      </c>
      <c r="AF271" s="292">
        <f t="shared" ref="AF271:AJ271" si="1617">SUM(AF272,AF273)</f>
        <v>15817.426709083993</v>
      </c>
      <c r="AG271" s="292">
        <f t="shared" si="1230"/>
        <v>13009.044003286966</v>
      </c>
      <c r="AH271" s="292">
        <f t="shared" si="1523"/>
        <v>-239.79231966274892</v>
      </c>
      <c r="AI271" s="292">
        <f t="shared" si="1524"/>
        <v>5880.3216072917894</v>
      </c>
      <c r="AJ271" s="292">
        <f t="shared" si="1617"/>
        <v>28826.47071237096</v>
      </c>
      <c r="AK271" s="292">
        <f t="shared" ref="AK271" si="1618">SUM(AK272,AK273)</f>
        <v>28586.678392708211</v>
      </c>
      <c r="AL271" s="293">
        <f t="shared" ref="AL271:AQ271" si="1619">SUM(AL272,AL273)</f>
        <v>34467</v>
      </c>
      <c r="AM271" s="292">
        <f t="shared" si="1619"/>
        <v>7293</v>
      </c>
      <c r="AN271" s="292">
        <f t="shared" si="1527"/>
        <v>9387</v>
      </c>
      <c r="AO271" s="292">
        <f t="shared" si="1528"/>
        <v>3163.9359576044735</v>
      </c>
      <c r="AP271" s="292">
        <f t="shared" si="1528"/>
        <v>12623.543377544062</v>
      </c>
      <c r="AQ271" s="292">
        <f t="shared" si="1619"/>
        <v>16680</v>
      </c>
      <c r="AR271" s="292">
        <f t="shared" ref="AR271:AS271" si="1620">SUM(AR272,AR273)</f>
        <v>19843.935957604474</v>
      </c>
      <c r="AS271" s="293">
        <f t="shared" si="1620"/>
        <v>32467.479335148535</v>
      </c>
      <c r="AT271" s="292">
        <f>((SUM(AT272,AT273))+0)+0</f>
        <v>0</v>
      </c>
      <c r="AU271" s="292">
        <f t="shared" ref="AU271" si="1621">(SUM(AU272,AU273))+0</f>
        <v>0</v>
      </c>
      <c r="AV271" s="292">
        <f>((SUM(AV272,AV273))+0)+0</f>
        <v>0</v>
      </c>
      <c r="AW271" s="292">
        <f t="shared" si="1532"/>
        <v>45187</v>
      </c>
      <c r="AX271" s="292">
        <f t="shared" ref="AX271:BE271" si="1622">(SUM(AX272,AX273))+0</f>
        <v>0</v>
      </c>
      <c r="AY271" s="292">
        <f t="shared" si="1622"/>
        <v>0</v>
      </c>
      <c r="AZ271" s="292">
        <f t="shared" si="1622"/>
        <v>45187</v>
      </c>
      <c r="BA271" s="292">
        <f t="shared" si="1622"/>
        <v>-3056</v>
      </c>
      <c r="BB271" s="292">
        <f t="shared" si="1622"/>
        <v>4007</v>
      </c>
      <c r="BC271" s="292">
        <f t="shared" si="1622"/>
        <v>9452</v>
      </c>
      <c r="BD271" s="292">
        <f t="shared" si="1622"/>
        <v>-67207</v>
      </c>
      <c r="BE271" s="292">
        <f t="shared" si="1622"/>
        <v>951</v>
      </c>
      <c r="BF271" s="292">
        <f t="shared" ref="BF271:BG271" si="1623">(SUM(BF272,BF273))+0</f>
        <v>10403</v>
      </c>
      <c r="BG271" s="292">
        <f t="shared" si="1623"/>
        <v>-56804</v>
      </c>
      <c r="BH271" s="292">
        <f t="shared" ref="BH271:BL271" si="1624">(SUM(BH272,BH273))+0</f>
        <v>10085</v>
      </c>
      <c r="BI271" s="292">
        <f t="shared" si="1624"/>
        <v>10932</v>
      </c>
      <c r="BJ271" s="292">
        <f t="shared" si="1624"/>
        <v>3748</v>
      </c>
      <c r="BK271" s="292">
        <f t="shared" si="1624"/>
        <v>13786</v>
      </c>
      <c r="BL271" s="292">
        <f t="shared" si="1624"/>
        <v>21017</v>
      </c>
      <c r="BM271" s="292">
        <f t="shared" ref="BM271:BN271" si="1625">(SUM(BM272,BM273))+0</f>
        <v>24765</v>
      </c>
      <c r="BN271" s="292">
        <f t="shared" si="1625"/>
        <v>38551</v>
      </c>
      <c r="BO271" s="292">
        <f t="shared" ref="BO271:BS271" si="1626">(SUM(BO272,BO273))+0</f>
        <v>4933</v>
      </c>
      <c r="BP271" s="292">
        <f t="shared" si="1626"/>
        <v>-103214</v>
      </c>
      <c r="BQ271" s="292">
        <f t="shared" si="1626"/>
        <v>6273</v>
      </c>
      <c r="BR271" s="292">
        <f t="shared" si="1626"/>
        <v>-9053</v>
      </c>
      <c r="BS271" s="292">
        <f t="shared" si="1626"/>
        <v>-98281</v>
      </c>
      <c r="BT271" s="292">
        <f t="shared" ref="BT271:BU271" si="1627">(SUM(BT272,BT273))+0</f>
        <v>-92008</v>
      </c>
      <c r="BU271" s="292">
        <f t="shared" si="1627"/>
        <v>-101061</v>
      </c>
      <c r="BV271" s="292">
        <f t="shared" ref="BV271:BY271" si="1628">(SUM(BV272,BV273))+0</f>
        <v>5304</v>
      </c>
      <c r="BW271" s="292">
        <f t="shared" si="1628"/>
        <v>4153</v>
      </c>
      <c r="BX271" s="292">
        <f t="shared" si="1628"/>
        <v>70797</v>
      </c>
      <c r="BY271" s="292">
        <f t="shared" si="1628"/>
        <v>-3090</v>
      </c>
      <c r="BZ271" s="292">
        <f t="shared" ref="BZ271:CA271" si="1629">(SUM(BZ272,BZ273))+0</f>
        <v>9457</v>
      </c>
      <c r="CA271" s="292">
        <f t="shared" si="1629"/>
        <v>80254</v>
      </c>
      <c r="CB271" s="292">
        <f t="shared" ref="CB271:CC271" si="1630">(SUM(CB272,CB273))+0</f>
        <v>77164</v>
      </c>
      <c r="CC271" s="292">
        <f t="shared" si="1630"/>
        <v>64</v>
      </c>
      <c r="CD271" s="292">
        <f t="shared" ref="CD271" si="1631">(SUM(CD272,CD273))+0</f>
        <v>-2175</v>
      </c>
      <c r="CE271" s="292">
        <f t="shared" ref="CE271:CG271" si="1632">(SUM(CE272,CE273))+0</f>
        <v>-19934</v>
      </c>
      <c r="CF271" s="292">
        <f t="shared" si="1632"/>
        <v>-23213</v>
      </c>
      <c r="CG271" s="292">
        <f t="shared" si="1632"/>
        <v>-2111</v>
      </c>
      <c r="CH271" s="292">
        <f t="shared" ref="CH271:CI271" si="1633">(SUM(CH272,CH273))+0</f>
        <v>-22045</v>
      </c>
      <c r="CI271" s="292">
        <f t="shared" si="1633"/>
        <v>-45258</v>
      </c>
      <c r="CJ271" s="292">
        <v>-8905</v>
      </c>
      <c r="CK271" s="292">
        <f t="shared" ref="CK271" si="1634">(SUM(CK272,CK273))+0</f>
        <v>-11551</v>
      </c>
      <c r="CL271" s="292">
        <f t="shared" ref="CL271:CO271" si="1635">(SUM(CL272,CL273))+0</f>
        <v>0</v>
      </c>
      <c r="CM271" s="292">
        <f t="shared" si="1635"/>
        <v>0</v>
      </c>
      <c r="CN271" s="292">
        <f t="shared" si="1635"/>
        <v>-20456</v>
      </c>
      <c r="CO271" s="292">
        <f t="shared" si="1635"/>
        <v>0</v>
      </c>
    </row>
    <row r="272" spans="1:93" s="289" customFormat="1" x14ac:dyDescent="0.25">
      <c r="A272" s="378" t="str">
        <f>Language!C206</f>
        <v>Corrente</v>
      </c>
      <c r="B272" s="278">
        <v>0</v>
      </c>
      <c r="C272" s="278">
        <v>0</v>
      </c>
      <c r="D272" s="278">
        <v>0</v>
      </c>
      <c r="E272" s="278">
        <v>0</v>
      </c>
      <c r="F272" s="279">
        <v>0</v>
      </c>
      <c r="G272" s="278">
        <v>0</v>
      </c>
      <c r="H272" s="278">
        <v>0</v>
      </c>
      <c r="I272" s="278">
        <v>0</v>
      </c>
      <c r="J272" s="279">
        <v>0</v>
      </c>
      <c r="K272" s="278">
        <v>0</v>
      </c>
      <c r="L272" s="278">
        <v>0</v>
      </c>
      <c r="M272" s="278">
        <v>0</v>
      </c>
      <c r="N272" s="279">
        <v>0</v>
      </c>
      <c r="O272" s="278">
        <v>-1838</v>
      </c>
      <c r="P272" s="278">
        <v>-485</v>
      </c>
      <c r="Q272" s="278">
        <v>1428</v>
      </c>
      <c r="R272" s="279">
        <v>0</v>
      </c>
      <c r="S272" s="280">
        <v>0</v>
      </c>
      <c r="T272" s="280">
        <f>W272-S272-R272</f>
        <v>-8977</v>
      </c>
      <c r="U272" s="280">
        <f>X272-W272</f>
        <v>8977</v>
      </c>
      <c r="V272" s="280">
        <f t="shared" ref="V272:V273" si="1636">R272+S272</f>
        <v>0</v>
      </c>
      <c r="W272" s="281">
        <v>-8977</v>
      </c>
      <c r="X272" s="282">
        <v>0</v>
      </c>
      <c r="Y272" s="283">
        <v>-787</v>
      </c>
      <c r="Z272" s="281">
        <f t="shared" ref="Z272:Z273" si="1637">AC272-Y272</f>
        <v>-2559</v>
      </c>
      <c r="AA272" s="280">
        <f>AD272-Z272-Y272</f>
        <v>-2181</v>
      </c>
      <c r="AB272" s="280">
        <f>AE272-AD272</f>
        <v>5527</v>
      </c>
      <c r="AC272" s="281">
        <v>-3346</v>
      </c>
      <c r="AD272" s="281">
        <v>-5527</v>
      </c>
      <c r="AE272" s="282">
        <v>0</v>
      </c>
      <c r="AF272" s="281">
        <v>0</v>
      </c>
      <c r="AG272" s="281">
        <f t="shared" si="1230"/>
        <v>0</v>
      </c>
      <c r="AH272" s="281">
        <f t="shared" si="1523"/>
        <v>0</v>
      </c>
      <c r="AI272" s="281">
        <f t="shared" si="1524"/>
        <v>0</v>
      </c>
      <c r="AJ272" s="281">
        <v>0</v>
      </c>
      <c r="AK272" s="281">
        <v>0</v>
      </c>
      <c r="AL272" s="282">
        <v>0</v>
      </c>
      <c r="AM272" s="281">
        <v>0</v>
      </c>
      <c r="AN272" s="281">
        <f t="shared" si="1527"/>
        <v>0</v>
      </c>
      <c r="AO272" s="281">
        <f t="shared" si="1528"/>
        <v>0</v>
      </c>
      <c r="AP272" s="281">
        <f t="shared" si="1528"/>
        <v>0</v>
      </c>
      <c r="AQ272" s="281">
        <v>0</v>
      </c>
      <c r="AR272" s="281"/>
      <c r="AS272" s="282"/>
      <c r="AT272" s="281">
        <v>0</v>
      </c>
      <c r="AU272" s="281">
        <v>0</v>
      </c>
      <c r="AV272" s="281">
        <v>0</v>
      </c>
      <c r="AW272" s="281">
        <f t="shared" si="1532"/>
        <v>-3443</v>
      </c>
      <c r="AX272" s="281">
        <v>0</v>
      </c>
      <c r="AY272" s="281">
        <v>0</v>
      </c>
      <c r="AZ272" s="281">
        <v>-3443</v>
      </c>
      <c r="BA272" s="281">
        <v>0</v>
      </c>
      <c r="BB272" s="281">
        <f>BE272-BA272</f>
        <v>0</v>
      </c>
      <c r="BC272" s="281">
        <f>BF272-BE272</f>
        <v>0</v>
      </c>
      <c r="BD272" s="281">
        <f>BG272-BF272</f>
        <v>0</v>
      </c>
      <c r="BE272" s="281">
        <v>0</v>
      </c>
      <c r="BF272" s="281">
        <v>0</v>
      </c>
      <c r="BG272" s="281">
        <v>0</v>
      </c>
      <c r="BH272" s="281">
        <v>0</v>
      </c>
      <c r="BI272" s="281">
        <v>0</v>
      </c>
      <c r="BJ272" s="281">
        <v>0</v>
      </c>
      <c r="BK272" s="281">
        <v>0</v>
      </c>
      <c r="BL272" s="281">
        <v>0</v>
      </c>
      <c r="BM272" s="281">
        <v>0</v>
      </c>
      <c r="BN272" s="281">
        <v>0</v>
      </c>
      <c r="BO272" s="281">
        <v>0</v>
      </c>
      <c r="BP272" s="281">
        <f>BS272-BO272</f>
        <v>0</v>
      </c>
      <c r="BQ272" s="281">
        <f>BT272-BS272</f>
        <v>-92008</v>
      </c>
      <c r="BR272" s="281">
        <f>BU272-BT272</f>
        <v>92008</v>
      </c>
      <c r="BS272" s="281">
        <v>0</v>
      </c>
      <c r="BT272" s="281">
        <v>-92008</v>
      </c>
      <c r="BU272" s="281">
        <v>0</v>
      </c>
      <c r="BV272" s="281"/>
      <c r="BW272" s="281"/>
      <c r="BX272" s="281">
        <f>CA272-BZ272</f>
        <v>-2454</v>
      </c>
      <c r="BY272" s="281">
        <f>CB272-CA272</f>
        <v>-4805</v>
      </c>
      <c r="BZ272" s="281"/>
      <c r="CA272" s="281">
        <v>-2454</v>
      </c>
      <c r="CB272" s="281">
        <v>-7259</v>
      </c>
      <c r="CC272" s="281">
        <v>0</v>
      </c>
      <c r="CD272" s="281">
        <f>CG272-CC272</f>
        <v>0</v>
      </c>
      <c r="CE272" s="281">
        <f>CH272-CG272</f>
        <v>-3032</v>
      </c>
      <c r="CF272" s="281">
        <f>CI272-CH272</f>
        <v>-2670</v>
      </c>
      <c r="CG272" s="281">
        <v>0</v>
      </c>
      <c r="CH272" s="281">
        <v>-3032</v>
      </c>
      <c r="CI272" s="281">
        <v>-5702</v>
      </c>
      <c r="CJ272" s="281">
        <v>0</v>
      </c>
      <c r="CK272" s="281">
        <f>CN272-CJ272</f>
        <v>0</v>
      </c>
      <c r="CL272" s="281"/>
      <c r="CM272" s="281"/>
      <c r="CN272" s="281">
        <v>0</v>
      </c>
      <c r="CO272" s="281"/>
    </row>
    <row r="273" spans="1:93" s="289" customFormat="1" x14ac:dyDescent="0.25">
      <c r="A273" s="378" t="str">
        <f>Language!C207</f>
        <v>Diferido</v>
      </c>
      <c r="B273" s="278">
        <v>0</v>
      </c>
      <c r="C273" s="278">
        <v>0</v>
      </c>
      <c r="D273" s="278">
        <v>0</v>
      </c>
      <c r="E273" s="278">
        <v>0</v>
      </c>
      <c r="F273" s="279">
        <v>0</v>
      </c>
      <c r="G273" s="278">
        <v>0</v>
      </c>
      <c r="H273" s="278">
        <v>0</v>
      </c>
      <c r="I273" s="278">
        <v>0</v>
      </c>
      <c r="J273" s="279">
        <v>0</v>
      </c>
      <c r="K273" s="278">
        <v>0</v>
      </c>
      <c r="L273" s="278">
        <v>0</v>
      </c>
      <c r="M273" s="278">
        <v>0</v>
      </c>
      <c r="N273" s="279">
        <v>0</v>
      </c>
      <c r="O273" s="278">
        <v>0</v>
      </c>
      <c r="P273" s="278">
        <v>0</v>
      </c>
      <c r="Q273" s="278">
        <v>-3695</v>
      </c>
      <c r="R273" s="279">
        <v>-524</v>
      </c>
      <c r="S273" s="280">
        <v>-1509</v>
      </c>
      <c r="T273" s="280">
        <f>W273-S273-R273</f>
        <v>235</v>
      </c>
      <c r="U273" s="280">
        <f>X273-W273</f>
        <v>-2339</v>
      </c>
      <c r="V273" s="280">
        <f t="shared" si="1636"/>
        <v>-2033</v>
      </c>
      <c r="W273" s="281">
        <v>-1798</v>
      </c>
      <c r="X273" s="282">
        <v>-4137</v>
      </c>
      <c r="Y273" s="283">
        <v>3578</v>
      </c>
      <c r="Z273" s="281">
        <f t="shared" si="1637"/>
        <v>3575</v>
      </c>
      <c r="AA273" s="280">
        <f>AD273-Z273-Y273</f>
        <v>1642</v>
      </c>
      <c r="AB273" s="280">
        <f>AE273-AD273</f>
        <v>-109569</v>
      </c>
      <c r="AC273" s="281">
        <v>7153</v>
      </c>
      <c r="AD273" s="281">
        <v>8795</v>
      </c>
      <c r="AE273" s="282">
        <v>-100774</v>
      </c>
      <c r="AF273" s="281">
        <v>15817.426709083993</v>
      </c>
      <c r="AG273" s="281">
        <f t="shared" si="1230"/>
        <v>13009.044003286966</v>
      </c>
      <c r="AH273" s="281">
        <f t="shared" si="1523"/>
        <v>-239.79231966274892</v>
      </c>
      <c r="AI273" s="281">
        <f t="shared" si="1524"/>
        <v>5880.3216072917894</v>
      </c>
      <c r="AJ273" s="281">
        <v>28826.47071237096</v>
      </c>
      <c r="AK273" s="281">
        <v>28586.678392708211</v>
      </c>
      <c r="AL273" s="282">
        <v>34467</v>
      </c>
      <c r="AM273" s="281">
        <v>7293</v>
      </c>
      <c r="AN273" s="281">
        <f t="shared" si="1527"/>
        <v>9387</v>
      </c>
      <c r="AO273" s="281">
        <f t="shared" si="1528"/>
        <v>3163.9359576044735</v>
      </c>
      <c r="AP273" s="281">
        <f t="shared" si="1528"/>
        <v>12623.543377544062</v>
      </c>
      <c r="AQ273" s="281">
        <v>16680</v>
      </c>
      <c r="AR273" s="281">
        <v>19843.935957604474</v>
      </c>
      <c r="AS273" s="282">
        <v>32467.479335148535</v>
      </c>
      <c r="AT273" s="281">
        <v>0</v>
      </c>
      <c r="AU273" s="281">
        <v>0</v>
      </c>
      <c r="AV273" s="281">
        <v>0</v>
      </c>
      <c r="AW273" s="281">
        <f t="shared" si="1532"/>
        <v>48630</v>
      </c>
      <c r="AX273" s="281">
        <v>0</v>
      </c>
      <c r="AY273" s="281">
        <v>0</v>
      </c>
      <c r="AZ273" s="281">
        <v>48630</v>
      </c>
      <c r="BA273" s="281">
        <v>-3056</v>
      </c>
      <c r="BB273" s="281">
        <f>BE273-BA273</f>
        <v>4007</v>
      </c>
      <c r="BC273" s="281">
        <f>BF273-BE273</f>
        <v>9452</v>
      </c>
      <c r="BD273" s="281">
        <f>BG273-BF273</f>
        <v>-67207</v>
      </c>
      <c r="BE273" s="281">
        <v>951</v>
      </c>
      <c r="BF273" s="281">
        <v>10403</v>
      </c>
      <c r="BG273" s="281">
        <v>-56804</v>
      </c>
      <c r="BH273" s="281">
        <v>10085</v>
      </c>
      <c r="BI273" s="281">
        <f>BL273-BH273</f>
        <v>10932</v>
      </c>
      <c r="BJ273" s="281">
        <f>BM273-BL273</f>
        <v>3748</v>
      </c>
      <c r="BK273" s="281">
        <f>BN273-BM273</f>
        <v>13786</v>
      </c>
      <c r="BL273" s="281">
        <v>21017</v>
      </c>
      <c r="BM273" s="281">
        <v>24765</v>
      </c>
      <c r="BN273" s="281">
        <v>38551</v>
      </c>
      <c r="BO273" s="281">
        <v>4933</v>
      </c>
      <c r="BP273" s="281">
        <f>BS273-BO273</f>
        <v>-103214</v>
      </c>
      <c r="BQ273" s="281">
        <f>BT273-BS273</f>
        <v>98281</v>
      </c>
      <c r="BR273" s="281">
        <f>BU273-BT273</f>
        <v>-101061</v>
      </c>
      <c r="BS273" s="281">
        <v>-98281</v>
      </c>
      <c r="BT273" s="281"/>
      <c r="BU273" s="281">
        <v>-101061</v>
      </c>
      <c r="BV273" s="281">
        <v>5304</v>
      </c>
      <c r="BW273" s="281">
        <f>BZ273-BV273</f>
        <v>4153</v>
      </c>
      <c r="BX273" s="281">
        <f>CA273-BZ273</f>
        <v>73251</v>
      </c>
      <c r="BY273" s="281">
        <f>CB273-CA273</f>
        <v>1715</v>
      </c>
      <c r="BZ273" s="281">
        <v>9457</v>
      </c>
      <c r="CA273" s="281">
        <v>82708</v>
      </c>
      <c r="CB273" s="281">
        <v>84423</v>
      </c>
      <c r="CC273" s="281">
        <v>64</v>
      </c>
      <c r="CD273" s="281">
        <f>CG273-CC273</f>
        <v>-2175</v>
      </c>
      <c r="CE273" s="281">
        <f>CH273-CG273</f>
        <v>-16902</v>
      </c>
      <c r="CF273" s="281">
        <f>CI273-CH273</f>
        <v>-20543</v>
      </c>
      <c r="CG273" s="281">
        <v>-2111</v>
      </c>
      <c r="CH273" s="281">
        <v>-19013</v>
      </c>
      <c r="CI273" s="281">
        <v>-39556</v>
      </c>
      <c r="CJ273" s="281">
        <v>-8905</v>
      </c>
      <c r="CK273" s="281">
        <f>CN273-CJ273</f>
        <v>-11551</v>
      </c>
      <c r="CL273" s="281"/>
      <c r="CM273" s="281"/>
      <c r="CN273" s="281">
        <v>-20456</v>
      </c>
      <c r="CO273" s="281"/>
    </row>
    <row r="274" spans="1:93" s="289" customFormat="1" x14ac:dyDescent="0.25">
      <c r="A274" s="523" t="str">
        <f>Language!C208</f>
        <v>Transbrasiliana</v>
      </c>
      <c r="B274" s="289">
        <f t="shared" ref="B274:R274" si="1638">SUM(B275,B276)</f>
        <v>0</v>
      </c>
      <c r="C274" s="289">
        <f t="shared" si="1638"/>
        <v>0</v>
      </c>
      <c r="D274" s="289">
        <f t="shared" si="1638"/>
        <v>0</v>
      </c>
      <c r="E274" s="289">
        <f t="shared" si="1638"/>
        <v>0</v>
      </c>
      <c r="F274" s="290">
        <f t="shared" si="1638"/>
        <v>0</v>
      </c>
      <c r="G274" s="289">
        <f t="shared" si="1638"/>
        <v>0</v>
      </c>
      <c r="H274" s="289">
        <f t="shared" si="1638"/>
        <v>0</v>
      </c>
      <c r="I274" s="289">
        <f t="shared" si="1638"/>
        <v>0</v>
      </c>
      <c r="J274" s="290">
        <f t="shared" si="1638"/>
        <v>0</v>
      </c>
      <c r="K274" s="289">
        <f t="shared" si="1638"/>
        <v>0</v>
      </c>
      <c r="L274" s="289">
        <f t="shared" si="1638"/>
        <v>0</v>
      </c>
      <c r="M274" s="289">
        <f t="shared" si="1638"/>
        <v>0</v>
      </c>
      <c r="N274" s="290">
        <f t="shared" si="1638"/>
        <v>0</v>
      </c>
      <c r="O274" s="289">
        <f t="shared" si="1638"/>
        <v>0</v>
      </c>
      <c r="P274" s="289">
        <f t="shared" si="1638"/>
        <v>0</v>
      </c>
      <c r="Q274" s="289">
        <f t="shared" si="1638"/>
        <v>0</v>
      </c>
      <c r="R274" s="290">
        <f t="shared" si="1638"/>
        <v>-6542</v>
      </c>
      <c r="S274" s="291">
        <f t="shared" ref="S274:W274" si="1639">SUM(S275,S276)</f>
        <v>1681</v>
      </c>
      <c r="T274" s="291">
        <f t="shared" ref="T274:U274" si="1640">SUM(T275,T276)</f>
        <v>1768</v>
      </c>
      <c r="U274" s="291">
        <f t="shared" si="1640"/>
        <v>484</v>
      </c>
      <c r="V274" s="291"/>
      <c r="W274" s="292">
        <f t="shared" si="1639"/>
        <v>-3093</v>
      </c>
      <c r="X274" s="293">
        <f t="shared" ref="X274" si="1641">SUM(X275,X276)</f>
        <v>-2609</v>
      </c>
      <c r="Y274" s="294">
        <f>SUM(Y275,Y276)</f>
        <v>1980</v>
      </c>
      <c r="Z274" s="292">
        <f t="shared" ref="Z274:AC274" si="1642">SUM(Z275,Z276)</f>
        <v>7637</v>
      </c>
      <c r="AA274" s="291">
        <f t="shared" si="1642"/>
        <v>3235</v>
      </c>
      <c r="AB274" s="291">
        <f t="shared" si="1642"/>
        <v>-3831</v>
      </c>
      <c r="AC274" s="292">
        <f t="shared" si="1642"/>
        <v>9617</v>
      </c>
      <c r="AD274" s="292">
        <f t="shared" ref="AD274:AE274" si="1643">SUM(AD275,AD276)</f>
        <v>12852</v>
      </c>
      <c r="AE274" s="293">
        <f t="shared" si="1643"/>
        <v>9021</v>
      </c>
      <c r="AF274" s="292">
        <f t="shared" ref="AF274:AJ274" si="1644">SUM(AF275,AF276)</f>
        <v>1896.3888101248315</v>
      </c>
      <c r="AG274" s="292">
        <f t="shared" si="1230"/>
        <v>870.65174197691954</v>
      </c>
      <c r="AH274" s="292">
        <f t="shared" si="1523"/>
        <v>1434.2721489586565</v>
      </c>
      <c r="AI274" s="292">
        <f t="shared" si="1524"/>
        <v>-1264.3127010604076</v>
      </c>
      <c r="AJ274" s="292">
        <f t="shared" si="1644"/>
        <v>2767.040552101751</v>
      </c>
      <c r="AK274" s="292">
        <f t="shared" ref="AK274" si="1645">SUM(AK275,AK276)</f>
        <v>4201.3127010604076</v>
      </c>
      <c r="AL274" s="293">
        <f t="shared" ref="AL274:AQ274" si="1646">SUM(AL275,AL276)</f>
        <v>2937</v>
      </c>
      <c r="AM274" s="292">
        <f t="shared" si="1646"/>
        <v>-1359</v>
      </c>
      <c r="AN274" s="292">
        <f t="shared" si="1527"/>
        <v>-460</v>
      </c>
      <c r="AO274" s="292">
        <f t="shared" si="1528"/>
        <v>583.69588844227883</v>
      </c>
      <c r="AP274" s="292">
        <f t="shared" si="1528"/>
        <v>-1276.1375107448757</v>
      </c>
      <c r="AQ274" s="292">
        <f t="shared" si="1646"/>
        <v>-1819</v>
      </c>
      <c r="AR274" s="292">
        <f t="shared" ref="AR274:AS274" si="1647">SUM(AR275,AR276)</f>
        <v>-1235.3041115577212</v>
      </c>
      <c r="AS274" s="293">
        <f t="shared" si="1647"/>
        <v>-2511.4416223025969</v>
      </c>
      <c r="AT274" s="292">
        <f>((SUM(AT275,AT276))+0)+0</f>
        <v>36</v>
      </c>
      <c r="AU274" s="292">
        <f t="shared" ref="AU274" si="1648">(SUM(AU275,AU276))+0</f>
        <v>617</v>
      </c>
      <c r="AV274" s="292">
        <f>((SUM(AV275,AV276))+0)+0</f>
        <v>-571</v>
      </c>
      <c r="AW274" s="292">
        <f t="shared" si="1532"/>
        <v>2453</v>
      </c>
      <c r="AX274" s="292">
        <f t="shared" ref="AX274:BE274" si="1649">(SUM(AX275,AX276))+0</f>
        <v>653</v>
      </c>
      <c r="AY274" s="292">
        <f t="shared" si="1649"/>
        <v>82</v>
      </c>
      <c r="AZ274" s="292">
        <f t="shared" si="1649"/>
        <v>2535</v>
      </c>
      <c r="BA274" s="292">
        <f t="shared" si="1649"/>
        <v>1349</v>
      </c>
      <c r="BB274" s="292">
        <f t="shared" si="1649"/>
        <v>-540</v>
      </c>
      <c r="BC274" s="292">
        <f t="shared" si="1649"/>
        <v>-951</v>
      </c>
      <c r="BD274" s="292">
        <f t="shared" si="1649"/>
        <v>371</v>
      </c>
      <c r="BE274" s="292">
        <f t="shared" si="1649"/>
        <v>809</v>
      </c>
      <c r="BF274" s="292">
        <f t="shared" ref="BF274:BG274" si="1650">(SUM(BF275,BF276))+0</f>
        <v>-142</v>
      </c>
      <c r="BG274" s="292">
        <f t="shared" si="1650"/>
        <v>229</v>
      </c>
      <c r="BH274" s="292">
        <f t="shared" ref="BH274:BL274" si="1651">(SUM(BH275,BH276))+0</f>
        <v>514</v>
      </c>
      <c r="BI274" s="292">
        <f t="shared" si="1651"/>
        <v>-3249</v>
      </c>
      <c r="BJ274" s="292">
        <f t="shared" si="1651"/>
        <v>-11041</v>
      </c>
      <c r="BK274" s="292">
        <f t="shared" si="1651"/>
        <v>-3245</v>
      </c>
      <c r="BL274" s="292">
        <f t="shared" si="1651"/>
        <v>-2735</v>
      </c>
      <c r="BM274" s="292">
        <f t="shared" ref="BM274:BN274" si="1652">(SUM(BM275,BM276))+0</f>
        <v>-13776</v>
      </c>
      <c r="BN274" s="292">
        <f t="shared" si="1652"/>
        <v>-17021</v>
      </c>
      <c r="BO274" s="292">
        <f t="shared" ref="BO274:BS274" si="1653">(SUM(BO275,BO276))+0</f>
        <v>-2485</v>
      </c>
      <c r="BP274" s="292">
        <f t="shared" si="1653"/>
        <v>-251.51533350304453</v>
      </c>
      <c r="BQ274" s="292">
        <f t="shared" si="1653"/>
        <v>-843.75766675152227</v>
      </c>
      <c r="BR274" s="292">
        <f t="shared" si="1653"/>
        <v>-3375.7576667515223</v>
      </c>
      <c r="BS274" s="292">
        <f t="shared" si="1653"/>
        <v>-2736.5153335030445</v>
      </c>
      <c r="BT274" s="292">
        <f t="shared" ref="BT274:BU274" si="1654">(SUM(BT275,BT276))+0</f>
        <v>-3580.2730002545668</v>
      </c>
      <c r="BU274" s="292">
        <f t="shared" si="1654"/>
        <v>-6956.0306670060891</v>
      </c>
      <c r="BV274" s="292">
        <f t="shared" ref="BV274:BY274" si="1655">(SUM(BV275,BV276))+0</f>
        <v>1608.9014207452956</v>
      </c>
      <c r="BW274" s="292">
        <f t="shared" si="1655"/>
        <v>929.45604302701304</v>
      </c>
      <c r="BX274" s="292">
        <f t="shared" si="1655"/>
        <v>-2578.3212681138457</v>
      </c>
      <c r="BY274" s="292">
        <f t="shared" si="1655"/>
        <v>-2426.3212681138461</v>
      </c>
      <c r="BZ274" s="292">
        <f t="shared" ref="BZ274:CA274" si="1656">(SUM(BZ275,BZ276))+0</f>
        <v>2538.3574637723086</v>
      </c>
      <c r="CA274" s="292">
        <f t="shared" si="1656"/>
        <v>-39.96380434153707</v>
      </c>
      <c r="CB274" s="292">
        <f t="shared" ref="CB274:CC274" si="1657">(SUM(CB275,CB276))+0</f>
        <v>-2466.2850724553832</v>
      </c>
      <c r="CC274" s="292">
        <f t="shared" si="1657"/>
        <v>-181.31747630217211</v>
      </c>
      <c r="CD274" s="292">
        <f t="shared" ref="CD274" si="1658">(SUM(CD275,CD276))+0</f>
        <v>-3758.4391651942979</v>
      </c>
      <c r="CE274" s="292">
        <f t="shared" ref="CE274:CG274" si="1659">(SUM(CE275,CE276))+0</f>
        <v>-1204.2433585035301</v>
      </c>
      <c r="CF274" s="292">
        <f t="shared" si="1659"/>
        <v>3071</v>
      </c>
      <c r="CG274" s="292">
        <f t="shared" si="1659"/>
        <v>-3939.7566414964699</v>
      </c>
      <c r="CH274" s="292">
        <f t="shared" ref="CH274:CI274" si="1660">(SUM(CH275,CH276))+0</f>
        <v>-5144</v>
      </c>
      <c r="CI274" s="292">
        <f t="shared" si="1660"/>
        <v>-2073</v>
      </c>
      <c r="CJ274" s="292">
        <v>8003</v>
      </c>
      <c r="CK274" s="292">
        <f t="shared" ref="CK274" si="1661">(SUM(CK275,CK276))+0</f>
        <v>882</v>
      </c>
      <c r="CL274" s="292">
        <f t="shared" ref="CL274:CO274" si="1662">(SUM(CL275,CL276))+0</f>
        <v>0</v>
      </c>
      <c r="CM274" s="292">
        <f t="shared" si="1662"/>
        <v>0</v>
      </c>
      <c r="CN274" s="292">
        <f t="shared" si="1662"/>
        <v>8885</v>
      </c>
      <c r="CO274" s="292">
        <f t="shared" si="1662"/>
        <v>0</v>
      </c>
    </row>
    <row r="275" spans="1:93" s="289" customFormat="1" x14ac:dyDescent="0.25">
      <c r="A275" s="378" t="str">
        <f>Language!C209</f>
        <v>Corrente</v>
      </c>
      <c r="B275" s="278">
        <v>0</v>
      </c>
      <c r="C275" s="278">
        <v>0</v>
      </c>
      <c r="D275" s="278">
        <v>0</v>
      </c>
      <c r="E275" s="278">
        <v>0</v>
      </c>
      <c r="F275" s="279">
        <v>0</v>
      </c>
      <c r="G275" s="278">
        <v>0</v>
      </c>
      <c r="H275" s="278">
        <v>0</v>
      </c>
      <c r="I275" s="278">
        <v>0</v>
      </c>
      <c r="J275" s="279">
        <v>0</v>
      </c>
      <c r="K275" s="278">
        <v>0</v>
      </c>
      <c r="L275" s="278">
        <v>0</v>
      </c>
      <c r="M275" s="278">
        <v>0</v>
      </c>
      <c r="N275" s="279">
        <v>0</v>
      </c>
      <c r="O275" s="278">
        <v>0</v>
      </c>
      <c r="P275" s="278">
        <v>0</v>
      </c>
      <c r="Q275" s="278">
        <v>0</v>
      </c>
      <c r="R275" s="279">
        <v>-388</v>
      </c>
      <c r="S275" s="280">
        <v>0</v>
      </c>
      <c r="T275" s="280">
        <f t="shared" ref="T275:T276" si="1663">W275-S275-R275</f>
        <v>-7</v>
      </c>
      <c r="U275" s="280">
        <f>X275-W275</f>
        <v>7</v>
      </c>
      <c r="V275" s="280">
        <f t="shared" ref="V275:V276" si="1664">R275+S275</f>
        <v>-388</v>
      </c>
      <c r="W275" s="281">
        <v>-395</v>
      </c>
      <c r="X275" s="282">
        <v>-388</v>
      </c>
      <c r="Y275" s="283">
        <v>0</v>
      </c>
      <c r="Z275" s="281">
        <f t="shared" ref="Z275:Z276" si="1665">AC275-Y275</f>
        <v>0</v>
      </c>
      <c r="AA275" s="280">
        <f t="shared" ref="AA275:AA276" si="1666">AD275-Z275-Y275</f>
        <v>0</v>
      </c>
      <c r="AB275" s="280">
        <f>AE275-AD275</f>
        <v>0</v>
      </c>
      <c r="AC275" s="281">
        <v>0</v>
      </c>
      <c r="AD275" s="281">
        <v>0</v>
      </c>
      <c r="AE275" s="282">
        <v>0</v>
      </c>
      <c r="AF275" s="281">
        <v>0</v>
      </c>
      <c r="AG275" s="281">
        <f t="shared" si="1230"/>
        <v>0</v>
      </c>
      <c r="AH275" s="281">
        <f t="shared" si="1523"/>
        <v>0</v>
      </c>
      <c r="AI275" s="281">
        <f t="shared" si="1524"/>
        <v>0</v>
      </c>
      <c r="AJ275" s="281">
        <v>0</v>
      </c>
      <c r="AK275" s="281">
        <v>0</v>
      </c>
      <c r="AL275" s="282">
        <v>0</v>
      </c>
      <c r="AM275" s="281">
        <v>-566</v>
      </c>
      <c r="AN275" s="281">
        <f t="shared" si="1527"/>
        <v>0</v>
      </c>
      <c r="AO275" s="281">
        <f t="shared" si="1528"/>
        <v>0</v>
      </c>
      <c r="AP275" s="281">
        <f t="shared" si="1528"/>
        <v>-914</v>
      </c>
      <c r="AQ275" s="281">
        <v>-566</v>
      </c>
      <c r="AR275" s="281">
        <v>-566</v>
      </c>
      <c r="AS275" s="282">
        <v>-1480</v>
      </c>
      <c r="AT275" s="281">
        <v>-99</v>
      </c>
      <c r="AU275" s="281">
        <f t="shared" ref="AU275:AU276" si="1667">AX275-AT275</f>
        <v>-44</v>
      </c>
      <c r="AV275" s="281">
        <f>AY275-AX275</f>
        <v>-263</v>
      </c>
      <c r="AW275" s="281">
        <f t="shared" si="1532"/>
        <v>1</v>
      </c>
      <c r="AX275" s="281">
        <v>-143</v>
      </c>
      <c r="AY275" s="281">
        <v>-406</v>
      </c>
      <c r="AZ275" s="281">
        <v>-405</v>
      </c>
      <c r="BA275" s="281">
        <v>0</v>
      </c>
      <c r="BB275" s="281">
        <f>BE275-BA275</f>
        <v>0</v>
      </c>
      <c r="BC275" s="281">
        <f>BF275-BE275</f>
        <v>-454</v>
      </c>
      <c r="BD275" s="281">
        <f>BG275-BF275</f>
        <v>-922</v>
      </c>
      <c r="BE275" s="281">
        <v>0</v>
      </c>
      <c r="BF275" s="281">
        <v>-454</v>
      </c>
      <c r="BG275" s="281">
        <v>-1376</v>
      </c>
      <c r="BH275" s="281">
        <v>-262</v>
      </c>
      <c r="BI275" s="281">
        <f>BL275-BH275</f>
        <v>-1622</v>
      </c>
      <c r="BJ275" s="281">
        <f>BM275-BL275</f>
        <v>-9830</v>
      </c>
      <c r="BK275" s="281">
        <f>BN275-BM275</f>
        <v>493</v>
      </c>
      <c r="BL275" s="281">
        <v>-1884</v>
      </c>
      <c r="BM275" s="281">
        <v>-11714</v>
      </c>
      <c r="BN275" s="281">
        <v>-11221</v>
      </c>
      <c r="BO275" s="281">
        <v>-1185</v>
      </c>
      <c r="BP275" s="281">
        <f>BS275-BO275</f>
        <v>0</v>
      </c>
      <c r="BQ275" s="281">
        <f>BT275-BS275</f>
        <v>1</v>
      </c>
      <c r="BR275" s="281">
        <f>BU275-BT275</f>
        <v>-1</v>
      </c>
      <c r="BS275" s="281">
        <v>-1185</v>
      </c>
      <c r="BT275" s="281">
        <v>-1184</v>
      </c>
      <c r="BU275" s="281">
        <v>-1185</v>
      </c>
      <c r="BV275" s="281">
        <v>0</v>
      </c>
      <c r="BW275" s="281">
        <f>BZ275-BV275</f>
        <v>0</v>
      </c>
      <c r="BX275" s="281">
        <f>CA275-BZ275</f>
        <v>0</v>
      </c>
      <c r="BY275" s="281"/>
      <c r="BZ275" s="281">
        <v>0</v>
      </c>
      <c r="CA275" s="281">
        <v>0</v>
      </c>
      <c r="CB275" s="281">
        <v>0</v>
      </c>
      <c r="CC275" s="281">
        <v>-79</v>
      </c>
      <c r="CD275" s="281">
        <f>CG275-CC275</f>
        <v>-287</v>
      </c>
      <c r="CE275" s="281">
        <f>CH275-CG275</f>
        <v>-1241</v>
      </c>
      <c r="CF275" s="281">
        <f>CI275-CH275</f>
        <v>1607</v>
      </c>
      <c r="CG275" s="281">
        <v>-366</v>
      </c>
      <c r="CH275" s="281">
        <v>-1607</v>
      </c>
      <c r="CI275" s="281">
        <v>0</v>
      </c>
      <c r="CJ275" s="281">
        <v>0</v>
      </c>
      <c r="CK275" s="281">
        <f>CN275-CJ275</f>
        <v>0</v>
      </c>
      <c r="CL275" s="281"/>
      <c r="CM275" s="281"/>
      <c r="CN275" s="281">
        <v>0</v>
      </c>
      <c r="CO275" s="281"/>
    </row>
    <row r="276" spans="1:93" s="289" customFormat="1" x14ac:dyDescent="0.25">
      <c r="A276" s="378" t="str">
        <f>Language!C210</f>
        <v>Diferido</v>
      </c>
      <c r="B276" s="278">
        <v>0</v>
      </c>
      <c r="C276" s="278">
        <v>0</v>
      </c>
      <c r="D276" s="278">
        <v>0</v>
      </c>
      <c r="E276" s="278">
        <v>0</v>
      </c>
      <c r="F276" s="279">
        <v>0</v>
      </c>
      <c r="G276" s="278">
        <v>0</v>
      </c>
      <c r="H276" s="278">
        <v>0</v>
      </c>
      <c r="I276" s="278">
        <v>0</v>
      </c>
      <c r="J276" s="279">
        <v>0</v>
      </c>
      <c r="K276" s="278">
        <v>0</v>
      </c>
      <c r="L276" s="278">
        <v>0</v>
      </c>
      <c r="M276" s="278">
        <v>0</v>
      </c>
      <c r="N276" s="279">
        <v>0</v>
      </c>
      <c r="O276" s="278">
        <v>0</v>
      </c>
      <c r="P276" s="278">
        <v>0</v>
      </c>
      <c r="Q276" s="278">
        <v>0</v>
      </c>
      <c r="R276" s="279">
        <v>-6154</v>
      </c>
      <c r="S276" s="280">
        <v>1681</v>
      </c>
      <c r="T276" s="280">
        <f t="shared" si="1663"/>
        <v>1775</v>
      </c>
      <c r="U276" s="280">
        <f>X276-W276</f>
        <v>477</v>
      </c>
      <c r="V276" s="280">
        <f t="shared" si="1664"/>
        <v>-4473</v>
      </c>
      <c r="W276" s="281">
        <v>-2698</v>
      </c>
      <c r="X276" s="282">
        <v>-2221</v>
      </c>
      <c r="Y276" s="283">
        <v>1980</v>
      </c>
      <c r="Z276" s="281">
        <f t="shared" si="1665"/>
        <v>7637</v>
      </c>
      <c r="AA276" s="280">
        <f t="shared" si="1666"/>
        <v>3235</v>
      </c>
      <c r="AB276" s="280">
        <f>AE276-AD276</f>
        <v>-3831</v>
      </c>
      <c r="AC276" s="281">
        <v>9617</v>
      </c>
      <c r="AD276" s="281">
        <v>12852</v>
      </c>
      <c r="AE276" s="282">
        <v>9021</v>
      </c>
      <c r="AF276" s="281">
        <v>1896.3888101248315</v>
      </c>
      <c r="AG276" s="281">
        <f t="shared" si="1230"/>
        <v>870.65174197691954</v>
      </c>
      <c r="AH276" s="281">
        <f t="shared" si="1523"/>
        <v>1434.2721489586565</v>
      </c>
      <c r="AI276" s="281">
        <f t="shared" si="1524"/>
        <v>-1264.3127010604076</v>
      </c>
      <c r="AJ276" s="281">
        <v>2767.040552101751</v>
      </c>
      <c r="AK276" s="281">
        <v>4201.3127010604076</v>
      </c>
      <c r="AL276" s="282">
        <v>2937</v>
      </c>
      <c r="AM276" s="281">
        <v>-793</v>
      </c>
      <c r="AN276" s="281">
        <f t="shared" si="1527"/>
        <v>-460</v>
      </c>
      <c r="AO276" s="281">
        <f t="shared" si="1528"/>
        <v>583.69588844227883</v>
      </c>
      <c r="AP276" s="281">
        <f t="shared" si="1528"/>
        <v>-362.13751074487573</v>
      </c>
      <c r="AQ276" s="281">
        <v>-1253</v>
      </c>
      <c r="AR276" s="281">
        <v>-669.30411155772117</v>
      </c>
      <c r="AS276" s="282">
        <v>-1031.4416223025969</v>
      </c>
      <c r="AT276" s="281">
        <v>135</v>
      </c>
      <c r="AU276" s="281">
        <f t="shared" si="1667"/>
        <v>661</v>
      </c>
      <c r="AV276" s="281">
        <f>AY276-AX276</f>
        <v>-308</v>
      </c>
      <c r="AW276" s="281">
        <f t="shared" si="1532"/>
        <v>2452</v>
      </c>
      <c r="AX276" s="281">
        <v>796</v>
      </c>
      <c r="AY276" s="281">
        <v>488</v>
      </c>
      <c r="AZ276" s="281">
        <v>2940</v>
      </c>
      <c r="BA276" s="281">
        <v>1349</v>
      </c>
      <c r="BB276" s="281">
        <f>BE276-BA276</f>
        <v>-540</v>
      </c>
      <c r="BC276" s="281">
        <f>BF276-BE276</f>
        <v>-497</v>
      </c>
      <c r="BD276" s="281">
        <f>BG276-BF276</f>
        <v>1293</v>
      </c>
      <c r="BE276" s="302">
        <v>809</v>
      </c>
      <c r="BF276" s="302">
        <v>312</v>
      </c>
      <c r="BG276" s="302">
        <v>1605</v>
      </c>
      <c r="BH276" s="302">
        <v>776</v>
      </c>
      <c r="BI276" s="281">
        <f>BL276-BH276</f>
        <v>-1627</v>
      </c>
      <c r="BJ276" s="302">
        <f>BM276-BL276</f>
        <v>-1211</v>
      </c>
      <c r="BK276" s="281">
        <f>BN276-BM276</f>
        <v>-3738</v>
      </c>
      <c r="BL276" s="302">
        <v>-851</v>
      </c>
      <c r="BM276" s="302">
        <v>-2062</v>
      </c>
      <c r="BN276" s="302">
        <v>-5800</v>
      </c>
      <c r="BO276" s="302">
        <v>-1300</v>
      </c>
      <c r="BP276" s="281">
        <f>BS276-BO276</f>
        <v>-251.51533350304453</v>
      </c>
      <c r="BQ276" s="281">
        <f>BT276-BS276</f>
        <v>-844.75766675152227</v>
      </c>
      <c r="BR276" s="281">
        <f>BU276-BT276</f>
        <v>-3374.7576667515223</v>
      </c>
      <c r="BS276" s="302">
        <v>-1551.5153335030445</v>
      </c>
      <c r="BT276" s="302">
        <v>-2396.2730002545668</v>
      </c>
      <c r="BU276" s="302">
        <v>-5771.0306670060891</v>
      </c>
      <c r="BV276" s="302">
        <v>1608.9014207452956</v>
      </c>
      <c r="BW276" s="281">
        <f>BZ276-BV276</f>
        <v>929.45604302701304</v>
      </c>
      <c r="BX276" s="281">
        <f>CA276-BZ276</f>
        <v>-2578.3212681138457</v>
      </c>
      <c r="BY276" s="302">
        <f>CB276-CA276</f>
        <v>-2426.3212681138461</v>
      </c>
      <c r="BZ276" s="302">
        <v>2538.3574637723086</v>
      </c>
      <c r="CA276" s="302">
        <v>-39.96380434153707</v>
      </c>
      <c r="CB276" s="302">
        <v>-2466.2850724553832</v>
      </c>
      <c r="CC276" s="302">
        <v>-102.31747630217211</v>
      </c>
      <c r="CD276" s="281">
        <f>CG276-CC276</f>
        <v>-3471.4391651942979</v>
      </c>
      <c r="CE276" s="281">
        <f>CH276-CG276</f>
        <v>36.756641496469911</v>
      </c>
      <c r="CF276" s="281">
        <f>CI276-CH276</f>
        <v>1464</v>
      </c>
      <c r="CG276" s="302">
        <v>-3573.7566414964699</v>
      </c>
      <c r="CH276" s="302">
        <v>-3537</v>
      </c>
      <c r="CI276" s="302">
        <v>-2073</v>
      </c>
      <c r="CJ276" s="302">
        <v>8003</v>
      </c>
      <c r="CK276" s="281">
        <f>CN276-CJ276</f>
        <v>882</v>
      </c>
      <c r="CL276" s="302"/>
      <c r="CM276" s="302"/>
      <c r="CN276" s="302">
        <v>8885</v>
      </c>
      <c r="CO276" s="302"/>
    </row>
    <row r="277" spans="1:93" s="289" customFormat="1" ht="13" x14ac:dyDescent="0.3">
      <c r="A277" s="524" t="s">
        <v>603</v>
      </c>
      <c r="B277" s="278"/>
      <c r="C277" s="278"/>
      <c r="D277" s="278"/>
      <c r="E277" s="278"/>
      <c r="F277" s="279"/>
      <c r="G277" s="278"/>
      <c r="H277" s="278"/>
      <c r="I277" s="278"/>
      <c r="J277" s="279"/>
      <c r="K277" s="278"/>
      <c r="L277" s="278"/>
      <c r="M277" s="278"/>
      <c r="N277" s="279"/>
      <c r="O277" s="278"/>
      <c r="P277" s="278"/>
      <c r="Q277" s="278"/>
      <c r="R277" s="279"/>
      <c r="S277" s="280"/>
      <c r="T277" s="280"/>
      <c r="U277" s="280"/>
      <c r="V277" s="280"/>
      <c r="W277" s="281"/>
      <c r="X277" s="282"/>
      <c r="Y277" s="283"/>
      <c r="Z277" s="281"/>
      <c r="AA277" s="280"/>
      <c r="AB277" s="280"/>
      <c r="AC277" s="281"/>
      <c r="AD277" s="281"/>
      <c r="AE277" s="282"/>
      <c r="AF277" s="281"/>
      <c r="AG277" s="281"/>
      <c r="AH277" s="281"/>
      <c r="AI277" s="281"/>
      <c r="AJ277" s="281"/>
      <c r="AK277" s="281"/>
      <c r="AL277" s="282"/>
      <c r="AM277" s="281"/>
      <c r="AN277" s="281"/>
      <c r="AO277" s="281"/>
      <c r="AP277" s="281"/>
      <c r="AQ277" s="281"/>
      <c r="AR277" s="281"/>
      <c r="AS277" s="282"/>
      <c r="AT277" s="281"/>
      <c r="AU277" s="281"/>
      <c r="AV277" s="281"/>
      <c r="AW277" s="281"/>
      <c r="AX277" s="281"/>
      <c r="AY277" s="281"/>
      <c r="AZ277" s="281"/>
      <c r="BA277" s="281"/>
      <c r="BB277" s="281"/>
      <c r="BC277" s="281"/>
      <c r="BD277" s="281"/>
      <c r="BE277" s="302"/>
      <c r="BF277" s="302"/>
      <c r="BG277" s="302"/>
      <c r="BH277" s="302"/>
      <c r="BI277" s="281"/>
      <c r="BJ277" s="302"/>
      <c r="BK277" s="281"/>
      <c r="BL277" s="302"/>
      <c r="BM277" s="302"/>
      <c r="BN277" s="302"/>
      <c r="BO277" s="302"/>
      <c r="BP277" s="281"/>
      <c r="BQ277" s="281"/>
      <c r="BR277" s="281"/>
      <c r="BS277" s="302"/>
      <c r="BT277" s="302"/>
      <c r="BU277" s="302"/>
      <c r="BV277" s="302"/>
      <c r="BW277" s="281"/>
      <c r="BX277" s="281"/>
      <c r="BY277" s="302"/>
      <c r="BZ277" s="302"/>
      <c r="CA277" s="302"/>
      <c r="CB277" s="302"/>
      <c r="CC277" s="302"/>
      <c r="CD277" s="281"/>
      <c r="CE277" s="281"/>
      <c r="CF277" s="281"/>
      <c r="CG277" s="302"/>
      <c r="CH277" s="302"/>
      <c r="CI277" s="302"/>
      <c r="CJ277" s="502">
        <v>9364</v>
      </c>
      <c r="CK277" s="502">
        <f>SUM(CK278:CK282)</f>
        <v>-3316</v>
      </c>
      <c r="CL277" s="502">
        <f t="shared" ref="CL277:CO277" si="1668">SUM(CL278:CL282)</f>
        <v>0</v>
      </c>
      <c r="CM277" s="502">
        <f t="shared" si="1668"/>
        <v>0</v>
      </c>
      <c r="CN277" s="502">
        <f t="shared" si="1668"/>
        <v>6048</v>
      </c>
      <c r="CO277" s="502">
        <f t="shared" si="1668"/>
        <v>0</v>
      </c>
    </row>
    <row r="278" spans="1:93" s="289" customFormat="1" x14ac:dyDescent="0.25">
      <c r="A278" s="378" t="s">
        <v>16</v>
      </c>
      <c r="B278" s="278"/>
      <c r="C278" s="278"/>
      <c r="D278" s="278"/>
      <c r="E278" s="278"/>
      <c r="F278" s="279"/>
      <c r="G278" s="278"/>
      <c r="H278" s="278"/>
      <c r="I278" s="278"/>
      <c r="J278" s="279"/>
      <c r="K278" s="278"/>
      <c r="L278" s="278"/>
      <c r="M278" s="278"/>
      <c r="N278" s="279"/>
      <c r="O278" s="278"/>
      <c r="P278" s="278"/>
      <c r="Q278" s="278"/>
      <c r="R278" s="279"/>
      <c r="S278" s="280"/>
      <c r="T278" s="280"/>
      <c r="U278" s="280"/>
      <c r="V278" s="280"/>
      <c r="W278" s="281"/>
      <c r="X278" s="282"/>
      <c r="Y278" s="283"/>
      <c r="Z278" s="281"/>
      <c r="AA278" s="280"/>
      <c r="AB278" s="280"/>
      <c r="AC278" s="281"/>
      <c r="AD278" s="281"/>
      <c r="AE278" s="282"/>
      <c r="AF278" s="281"/>
      <c r="AG278" s="281"/>
      <c r="AH278" s="281"/>
      <c r="AI278" s="281"/>
      <c r="AJ278" s="281"/>
      <c r="AK278" s="281"/>
      <c r="AL278" s="282"/>
      <c r="AM278" s="281"/>
      <c r="AN278" s="281"/>
      <c r="AO278" s="281"/>
      <c r="AP278" s="281"/>
      <c r="AQ278" s="281"/>
      <c r="AR278" s="281"/>
      <c r="AS278" s="282"/>
      <c r="AT278" s="281"/>
      <c r="AU278" s="281"/>
      <c r="AV278" s="281"/>
      <c r="AW278" s="281"/>
      <c r="AX278" s="281"/>
      <c r="AY278" s="281"/>
      <c r="AZ278" s="281"/>
      <c r="BA278" s="281"/>
      <c r="BB278" s="281"/>
      <c r="BC278" s="281"/>
      <c r="BD278" s="281"/>
      <c r="BE278" s="302"/>
      <c r="BF278" s="302"/>
      <c r="BG278" s="302"/>
      <c r="BH278" s="302"/>
      <c r="BI278" s="281"/>
      <c r="BJ278" s="302"/>
      <c r="BK278" s="281"/>
      <c r="BL278" s="302"/>
      <c r="BM278" s="302"/>
      <c r="BN278" s="302"/>
      <c r="BO278" s="302"/>
      <c r="BP278" s="281"/>
      <c r="BQ278" s="281"/>
      <c r="BR278" s="281"/>
      <c r="BS278" s="302"/>
      <c r="BT278" s="302"/>
      <c r="BU278" s="302"/>
      <c r="BV278" s="302"/>
      <c r="BW278" s="281"/>
      <c r="BX278" s="281"/>
      <c r="BY278" s="302"/>
      <c r="BZ278" s="302"/>
      <c r="CA278" s="302"/>
      <c r="CB278" s="302"/>
      <c r="CC278" s="302"/>
      <c r="CD278" s="281"/>
      <c r="CE278" s="281"/>
      <c r="CF278" s="281"/>
      <c r="CG278" s="302"/>
      <c r="CH278" s="302"/>
      <c r="CI278" s="302"/>
      <c r="CJ278" s="302">
        <v>0</v>
      </c>
      <c r="CK278" s="302">
        <f>CN278-CJ278</f>
        <v>0</v>
      </c>
      <c r="CL278" s="302"/>
      <c r="CM278" s="302"/>
      <c r="CN278" s="302">
        <v>0</v>
      </c>
      <c r="CO278" s="302"/>
    </row>
    <row r="279" spans="1:93" s="289" customFormat="1" x14ac:dyDescent="0.25">
      <c r="A279" s="378" t="s">
        <v>17</v>
      </c>
      <c r="B279" s="278"/>
      <c r="C279" s="278"/>
      <c r="D279" s="278"/>
      <c r="E279" s="278"/>
      <c r="F279" s="279"/>
      <c r="G279" s="278"/>
      <c r="H279" s="278"/>
      <c r="I279" s="278"/>
      <c r="J279" s="279"/>
      <c r="K279" s="278"/>
      <c r="L279" s="278"/>
      <c r="M279" s="278"/>
      <c r="N279" s="279"/>
      <c r="O279" s="278"/>
      <c r="P279" s="278"/>
      <c r="Q279" s="278"/>
      <c r="R279" s="279"/>
      <c r="S279" s="280"/>
      <c r="T279" s="280"/>
      <c r="U279" s="280"/>
      <c r="V279" s="280"/>
      <c r="W279" s="281"/>
      <c r="X279" s="282"/>
      <c r="Y279" s="283"/>
      <c r="Z279" s="281"/>
      <c r="AA279" s="280"/>
      <c r="AB279" s="280"/>
      <c r="AC279" s="281"/>
      <c r="AD279" s="281"/>
      <c r="AE279" s="282"/>
      <c r="AF279" s="281"/>
      <c r="AG279" s="281"/>
      <c r="AH279" s="281"/>
      <c r="AI279" s="281"/>
      <c r="AJ279" s="281"/>
      <c r="AK279" s="281"/>
      <c r="AL279" s="282"/>
      <c r="AM279" s="281"/>
      <c r="AN279" s="281"/>
      <c r="AO279" s="281"/>
      <c r="AP279" s="281"/>
      <c r="AQ279" s="281"/>
      <c r="AR279" s="281"/>
      <c r="AS279" s="282"/>
      <c r="AT279" s="281"/>
      <c r="AU279" s="281"/>
      <c r="AV279" s="281"/>
      <c r="AW279" s="281"/>
      <c r="AX279" s="281"/>
      <c r="AY279" s="281"/>
      <c r="AZ279" s="281"/>
      <c r="BA279" s="281"/>
      <c r="BB279" s="281"/>
      <c r="BC279" s="281"/>
      <c r="BD279" s="281"/>
      <c r="BE279" s="302"/>
      <c r="BF279" s="302"/>
      <c r="BG279" s="302"/>
      <c r="BH279" s="302"/>
      <c r="BI279" s="281"/>
      <c r="BJ279" s="302"/>
      <c r="BK279" s="281"/>
      <c r="BL279" s="302"/>
      <c r="BM279" s="302"/>
      <c r="BN279" s="302"/>
      <c r="BO279" s="302"/>
      <c r="BP279" s="281"/>
      <c r="BQ279" s="281"/>
      <c r="BR279" s="281"/>
      <c r="BS279" s="302"/>
      <c r="BT279" s="302"/>
      <c r="BU279" s="302"/>
      <c r="BV279" s="302"/>
      <c r="BW279" s="281"/>
      <c r="BX279" s="281"/>
      <c r="BY279" s="302"/>
      <c r="BZ279" s="302"/>
      <c r="CA279" s="302"/>
      <c r="CB279" s="302"/>
      <c r="CC279" s="302"/>
      <c r="CD279" s="281"/>
      <c r="CE279" s="281"/>
      <c r="CF279" s="281"/>
      <c r="CG279" s="302"/>
      <c r="CH279" s="302"/>
      <c r="CI279" s="302"/>
      <c r="CJ279" s="302">
        <v>0</v>
      </c>
      <c r="CK279" s="302">
        <f t="shared" ref="CK279:CK282" si="1669">CN279-CJ279</f>
        <v>0</v>
      </c>
      <c r="CL279" s="302"/>
      <c r="CM279" s="302"/>
      <c r="CN279" s="302">
        <v>0</v>
      </c>
      <c r="CO279" s="302"/>
    </row>
    <row r="280" spans="1:93" s="289" customFormat="1" x14ac:dyDescent="0.25">
      <c r="A280" s="378" t="s">
        <v>600</v>
      </c>
      <c r="B280" s="278"/>
      <c r="C280" s="278"/>
      <c r="D280" s="278"/>
      <c r="E280" s="278"/>
      <c r="F280" s="279"/>
      <c r="G280" s="278"/>
      <c r="H280" s="278"/>
      <c r="I280" s="278"/>
      <c r="J280" s="279"/>
      <c r="K280" s="278"/>
      <c r="L280" s="278"/>
      <c r="M280" s="278"/>
      <c r="N280" s="279"/>
      <c r="O280" s="278"/>
      <c r="P280" s="278"/>
      <c r="Q280" s="278"/>
      <c r="R280" s="279"/>
      <c r="S280" s="280"/>
      <c r="T280" s="280"/>
      <c r="U280" s="280"/>
      <c r="V280" s="280"/>
      <c r="W280" s="281"/>
      <c r="X280" s="282"/>
      <c r="Y280" s="283"/>
      <c r="Z280" s="281"/>
      <c r="AA280" s="280"/>
      <c r="AB280" s="280"/>
      <c r="AC280" s="281"/>
      <c r="AD280" s="281"/>
      <c r="AE280" s="282"/>
      <c r="AF280" s="281"/>
      <c r="AG280" s="281"/>
      <c r="AH280" s="281"/>
      <c r="AI280" s="281"/>
      <c r="AJ280" s="281"/>
      <c r="AK280" s="281"/>
      <c r="AL280" s="282"/>
      <c r="AM280" s="281"/>
      <c r="AN280" s="281"/>
      <c r="AO280" s="281"/>
      <c r="AP280" s="281"/>
      <c r="AQ280" s="281"/>
      <c r="AR280" s="281"/>
      <c r="AS280" s="282"/>
      <c r="AT280" s="281"/>
      <c r="AU280" s="281"/>
      <c r="AV280" s="281"/>
      <c r="AW280" s="281"/>
      <c r="AX280" s="281"/>
      <c r="AY280" s="281"/>
      <c r="AZ280" s="281"/>
      <c r="BA280" s="281"/>
      <c r="BB280" s="281"/>
      <c r="BC280" s="281"/>
      <c r="BD280" s="281"/>
      <c r="BE280" s="302"/>
      <c r="BF280" s="302"/>
      <c r="BG280" s="302"/>
      <c r="BH280" s="302"/>
      <c r="BI280" s="281"/>
      <c r="BJ280" s="302"/>
      <c r="BK280" s="281"/>
      <c r="BL280" s="302"/>
      <c r="BM280" s="302"/>
      <c r="BN280" s="302"/>
      <c r="BO280" s="302"/>
      <c r="BP280" s="281"/>
      <c r="BQ280" s="281"/>
      <c r="BR280" s="281"/>
      <c r="BS280" s="302"/>
      <c r="BT280" s="302"/>
      <c r="BU280" s="302"/>
      <c r="BV280" s="302"/>
      <c r="BW280" s="281"/>
      <c r="BX280" s="281"/>
      <c r="BY280" s="302"/>
      <c r="BZ280" s="302"/>
      <c r="CA280" s="302"/>
      <c r="CB280" s="302"/>
      <c r="CC280" s="302"/>
      <c r="CD280" s="281"/>
      <c r="CE280" s="281"/>
      <c r="CF280" s="281"/>
      <c r="CG280" s="302"/>
      <c r="CH280" s="302"/>
      <c r="CI280" s="302"/>
      <c r="CJ280" s="302">
        <v>9364</v>
      </c>
      <c r="CK280" s="302">
        <f t="shared" si="1669"/>
        <v>-3316</v>
      </c>
      <c r="CL280" s="302"/>
      <c r="CM280" s="302"/>
      <c r="CN280" s="302">
        <v>6048</v>
      </c>
      <c r="CO280" s="302"/>
    </row>
    <row r="281" spans="1:93" s="289" customFormat="1" x14ac:dyDescent="0.25">
      <c r="A281" s="378" t="s">
        <v>621</v>
      </c>
      <c r="B281" s="278"/>
      <c r="C281" s="278"/>
      <c r="D281" s="278"/>
      <c r="E281" s="278"/>
      <c r="F281" s="279"/>
      <c r="G281" s="278"/>
      <c r="H281" s="278"/>
      <c r="I281" s="278"/>
      <c r="J281" s="279"/>
      <c r="K281" s="278"/>
      <c r="L281" s="278"/>
      <c r="M281" s="278"/>
      <c r="N281" s="279"/>
      <c r="O281" s="278"/>
      <c r="P281" s="278"/>
      <c r="Q281" s="278"/>
      <c r="R281" s="279"/>
      <c r="S281" s="280"/>
      <c r="T281" s="280"/>
      <c r="U281" s="280"/>
      <c r="V281" s="280"/>
      <c r="W281" s="281"/>
      <c r="X281" s="282"/>
      <c r="Y281" s="283"/>
      <c r="Z281" s="281"/>
      <c r="AA281" s="280"/>
      <c r="AB281" s="280"/>
      <c r="AC281" s="281"/>
      <c r="AD281" s="281"/>
      <c r="AE281" s="282"/>
      <c r="AF281" s="281"/>
      <c r="AG281" s="281"/>
      <c r="AH281" s="281"/>
      <c r="AI281" s="281"/>
      <c r="AJ281" s="281"/>
      <c r="AK281" s="281"/>
      <c r="AL281" s="282"/>
      <c r="AM281" s="281"/>
      <c r="AN281" s="281"/>
      <c r="AO281" s="281"/>
      <c r="AP281" s="281"/>
      <c r="AQ281" s="281"/>
      <c r="AR281" s="281"/>
      <c r="AS281" s="282"/>
      <c r="AT281" s="281"/>
      <c r="AU281" s="281"/>
      <c r="AV281" s="281"/>
      <c r="AW281" s="281"/>
      <c r="AX281" s="281"/>
      <c r="AY281" s="281"/>
      <c r="AZ281" s="281"/>
      <c r="BA281" s="281"/>
      <c r="BB281" s="281"/>
      <c r="BC281" s="281"/>
      <c r="BD281" s="281"/>
      <c r="BE281" s="302"/>
      <c r="BF281" s="302"/>
      <c r="BG281" s="302"/>
      <c r="BH281" s="302"/>
      <c r="BI281" s="281"/>
      <c r="BJ281" s="302"/>
      <c r="BK281" s="281"/>
      <c r="BL281" s="302"/>
      <c r="BM281" s="302"/>
      <c r="BN281" s="302"/>
      <c r="BO281" s="302"/>
      <c r="BP281" s="281"/>
      <c r="BQ281" s="281"/>
      <c r="BR281" s="281"/>
      <c r="BS281" s="302"/>
      <c r="BT281" s="302"/>
      <c r="BU281" s="302"/>
      <c r="BV281" s="302"/>
      <c r="BW281" s="281"/>
      <c r="BX281" s="281"/>
      <c r="BY281" s="302"/>
      <c r="BZ281" s="302"/>
      <c r="CA281" s="302"/>
      <c r="CB281" s="302"/>
      <c r="CC281" s="302"/>
      <c r="CD281" s="281"/>
      <c r="CE281" s="281"/>
      <c r="CF281" s="281"/>
      <c r="CG281" s="302"/>
      <c r="CH281" s="302"/>
      <c r="CI281" s="302"/>
      <c r="CJ281" s="302">
        <v>0</v>
      </c>
      <c r="CK281" s="302">
        <f t="shared" si="1669"/>
        <v>0</v>
      </c>
      <c r="CL281" s="302"/>
      <c r="CM281" s="302"/>
      <c r="CN281" s="302">
        <v>0</v>
      </c>
      <c r="CO281" s="302"/>
    </row>
    <row r="282" spans="1:93" s="289" customFormat="1" x14ac:dyDescent="0.25">
      <c r="A282" s="378" t="s">
        <v>670</v>
      </c>
      <c r="B282" s="278"/>
      <c r="C282" s="278"/>
      <c r="D282" s="278"/>
      <c r="E282" s="278"/>
      <c r="F282" s="279"/>
      <c r="G282" s="278"/>
      <c r="H282" s="278"/>
      <c r="I282" s="278"/>
      <c r="J282" s="279"/>
      <c r="K282" s="278"/>
      <c r="L282" s="278"/>
      <c r="M282" s="278"/>
      <c r="N282" s="279"/>
      <c r="O282" s="278"/>
      <c r="P282" s="278"/>
      <c r="Q282" s="278"/>
      <c r="R282" s="279"/>
      <c r="S282" s="280"/>
      <c r="T282" s="280"/>
      <c r="U282" s="280"/>
      <c r="V282" s="280"/>
      <c r="W282" s="281"/>
      <c r="X282" s="282"/>
      <c r="Y282" s="283"/>
      <c r="Z282" s="281"/>
      <c r="AA282" s="280"/>
      <c r="AB282" s="280"/>
      <c r="AC282" s="281"/>
      <c r="AD282" s="281"/>
      <c r="AE282" s="282"/>
      <c r="AF282" s="281"/>
      <c r="AG282" s="281"/>
      <c r="AH282" s="281"/>
      <c r="AI282" s="281"/>
      <c r="AJ282" s="281"/>
      <c r="AK282" s="281"/>
      <c r="AL282" s="282"/>
      <c r="AM282" s="281"/>
      <c r="AN282" s="281"/>
      <c r="AO282" s="281"/>
      <c r="AP282" s="281"/>
      <c r="AQ282" s="281"/>
      <c r="AR282" s="281"/>
      <c r="AS282" s="282"/>
      <c r="AT282" s="281"/>
      <c r="AU282" s="281"/>
      <c r="AV282" s="281"/>
      <c r="AW282" s="281"/>
      <c r="AX282" s="281"/>
      <c r="AY282" s="281"/>
      <c r="AZ282" s="281"/>
      <c r="BA282" s="281"/>
      <c r="BB282" s="281"/>
      <c r="BC282" s="281"/>
      <c r="BD282" s="281"/>
      <c r="BE282" s="302"/>
      <c r="BF282" s="302"/>
      <c r="BG282" s="302"/>
      <c r="BH282" s="302"/>
      <c r="BI282" s="281"/>
      <c r="BJ282" s="302"/>
      <c r="BK282" s="281"/>
      <c r="BL282" s="302"/>
      <c r="BM282" s="302"/>
      <c r="BN282" s="302"/>
      <c r="BO282" s="302"/>
      <c r="BP282" s="281"/>
      <c r="BQ282" s="281"/>
      <c r="BR282" s="281"/>
      <c r="BS282" s="302"/>
      <c r="BT282" s="302"/>
      <c r="BU282" s="302"/>
      <c r="BV282" s="302"/>
      <c r="BW282" s="281"/>
      <c r="BX282" s="281"/>
      <c r="BY282" s="302"/>
      <c r="BZ282" s="302"/>
      <c r="CA282" s="302"/>
      <c r="CB282" s="302"/>
      <c r="CC282" s="302"/>
      <c r="CD282" s="281"/>
      <c r="CE282" s="281"/>
      <c r="CF282" s="281"/>
      <c r="CG282" s="302"/>
      <c r="CH282" s="302"/>
      <c r="CI282" s="302"/>
      <c r="CJ282" s="302">
        <v>0</v>
      </c>
      <c r="CK282" s="302">
        <f t="shared" si="1669"/>
        <v>0</v>
      </c>
      <c r="CL282" s="302"/>
      <c r="CM282" s="302"/>
      <c r="CN282" s="302">
        <v>0</v>
      </c>
      <c r="CO282" s="302"/>
    </row>
    <row r="283" spans="1:93" s="289" customFormat="1" x14ac:dyDescent="0.25">
      <c r="A283" s="378" t="s">
        <v>695</v>
      </c>
      <c r="B283" s="278"/>
      <c r="C283" s="278"/>
      <c r="D283" s="278"/>
      <c r="E283" s="278"/>
      <c r="F283" s="279"/>
      <c r="G283" s="278"/>
      <c r="H283" s="278"/>
      <c r="I283" s="278"/>
      <c r="J283" s="279"/>
      <c r="K283" s="278"/>
      <c r="L283" s="278"/>
      <c r="M283" s="278"/>
      <c r="N283" s="279"/>
      <c r="O283" s="278"/>
      <c r="P283" s="278"/>
      <c r="Q283" s="278"/>
      <c r="R283" s="279"/>
      <c r="S283" s="280"/>
      <c r="T283" s="280"/>
      <c r="U283" s="280"/>
      <c r="V283" s="280"/>
      <c r="W283" s="281"/>
      <c r="X283" s="282"/>
      <c r="Y283" s="283"/>
      <c r="Z283" s="281"/>
      <c r="AA283" s="280"/>
      <c r="AB283" s="280"/>
      <c r="AC283" s="281"/>
      <c r="AD283" s="281"/>
      <c r="AE283" s="282"/>
      <c r="AF283" s="281"/>
      <c r="AG283" s="281"/>
      <c r="AH283" s="281"/>
      <c r="AI283" s="281"/>
      <c r="AJ283" s="281"/>
      <c r="AK283" s="281"/>
      <c r="AL283" s="282"/>
      <c r="AM283" s="281"/>
      <c r="AN283" s="281"/>
      <c r="AO283" s="281"/>
      <c r="AP283" s="281"/>
      <c r="AQ283" s="281"/>
      <c r="AR283" s="281"/>
      <c r="AS283" s="282"/>
      <c r="AT283" s="281"/>
      <c r="AU283" s="281"/>
      <c r="AV283" s="281"/>
      <c r="AW283" s="281"/>
      <c r="AX283" s="281"/>
      <c r="AY283" s="281"/>
      <c r="AZ283" s="281"/>
      <c r="BA283" s="281"/>
      <c r="BB283" s="281"/>
      <c r="BC283" s="281"/>
      <c r="BD283" s="281"/>
      <c r="BE283" s="302"/>
      <c r="BF283" s="302"/>
      <c r="BG283" s="302"/>
      <c r="BH283" s="302"/>
      <c r="BI283" s="281"/>
      <c r="BJ283" s="302"/>
      <c r="BK283" s="281"/>
      <c r="BL283" s="302"/>
      <c r="BM283" s="302"/>
      <c r="BN283" s="302"/>
      <c r="BO283" s="302"/>
      <c r="BP283" s="281"/>
      <c r="BQ283" s="281"/>
      <c r="BR283" s="281"/>
      <c r="BS283" s="302"/>
      <c r="BT283" s="302"/>
      <c r="BU283" s="302"/>
      <c r="BV283" s="302"/>
      <c r="BW283" s="281"/>
      <c r="BX283" s="281"/>
      <c r="BY283" s="302"/>
      <c r="BZ283" s="302"/>
      <c r="CA283" s="302"/>
      <c r="CB283" s="302"/>
      <c r="CC283" s="302"/>
      <c r="CD283" s="281"/>
      <c r="CE283" s="281"/>
      <c r="CF283" s="281"/>
      <c r="CG283" s="302"/>
      <c r="CH283" s="302"/>
      <c r="CI283" s="302"/>
      <c r="CJ283" s="302"/>
      <c r="CK283" s="302"/>
      <c r="CL283" s="302"/>
      <c r="CM283" s="302"/>
      <c r="CN283" s="302"/>
      <c r="CO283" s="302"/>
    </row>
    <row r="284" spans="1:93" s="423" customFormat="1" ht="13" x14ac:dyDescent="0.3">
      <c r="A284" s="525" t="str">
        <f>Language!C211</f>
        <v>Lucro Líquido</v>
      </c>
      <c r="B284" s="526">
        <f t="shared" ref="B284:AL284" si="1670">SUM(B285,B286,B287,B288,B289,B290)</f>
        <v>27125</v>
      </c>
      <c r="C284" s="526">
        <f t="shared" si="1670"/>
        <v>16176</v>
      </c>
      <c r="D284" s="526">
        <f t="shared" si="1670"/>
        <v>20055</v>
      </c>
      <c r="E284" s="526">
        <f t="shared" si="1670"/>
        <v>37484</v>
      </c>
      <c r="F284" s="527">
        <f t="shared" si="1670"/>
        <v>33401</v>
      </c>
      <c r="G284" s="526">
        <f t="shared" si="1670"/>
        <v>21559</v>
      </c>
      <c r="H284" s="526">
        <f t="shared" si="1670"/>
        <v>30673</v>
      </c>
      <c r="I284" s="526">
        <f t="shared" si="1670"/>
        <v>41316</v>
      </c>
      <c r="J284" s="527">
        <f t="shared" si="1670"/>
        <v>48912</v>
      </c>
      <c r="K284" s="526">
        <f t="shared" si="1670"/>
        <v>22354</v>
      </c>
      <c r="L284" s="526">
        <f t="shared" si="1670"/>
        <v>30884</v>
      </c>
      <c r="M284" s="526">
        <f t="shared" si="1670"/>
        <v>39767</v>
      </c>
      <c r="N284" s="527">
        <f t="shared" si="1670"/>
        <v>36467</v>
      </c>
      <c r="O284" s="526">
        <f t="shared" si="1670"/>
        <v>40698</v>
      </c>
      <c r="P284" s="526">
        <f t="shared" si="1670"/>
        <v>62121</v>
      </c>
      <c r="Q284" s="526">
        <f t="shared" si="1670"/>
        <v>29232</v>
      </c>
      <c r="R284" s="527">
        <f t="shared" si="1670"/>
        <v>114863</v>
      </c>
      <c r="S284" s="526">
        <f t="shared" si="1670"/>
        <v>16815</v>
      </c>
      <c r="T284" s="526">
        <f t="shared" si="1670"/>
        <v>44619</v>
      </c>
      <c r="U284" s="526">
        <f t="shared" si="1670"/>
        <v>-37668</v>
      </c>
      <c r="V284" s="526">
        <f t="shared" si="1670"/>
        <v>208024</v>
      </c>
      <c r="W284" s="528">
        <f t="shared" si="1670"/>
        <v>176297</v>
      </c>
      <c r="X284" s="529">
        <f t="shared" si="1670"/>
        <v>138629</v>
      </c>
      <c r="Y284" s="530">
        <f t="shared" si="1670"/>
        <v>-1746</v>
      </c>
      <c r="Z284" s="528">
        <f t="shared" si="1670"/>
        <v>-21268</v>
      </c>
      <c r="AA284" s="526">
        <f t="shared" si="1670"/>
        <v>-13765</v>
      </c>
      <c r="AB284" s="526">
        <f t="shared" si="1670"/>
        <v>-142819</v>
      </c>
      <c r="AC284" s="528">
        <f t="shared" si="1670"/>
        <v>-23014</v>
      </c>
      <c r="AD284" s="528">
        <f t="shared" si="1670"/>
        <v>-36779</v>
      </c>
      <c r="AE284" s="529">
        <f t="shared" si="1670"/>
        <v>-179598</v>
      </c>
      <c r="AF284" s="528">
        <f t="shared" si="1670"/>
        <v>-35457</v>
      </c>
      <c r="AG284" s="528">
        <f t="shared" si="1230"/>
        <v>-61735.999999999971</v>
      </c>
      <c r="AH284" s="528">
        <f t="shared" si="1523"/>
        <v>-5186.7788718078809</v>
      </c>
      <c r="AI284" s="528">
        <f t="shared" si="1524"/>
        <v>-255662.22112819209</v>
      </c>
      <c r="AJ284" s="528">
        <f t="shared" si="1670"/>
        <v>-97192.999999999971</v>
      </c>
      <c r="AK284" s="528">
        <f t="shared" si="1670"/>
        <v>-102379.77887180785</v>
      </c>
      <c r="AL284" s="529">
        <f t="shared" si="1670"/>
        <v>-358041.99999999994</v>
      </c>
      <c r="AM284" s="528">
        <f>SUM(AM285:AM291)</f>
        <v>19868.000000000004</v>
      </c>
      <c r="AN284" s="528">
        <f t="shared" si="1527"/>
        <v>-32595.731446028105</v>
      </c>
      <c r="AO284" s="528">
        <f t="shared" si="1528"/>
        <v>-21298.268553971906</v>
      </c>
      <c r="AP284" s="528">
        <f t="shared" si="1528"/>
        <v>-250710.99999999994</v>
      </c>
      <c r="AQ284" s="528">
        <f>SUM(AQ285:AQ291)</f>
        <v>-12727.731446028101</v>
      </c>
      <c r="AR284" s="528">
        <f>SUM(AR285:AR291)</f>
        <v>-34026.000000000007</v>
      </c>
      <c r="AS284" s="529">
        <f>SUM(AS285:AS291)</f>
        <v>-284736.99999999994</v>
      </c>
      <c r="AT284" s="528">
        <f>SUM(AT285:AT291)</f>
        <v>-66184.071660240006</v>
      </c>
      <c r="AU284" s="528">
        <f>SUM(AU285:AU292)</f>
        <v>-81574.955979842562</v>
      </c>
      <c r="AV284" s="528">
        <f>SUM(AV285:AV291)</f>
        <v>-53691.792100000006</v>
      </c>
      <c r="AW284" s="528">
        <f t="shared" si="1532"/>
        <v>31254.111200000014</v>
      </c>
      <c r="AX284" s="528">
        <f>SUM(AX285:AX292)</f>
        <v>-147483.97333316802</v>
      </c>
      <c r="AY284" s="528">
        <f>SUM(AY285:AY292)</f>
        <v>-208421.76543316801</v>
      </c>
      <c r="AZ284" s="528">
        <f>SUM(AZ285:AZ292)</f>
        <v>-177167.654233168</v>
      </c>
      <c r="BA284" s="528">
        <f>SUM(BA285:BA291)</f>
        <v>-13425</v>
      </c>
      <c r="BB284" s="528">
        <f t="shared" ref="BB284" si="1671">SUM(BB285:BB291)</f>
        <v>-613</v>
      </c>
      <c r="BC284" s="528">
        <f t="shared" ref="BC284:BH284" si="1672">SUM(BC285:BC292)</f>
        <v>-53160</v>
      </c>
      <c r="BD284" s="528">
        <f t="shared" si="1672"/>
        <v>159009</v>
      </c>
      <c r="BE284" s="528">
        <f t="shared" si="1672"/>
        <v>-14038</v>
      </c>
      <c r="BF284" s="528">
        <f t="shared" si="1672"/>
        <v>-67198</v>
      </c>
      <c r="BG284" s="528">
        <f t="shared" si="1672"/>
        <v>91811</v>
      </c>
      <c r="BH284" s="528">
        <f t="shared" si="1672"/>
        <v>-47063</v>
      </c>
      <c r="BI284" s="528">
        <f t="shared" ref="BI284:BL284" si="1673">SUM(BI285:BI292)</f>
        <v>-28701</v>
      </c>
      <c r="BJ284" s="528">
        <f t="shared" si="1673"/>
        <v>81585</v>
      </c>
      <c r="BK284" s="528">
        <f t="shared" si="1673"/>
        <v>-43157</v>
      </c>
      <c r="BL284" s="528">
        <f t="shared" si="1673"/>
        <v>-75764</v>
      </c>
      <c r="BM284" s="528">
        <f t="shared" ref="BM284:BN284" si="1674">SUM(BM285:BM292)</f>
        <v>5821</v>
      </c>
      <c r="BN284" s="528">
        <f t="shared" si="1674"/>
        <v>-37336</v>
      </c>
      <c r="BO284" s="528">
        <f t="shared" ref="BO284:BS284" si="1675">SUM(BO285:BO292)</f>
        <v>-35080</v>
      </c>
      <c r="BP284" s="528">
        <f t="shared" si="1675"/>
        <v>-195372.51533350305</v>
      </c>
      <c r="BQ284" s="528">
        <f>SUM(BQ285:BQ292)+1</f>
        <v>-63843.757666751524</v>
      </c>
      <c r="BR284" s="528">
        <f t="shared" si="1675"/>
        <v>-23683.757666751524</v>
      </c>
      <c r="BS284" s="528">
        <f t="shared" si="1675"/>
        <v>73514.484666496952</v>
      </c>
      <c r="BT284" s="528">
        <f t="shared" ref="BT284:BU284" si="1676">SUM(BT285:BT292)</f>
        <v>9669.7269997454332</v>
      </c>
      <c r="BU284" s="528">
        <f t="shared" si="1676"/>
        <v>-14014.030667006089</v>
      </c>
      <c r="BV284" s="528">
        <f t="shared" ref="BV284:BY284" si="1677">SUM(BV285:BV292)</f>
        <v>-75537.0985792547</v>
      </c>
      <c r="BW284" s="528">
        <f t="shared" si="1677"/>
        <v>-62513.543956972986</v>
      </c>
      <c r="BX284" s="528">
        <f>SUM(BX285:BX292)-1</f>
        <v>104769.67873188616</v>
      </c>
      <c r="BY284" s="528">
        <f t="shared" si="1677"/>
        <v>12594.678731886153</v>
      </c>
      <c r="BZ284" s="528">
        <f t="shared" ref="BZ284:CA284" si="1678">SUM(BZ285:BZ292)</f>
        <v>-136570.64253622768</v>
      </c>
      <c r="CA284" s="528">
        <f t="shared" si="1678"/>
        <v>-31799.96380434154</v>
      </c>
      <c r="CB284" s="528">
        <f t="shared" ref="CB284:CC284" si="1679">SUM(CB285:CB292)</f>
        <v>-19205.285072455383</v>
      </c>
      <c r="CC284" s="528">
        <f t="shared" si="1679"/>
        <v>-14310.317476302173</v>
      </c>
      <c r="CD284" s="528">
        <f t="shared" ref="CD284" si="1680">SUM(CD285:CD292)</f>
        <v>-3546.4391651942979</v>
      </c>
      <c r="CE284" s="528">
        <f>SUM(CE285:CE292)-1</f>
        <v>42624.756641496468</v>
      </c>
      <c r="CF284" s="528">
        <f>SUM(CF285:CF292)+1</f>
        <v>-60938</v>
      </c>
      <c r="CG284" s="528">
        <f t="shared" ref="CG284" si="1681">SUM(CG285:CG292)</f>
        <v>-17856.756641496468</v>
      </c>
      <c r="CH284" s="528">
        <f>SUM(CH285:CH292)-1</f>
        <v>24768</v>
      </c>
      <c r="CI284" s="528">
        <f t="shared" ref="CI284" si="1682">SUM(CI285:CI292)</f>
        <v>-36170</v>
      </c>
      <c r="CJ284" s="528">
        <v>-17531</v>
      </c>
      <c r="CK284" s="528">
        <f t="shared" ref="CK284:CO284" si="1683">SUM(CK285:CK292)</f>
        <v>-40298</v>
      </c>
      <c r="CL284" s="528">
        <f t="shared" si="1683"/>
        <v>0</v>
      </c>
      <c r="CM284" s="528">
        <f t="shared" si="1683"/>
        <v>0</v>
      </c>
      <c r="CN284" s="528">
        <f t="shared" si="1683"/>
        <v>-57829</v>
      </c>
      <c r="CO284" s="528">
        <f t="shared" si="1683"/>
        <v>0</v>
      </c>
    </row>
    <row r="285" spans="1:93" s="289" customFormat="1" x14ac:dyDescent="0.25">
      <c r="A285" s="442" t="str">
        <f>Language!C212</f>
        <v>Concepa</v>
      </c>
      <c r="B285" s="443">
        <f t="shared" ref="B285:AF285" si="1684">SUM(B245,B254,B262)</f>
        <v>13335</v>
      </c>
      <c r="C285" s="443">
        <f t="shared" si="1684"/>
        <v>5245</v>
      </c>
      <c r="D285" s="443">
        <f t="shared" si="1684"/>
        <v>7864</v>
      </c>
      <c r="E285" s="443">
        <f t="shared" si="1684"/>
        <v>15805</v>
      </c>
      <c r="F285" s="444">
        <f t="shared" si="1684"/>
        <v>17488</v>
      </c>
      <c r="G285" s="443">
        <f t="shared" si="1684"/>
        <v>3247</v>
      </c>
      <c r="H285" s="443">
        <f t="shared" si="1684"/>
        <v>9165</v>
      </c>
      <c r="I285" s="443">
        <f t="shared" si="1684"/>
        <v>16580</v>
      </c>
      <c r="J285" s="444">
        <f t="shared" si="1684"/>
        <v>22508</v>
      </c>
      <c r="K285" s="443">
        <f t="shared" si="1684"/>
        <v>9188</v>
      </c>
      <c r="L285" s="443">
        <f t="shared" si="1684"/>
        <v>10284</v>
      </c>
      <c r="M285" s="443">
        <f t="shared" si="1684"/>
        <v>20720</v>
      </c>
      <c r="N285" s="444">
        <f t="shared" si="1684"/>
        <v>21242</v>
      </c>
      <c r="O285" s="443">
        <f t="shared" si="1684"/>
        <v>8618</v>
      </c>
      <c r="P285" s="443">
        <f t="shared" si="1684"/>
        <v>19176</v>
      </c>
      <c r="Q285" s="443">
        <f t="shared" si="1684"/>
        <v>35718</v>
      </c>
      <c r="R285" s="444">
        <f t="shared" si="1684"/>
        <v>41402</v>
      </c>
      <c r="S285" s="443">
        <f t="shared" si="1684"/>
        <v>21897</v>
      </c>
      <c r="T285" s="443">
        <f t="shared" si="1684"/>
        <v>15601</v>
      </c>
      <c r="U285" s="443">
        <f t="shared" si="1684"/>
        <v>-17851</v>
      </c>
      <c r="V285" s="443">
        <f t="shared" si="1684"/>
        <v>84285</v>
      </c>
      <c r="W285" s="531">
        <f t="shared" si="1684"/>
        <v>78900</v>
      </c>
      <c r="X285" s="532">
        <f t="shared" si="1684"/>
        <v>61049</v>
      </c>
      <c r="Y285" s="533">
        <f t="shared" si="1684"/>
        <v>13836</v>
      </c>
      <c r="Z285" s="531">
        <f t="shared" si="1684"/>
        <v>3678</v>
      </c>
      <c r="AA285" s="443">
        <f t="shared" si="1684"/>
        <v>9550</v>
      </c>
      <c r="AB285" s="443">
        <f t="shared" si="1684"/>
        <v>3184</v>
      </c>
      <c r="AC285" s="531">
        <f t="shared" si="1684"/>
        <v>17514</v>
      </c>
      <c r="AD285" s="531">
        <f t="shared" si="1684"/>
        <v>27064</v>
      </c>
      <c r="AE285" s="532">
        <f t="shared" si="1684"/>
        <v>30248</v>
      </c>
      <c r="AF285" s="531">
        <f t="shared" si="1684"/>
        <v>20982.340641239178</v>
      </c>
      <c r="AG285" s="531">
        <f t="shared" si="1230"/>
        <v>-6691.1186479437692</v>
      </c>
      <c r="AH285" s="531">
        <f t="shared" si="1523"/>
        <v>543.29469817847894</v>
      </c>
      <c r="AI285" s="531">
        <f t="shared" si="1524"/>
        <v>-258272.30696528155</v>
      </c>
      <c r="AJ285" s="531">
        <f>SUM(AJ245,AJ254,AJ262)</f>
        <v>14291.221993295409</v>
      </c>
      <c r="AK285" s="531">
        <f>SUM(AK245,AK254,AK262)</f>
        <v>14834.516691473887</v>
      </c>
      <c r="AL285" s="532">
        <f>SUM(AL245,AL254,AL262)</f>
        <v>-243437.79027380765</v>
      </c>
      <c r="AM285" s="531">
        <f>SUM(AM245,AM254,AM262)</f>
        <v>37309.371980081181</v>
      </c>
      <c r="AN285" s="531">
        <f t="shared" si="1527"/>
        <v>9506.7299587855814</v>
      </c>
      <c r="AO285" s="531">
        <f t="shared" si="1528"/>
        <v>-30673.818368896398</v>
      </c>
      <c r="AP285" s="531">
        <f t="shared" si="1528"/>
        <v>-2473.5234619233015</v>
      </c>
      <c r="AQ285" s="531">
        <f t="shared" ref="AQ285:AV285" si="1685">SUM(AQ245,AQ254,AQ262)</f>
        <v>46816.101938866763</v>
      </c>
      <c r="AR285" s="531">
        <f t="shared" si="1685"/>
        <v>16142.283569970366</v>
      </c>
      <c r="AS285" s="532">
        <f t="shared" si="1685"/>
        <v>13668.760108047065</v>
      </c>
      <c r="AT285" s="531">
        <f t="shared" si="1685"/>
        <v>0</v>
      </c>
      <c r="AU285" s="531">
        <f t="shared" si="1685"/>
        <v>-7164.0543069145524</v>
      </c>
      <c r="AV285" s="531">
        <f t="shared" si="1685"/>
        <v>-1171</v>
      </c>
      <c r="AW285" s="531">
        <f t="shared" si="1532"/>
        <v>8341</v>
      </c>
      <c r="AX285" s="515">
        <f t="shared" ref="AX285:CI285" si="1686">SUM(AX245,AX254,AX262)</f>
        <v>-7170</v>
      </c>
      <c r="AY285" s="531">
        <f t="shared" si="1686"/>
        <v>-8341</v>
      </c>
      <c r="AZ285" s="531">
        <f t="shared" si="1686"/>
        <v>0</v>
      </c>
      <c r="BA285" s="531">
        <f t="shared" si="1686"/>
        <v>0</v>
      </c>
      <c r="BB285" s="531">
        <f t="shared" si="1686"/>
        <v>0</v>
      </c>
      <c r="BC285" s="531">
        <f t="shared" si="1686"/>
        <v>0</v>
      </c>
      <c r="BD285" s="531">
        <f t="shared" si="1686"/>
        <v>0</v>
      </c>
      <c r="BE285" s="531">
        <f t="shared" si="1686"/>
        <v>0</v>
      </c>
      <c r="BF285" s="531">
        <f t="shared" si="1686"/>
        <v>0</v>
      </c>
      <c r="BG285" s="531">
        <f t="shared" si="1686"/>
        <v>0</v>
      </c>
      <c r="BH285" s="531">
        <f t="shared" si="1686"/>
        <v>0</v>
      </c>
      <c r="BI285" s="531">
        <f t="shared" si="1686"/>
        <v>0</v>
      </c>
      <c r="BJ285" s="531">
        <f t="shared" si="1686"/>
        <v>0</v>
      </c>
      <c r="BK285" s="531">
        <f t="shared" si="1686"/>
        <v>0</v>
      </c>
      <c r="BL285" s="531">
        <f t="shared" si="1686"/>
        <v>0</v>
      </c>
      <c r="BM285" s="531">
        <f t="shared" si="1686"/>
        <v>0</v>
      </c>
      <c r="BN285" s="531">
        <f t="shared" si="1686"/>
        <v>0</v>
      </c>
      <c r="BO285" s="531">
        <f t="shared" si="1686"/>
        <v>0</v>
      </c>
      <c r="BP285" s="531">
        <f t="shared" si="1686"/>
        <v>0</v>
      </c>
      <c r="BQ285" s="531">
        <f t="shared" si="1686"/>
        <v>0</v>
      </c>
      <c r="BR285" s="531">
        <f t="shared" si="1686"/>
        <v>0</v>
      </c>
      <c r="BS285" s="531">
        <f t="shared" si="1686"/>
        <v>0</v>
      </c>
      <c r="BT285" s="531">
        <f t="shared" si="1686"/>
        <v>0</v>
      </c>
      <c r="BU285" s="531">
        <f t="shared" si="1686"/>
        <v>0</v>
      </c>
      <c r="BV285" s="531">
        <f t="shared" si="1686"/>
        <v>0</v>
      </c>
      <c r="BW285" s="531">
        <f t="shared" si="1686"/>
        <v>0</v>
      </c>
      <c r="BX285" s="531">
        <f t="shared" si="1686"/>
        <v>0</v>
      </c>
      <c r="BY285" s="531">
        <f t="shared" si="1686"/>
        <v>0</v>
      </c>
      <c r="BZ285" s="531">
        <f t="shared" si="1686"/>
        <v>0</v>
      </c>
      <c r="CA285" s="531">
        <f t="shared" si="1686"/>
        <v>0</v>
      </c>
      <c r="CB285" s="531">
        <f t="shared" si="1686"/>
        <v>0</v>
      </c>
      <c r="CC285" s="531">
        <f t="shared" si="1686"/>
        <v>0</v>
      </c>
      <c r="CD285" s="531">
        <f t="shared" si="1686"/>
        <v>0</v>
      </c>
      <c r="CE285" s="531">
        <f t="shared" si="1686"/>
        <v>0</v>
      </c>
      <c r="CF285" s="531">
        <f t="shared" si="1686"/>
        <v>0</v>
      </c>
      <c r="CG285" s="531">
        <f t="shared" si="1686"/>
        <v>0</v>
      </c>
      <c r="CH285" s="531">
        <f t="shared" si="1686"/>
        <v>0</v>
      </c>
      <c r="CI285" s="531">
        <f t="shared" si="1686"/>
        <v>0</v>
      </c>
      <c r="CJ285" s="531">
        <v>0</v>
      </c>
      <c r="CK285" s="531">
        <f t="shared" ref="CK285:CO285" si="1687">SUM(CK245,CK254,CK262)</f>
        <v>0</v>
      </c>
      <c r="CL285" s="531">
        <f t="shared" si="1687"/>
        <v>0</v>
      </c>
      <c r="CM285" s="531">
        <f t="shared" si="1687"/>
        <v>0</v>
      </c>
      <c r="CN285" s="531">
        <f t="shared" si="1687"/>
        <v>0</v>
      </c>
      <c r="CO285" s="531">
        <f t="shared" si="1687"/>
        <v>0</v>
      </c>
    </row>
    <row r="286" spans="1:93" s="289" customFormat="1" x14ac:dyDescent="0.25">
      <c r="A286" s="442" t="str">
        <f>Language!C213</f>
        <v>Concer</v>
      </c>
      <c r="B286" s="443">
        <f t="shared" ref="B286:AF286" si="1688">SUM(B246,B255,B265)</f>
        <v>6226</v>
      </c>
      <c r="C286" s="443">
        <f t="shared" si="1688"/>
        <v>5101</v>
      </c>
      <c r="D286" s="443">
        <f t="shared" si="1688"/>
        <v>6413</v>
      </c>
      <c r="E286" s="443">
        <f t="shared" si="1688"/>
        <v>12289</v>
      </c>
      <c r="F286" s="444">
        <f t="shared" si="1688"/>
        <v>6498</v>
      </c>
      <c r="G286" s="443">
        <f t="shared" si="1688"/>
        <v>7146</v>
      </c>
      <c r="H286" s="443">
        <f t="shared" si="1688"/>
        <v>9102</v>
      </c>
      <c r="I286" s="443">
        <f t="shared" si="1688"/>
        <v>10790</v>
      </c>
      <c r="J286" s="444">
        <f t="shared" si="1688"/>
        <v>11773</v>
      </c>
      <c r="K286" s="443">
        <f t="shared" si="1688"/>
        <v>4153</v>
      </c>
      <c r="L286" s="443">
        <f t="shared" si="1688"/>
        <v>8800</v>
      </c>
      <c r="M286" s="443">
        <f t="shared" si="1688"/>
        <v>7764</v>
      </c>
      <c r="N286" s="444">
        <f t="shared" si="1688"/>
        <v>4469</v>
      </c>
      <c r="O286" s="443">
        <f t="shared" si="1688"/>
        <v>21860</v>
      </c>
      <c r="P286" s="443">
        <f t="shared" si="1688"/>
        <v>35015</v>
      </c>
      <c r="Q286" s="443">
        <f t="shared" si="1688"/>
        <v>-20049</v>
      </c>
      <c r="R286" s="444">
        <f t="shared" si="1688"/>
        <v>72943</v>
      </c>
      <c r="S286" s="443">
        <f t="shared" si="1688"/>
        <v>2427</v>
      </c>
      <c r="T286" s="443">
        <f t="shared" si="1688"/>
        <v>15716</v>
      </c>
      <c r="U286" s="443">
        <f t="shared" si="1688"/>
        <v>1667</v>
      </c>
      <c r="V286" s="443">
        <f t="shared" si="1688"/>
        <v>123119</v>
      </c>
      <c r="W286" s="531">
        <f t="shared" si="1688"/>
        <v>91086</v>
      </c>
      <c r="X286" s="532">
        <f t="shared" si="1688"/>
        <v>92753</v>
      </c>
      <c r="Y286" s="533">
        <f t="shared" si="1688"/>
        <v>-3427</v>
      </c>
      <c r="Z286" s="531">
        <f t="shared" si="1688"/>
        <v>-7651</v>
      </c>
      <c r="AA286" s="443">
        <f t="shared" si="1688"/>
        <v>-7870</v>
      </c>
      <c r="AB286" s="443">
        <f t="shared" si="1688"/>
        <v>-9282</v>
      </c>
      <c r="AC286" s="531">
        <f t="shared" si="1688"/>
        <v>-11078</v>
      </c>
      <c r="AD286" s="531">
        <f t="shared" si="1688"/>
        <v>-18948</v>
      </c>
      <c r="AE286" s="532">
        <f t="shared" si="1688"/>
        <v>-28230</v>
      </c>
      <c r="AF286" s="531">
        <f t="shared" si="1688"/>
        <v>-10337.176875738052</v>
      </c>
      <c r="AG286" s="531">
        <f t="shared" si="1230"/>
        <v>-8538.6998775711654</v>
      </c>
      <c r="AH286" s="531">
        <f t="shared" si="1523"/>
        <v>-6944.3508328452845</v>
      </c>
      <c r="AI286" s="531">
        <f t="shared" si="1524"/>
        <v>7519.4114814965542</v>
      </c>
      <c r="AJ286" s="531">
        <f>SUM(AJ246,AJ255,AJ265)</f>
        <v>-18875.876753309218</v>
      </c>
      <c r="AK286" s="531">
        <f>SUM(AK246,AK255,AK265)</f>
        <v>-25820.227586154502</v>
      </c>
      <c r="AL286" s="532">
        <f>SUM(AL246,AL255,AL265)</f>
        <v>-18300.816104657948</v>
      </c>
      <c r="AM286" s="531">
        <f>SUM(AM246,AM255,AM265)</f>
        <v>-3643.575275930998</v>
      </c>
      <c r="AN286" s="531">
        <f t="shared" si="1527"/>
        <v>-19530.114961509607</v>
      </c>
      <c r="AO286" s="531">
        <f t="shared" si="1528"/>
        <v>-1200.9182040991618</v>
      </c>
      <c r="AP286" s="531">
        <f t="shared" si="1528"/>
        <v>-9102.7096455521496</v>
      </c>
      <c r="AQ286" s="531">
        <f t="shared" ref="AQ286:AV286" si="1689">SUM(AQ246,AQ255,AQ265)</f>
        <v>-23173.690237440605</v>
      </c>
      <c r="AR286" s="531">
        <f t="shared" si="1689"/>
        <v>-24374.608441539767</v>
      </c>
      <c r="AS286" s="532">
        <f t="shared" si="1689"/>
        <v>-33477.318087091917</v>
      </c>
      <c r="AT286" s="531">
        <f t="shared" si="1689"/>
        <v>-22925.071660239999</v>
      </c>
      <c r="AU286" s="531">
        <f t="shared" si="1689"/>
        <v>-24231.901672928012</v>
      </c>
      <c r="AV286" s="531">
        <f t="shared" si="1689"/>
        <v>-27496.792100000006</v>
      </c>
      <c r="AW286" s="531">
        <f t="shared" si="1532"/>
        <v>-26071.888799999972</v>
      </c>
      <c r="AX286" s="515">
        <f t="shared" ref="AX286:CI286" si="1690">SUM(AX246,AX255,AX265)</f>
        <v>-47156.973333168018</v>
      </c>
      <c r="AY286" s="531">
        <f t="shared" si="1690"/>
        <v>-74653.76543316801</v>
      </c>
      <c r="AZ286" s="531">
        <f t="shared" si="1690"/>
        <v>-100725.65423316798</v>
      </c>
      <c r="BA286" s="531">
        <f t="shared" si="1690"/>
        <v>-23500</v>
      </c>
      <c r="BB286" s="531">
        <f t="shared" si="1690"/>
        <v>-22792</v>
      </c>
      <c r="BC286" s="531">
        <f t="shared" si="1690"/>
        <v>-39633</v>
      </c>
      <c r="BD286" s="531">
        <f t="shared" si="1690"/>
        <v>-7741</v>
      </c>
      <c r="BE286" s="531">
        <f t="shared" si="1690"/>
        <v>-46292</v>
      </c>
      <c r="BF286" s="531">
        <f t="shared" si="1690"/>
        <v>-85925</v>
      </c>
      <c r="BG286" s="531">
        <f t="shared" si="1690"/>
        <v>-93666</v>
      </c>
      <c r="BH286" s="531">
        <f t="shared" si="1690"/>
        <v>-38252</v>
      </c>
      <c r="BI286" s="531">
        <f t="shared" si="1690"/>
        <v>-18325</v>
      </c>
      <c r="BJ286" s="531">
        <f t="shared" si="1690"/>
        <v>32897</v>
      </c>
      <c r="BK286" s="531">
        <f t="shared" si="1690"/>
        <v>-1417</v>
      </c>
      <c r="BL286" s="531">
        <f t="shared" si="1690"/>
        <v>-56577</v>
      </c>
      <c r="BM286" s="531">
        <f t="shared" si="1690"/>
        <v>-23680</v>
      </c>
      <c r="BN286" s="531">
        <f t="shared" si="1690"/>
        <v>-25097</v>
      </c>
      <c r="BO286" s="531">
        <f t="shared" si="1690"/>
        <v>-4250</v>
      </c>
      <c r="BP286" s="531">
        <f t="shared" si="1690"/>
        <v>-4798</v>
      </c>
      <c r="BQ286" s="531">
        <f t="shared" si="1690"/>
        <v>-349</v>
      </c>
      <c r="BR286" s="531">
        <f t="shared" si="1690"/>
        <v>227</v>
      </c>
      <c r="BS286" s="531">
        <f t="shared" si="1690"/>
        <v>-9048</v>
      </c>
      <c r="BT286" s="531">
        <f t="shared" si="1690"/>
        <v>-9397</v>
      </c>
      <c r="BU286" s="531">
        <f t="shared" si="1690"/>
        <v>-9170</v>
      </c>
      <c r="BV286" s="531">
        <f t="shared" si="1690"/>
        <v>-1311</v>
      </c>
      <c r="BW286" s="531">
        <f t="shared" si="1690"/>
        <v>-2719</v>
      </c>
      <c r="BX286" s="531">
        <f t="shared" si="1690"/>
        <v>-4284</v>
      </c>
      <c r="BY286" s="531">
        <f t="shared" si="1690"/>
        <v>-4411</v>
      </c>
      <c r="BZ286" s="531">
        <f t="shared" si="1690"/>
        <v>-2550</v>
      </c>
      <c r="CA286" s="531">
        <f t="shared" si="1690"/>
        <v>-6834</v>
      </c>
      <c r="CB286" s="531">
        <f t="shared" si="1690"/>
        <v>-11245</v>
      </c>
      <c r="CC286" s="531">
        <f t="shared" si="1690"/>
        <v>8446</v>
      </c>
      <c r="CD286" s="531">
        <f t="shared" si="1690"/>
        <v>-325</v>
      </c>
      <c r="CE286" s="531">
        <f t="shared" si="1690"/>
        <v>-9515</v>
      </c>
      <c r="CF286" s="531">
        <f t="shared" si="1690"/>
        <v>-76457</v>
      </c>
      <c r="CG286" s="531">
        <f t="shared" si="1690"/>
        <v>8121</v>
      </c>
      <c r="CH286" s="531">
        <f t="shared" si="1690"/>
        <v>-1394</v>
      </c>
      <c r="CI286" s="531">
        <f t="shared" si="1690"/>
        <v>-77851</v>
      </c>
      <c r="CJ286" s="531">
        <v>-2960</v>
      </c>
      <c r="CK286" s="531">
        <f>SUM(CK246,CK255,CK265,CK278)</f>
        <v>-18670</v>
      </c>
      <c r="CL286" s="531">
        <f t="shared" ref="CL286:CO286" si="1691">SUM(CL246,CL255,CL265,CL278)</f>
        <v>0</v>
      </c>
      <c r="CM286" s="531">
        <f t="shared" si="1691"/>
        <v>0</v>
      </c>
      <c r="CN286" s="531">
        <f t="shared" si="1691"/>
        <v>-21630</v>
      </c>
      <c r="CO286" s="531">
        <f t="shared" si="1691"/>
        <v>0</v>
      </c>
    </row>
    <row r="287" spans="1:93" s="289" customFormat="1" x14ac:dyDescent="0.25">
      <c r="A287" s="442" t="str">
        <f>Language!C214</f>
        <v>Econorte</v>
      </c>
      <c r="B287" s="443">
        <f t="shared" ref="B287:AF287" si="1692">SUM(B247,B256,B268)</f>
        <v>7564</v>
      </c>
      <c r="C287" s="443">
        <f t="shared" si="1692"/>
        <v>5830</v>
      </c>
      <c r="D287" s="443">
        <f t="shared" si="1692"/>
        <v>5778</v>
      </c>
      <c r="E287" s="443">
        <f t="shared" si="1692"/>
        <v>9390</v>
      </c>
      <c r="F287" s="444">
        <f t="shared" si="1692"/>
        <v>9415</v>
      </c>
      <c r="G287" s="443">
        <f t="shared" si="1692"/>
        <v>11166</v>
      </c>
      <c r="H287" s="443">
        <f t="shared" si="1692"/>
        <v>12406</v>
      </c>
      <c r="I287" s="443">
        <f t="shared" si="1692"/>
        <v>13975</v>
      </c>
      <c r="J287" s="444">
        <f t="shared" si="1692"/>
        <v>14651</v>
      </c>
      <c r="K287" s="443">
        <f t="shared" si="1692"/>
        <v>9013</v>
      </c>
      <c r="L287" s="443">
        <f t="shared" si="1692"/>
        <v>11807</v>
      </c>
      <c r="M287" s="443">
        <f t="shared" si="1692"/>
        <v>11285</v>
      </c>
      <c r="N287" s="444">
        <f t="shared" si="1692"/>
        <v>9913</v>
      </c>
      <c r="O287" s="443">
        <f t="shared" si="1692"/>
        <v>7979</v>
      </c>
      <c r="P287" s="443">
        <f t="shared" si="1692"/>
        <v>7621</v>
      </c>
      <c r="Q287" s="443">
        <f t="shared" si="1692"/>
        <v>9833</v>
      </c>
      <c r="R287" s="444">
        <f t="shared" si="1692"/>
        <v>7503</v>
      </c>
      <c r="S287" s="443">
        <f t="shared" si="1692"/>
        <v>2786</v>
      </c>
      <c r="T287" s="443">
        <f t="shared" si="1692"/>
        <v>5927</v>
      </c>
      <c r="U287" s="443">
        <f t="shared" si="1692"/>
        <v>2523</v>
      </c>
      <c r="V287" s="443">
        <f t="shared" si="1692"/>
        <v>11006</v>
      </c>
      <c r="W287" s="531">
        <f t="shared" si="1692"/>
        <v>16216</v>
      </c>
      <c r="X287" s="532">
        <f t="shared" si="1692"/>
        <v>18739</v>
      </c>
      <c r="Y287" s="533">
        <f t="shared" si="1692"/>
        <v>1223</v>
      </c>
      <c r="Z287" s="531">
        <f t="shared" si="1692"/>
        <v>2946</v>
      </c>
      <c r="AA287" s="443">
        <f t="shared" si="1692"/>
        <v>3995</v>
      </c>
      <c r="AB287" s="443">
        <f t="shared" si="1692"/>
        <v>1249</v>
      </c>
      <c r="AC287" s="531">
        <f t="shared" si="1692"/>
        <v>4169</v>
      </c>
      <c r="AD287" s="531">
        <f t="shared" si="1692"/>
        <v>8164</v>
      </c>
      <c r="AE287" s="532">
        <f t="shared" si="1692"/>
        <v>9413</v>
      </c>
      <c r="AF287" s="531">
        <f t="shared" si="1692"/>
        <v>3113.9242104240348</v>
      </c>
      <c r="AG287" s="531">
        <f t="shared" si="1230"/>
        <v>3672.6783264147962</v>
      </c>
      <c r="AH287" s="531">
        <f t="shared" si="1523"/>
        <v>5760.2309686364497</v>
      </c>
      <c r="AI287" s="531">
        <f t="shared" si="1524"/>
        <v>7868.2459267418326</v>
      </c>
      <c r="AJ287" s="531">
        <f>SUM(AJ247,AJ256,AJ268)</f>
        <v>6786.6025368388309</v>
      </c>
      <c r="AK287" s="531">
        <f>SUM(AK247,AK256,AK268)</f>
        <v>12546.833505475281</v>
      </c>
      <c r="AL287" s="532">
        <f>SUM(AL247,AL256,AL268)</f>
        <v>20415.079432217113</v>
      </c>
      <c r="AM287" s="531">
        <f>SUM(AM247,AM256,AM268)</f>
        <v>1665.5569845167847</v>
      </c>
      <c r="AN287" s="531">
        <f t="shared" si="1527"/>
        <v>1076.3702743043905</v>
      </c>
      <c r="AO287" s="531">
        <f t="shared" si="1528"/>
        <v>6691.9256250137023</v>
      </c>
      <c r="AP287" s="531">
        <f t="shared" si="1528"/>
        <v>-199337.651768746</v>
      </c>
      <c r="AQ287" s="531">
        <f t="shared" ref="AQ287:AV287" si="1693">SUM(AQ247,AQ256,AQ268)</f>
        <v>2741.9272588211752</v>
      </c>
      <c r="AR287" s="531">
        <f t="shared" si="1693"/>
        <v>9433.8528838348775</v>
      </c>
      <c r="AS287" s="532">
        <f t="shared" si="1693"/>
        <v>-189903.79888491111</v>
      </c>
      <c r="AT287" s="531">
        <f t="shared" si="1693"/>
        <v>-2995</v>
      </c>
      <c r="AU287" s="531">
        <f t="shared" si="1693"/>
        <v>-3907</v>
      </c>
      <c r="AV287" s="531">
        <f t="shared" si="1693"/>
        <v>16769</v>
      </c>
      <c r="AW287" s="531">
        <f t="shared" si="1532"/>
        <v>36450</v>
      </c>
      <c r="AX287" s="515">
        <f t="shared" ref="AX287:CI287" si="1694">SUM(AX247,AX256,AX268)</f>
        <v>-6902</v>
      </c>
      <c r="AY287" s="531">
        <f t="shared" si="1694"/>
        <v>11129</v>
      </c>
      <c r="AZ287" s="531">
        <f t="shared" si="1694"/>
        <v>47579</v>
      </c>
      <c r="BA287" s="531">
        <f t="shared" si="1694"/>
        <v>16807</v>
      </c>
      <c r="BB287" s="531">
        <f t="shared" si="1694"/>
        <v>39940</v>
      </c>
      <c r="BC287" s="531">
        <f t="shared" si="1694"/>
        <v>19576</v>
      </c>
      <c r="BD287" s="531">
        <f t="shared" si="1694"/>
        <v>20391</v>
      </c>
      <c r="BE287" s="531">
        <f t="shared" si="1694"/>
        <v>56747</v>
      </c>
      <c r="BF287" s="531">
        <f t="shared" si="1694"/>
        <v>76323</v>
      </c>
      <c r="BG287" s="531">
        <f t="shared" si="1694"/>
        <v>96714</v>
      </c>
      <c r="BH287" s="531">
        <f t="shared" si="1694"/>
        <v>19228</v>
      </c>
      <c r="BI287" s="531">
        <f t="shared" si="1694"/>
        <v>4311</v>
      </c>
      <c r="BJ287" s="531">
        <f t="shared" si="1694"/>
        <v>-7381</v>
      </c>
      <c r="BK287" s="531">
        <f t="shared" si="1694"/>
        <v>-21795</v>
      </c>
      <c r="BL287" s="531">
        <f t="shared" si="1694"/>
        <v>23539</v>
      </c>
      <c r="BM287" s="531">
        <f t="shared" si="1694"/>
        <v>16158</v>
      </c>
      <c r="BN287" s="531">
        <f t="shared" si="1694"/>
        <v>-5637</v>
      </c>
      <c r="BO287" s="531">
        <f t="shared" si="1694"/>
        <v>-5962</v>
      </c>
      <c r="BP287" s="531">
        <f t="shared" si="1694"/>
        <v>-1301</v>
      </c>
      <c r="BQ287" s="531">
        <f t="shared" si="1694"/>
        <v>-3020</v>
      </c>
      <c r="BR287" s="531">
        <f t="shared" si="1694"/>
        <v>-1936</v>
      </c>
      <c r="BS287" s="531">
        <f t="shared" si="1694"/>
        <v>-7263</v>
      </c>
      <c r="BT287" s="531">
        <f t="shared" si="1694"/>
        <v>-10283</v>
      </c>
      <c r="BU287" s="531">
        <f t="shared" si="1694"/>
        <v>-12219</v>
      </c>
      <c r="BV287" s="531">
        <f t="shared" si="1694"/>
        <v>0</v>
      </c>
      <c r="BW287" s="531">
        <f t="shared" si="1694"/>
        <v>0</v>
      </c>
      <c r="BX287" s="531">
        <f t="shared" si="1694"/>
        <v>-24</v>
      </c>
      <c r="BY287" s="531">
        <f t="shared" si="1694"/>
        <v>-7</v>
      </c>
      <c r="BZ287" s="531">
        <f t="shared" si="1694"/>
        <v>0</v>
      </c>
      <c r="CA287" s="531">
        <f t="shared" si="1694"/>
        <v>-24</v>
      </c>
      <c r="CB287" s="531">
        <f t="shared" si="1694"/>
        <v>-31</v>
      </c>
      <c r="CC287" s="531">
        <f t="shared" si="1694"/>
        <v>0</v>
      </c>
      <c r="CD287" s="531">
        <f t="shared" si="1694"/>
        <v>0</v>
      </c>
      <c r="CE287" s="531">
        <f t="shared" si="1694"/>
        <v>0</v>
      </c>
      <c r="CF287" s="531">
        <f t="shared" si="1694"/>
        <v>0</v>
      </c>
      <c r="CG287" s="531">
        <f t="shared" si="1694"/>
        <v>0</v>
      </c>
      <c r="CH287" s="531">
        <f t="shared" si="1694"/>
        <v>0</v>
      </c>
      <c r="CI287" s="531">
        <f t="shared" si="1694"/>
        <v>0</v>
      </c>
      <c r="CJ287" s="531">
        <v>0</v>
      </c>
      <c r="CK287" s="531">
        <f>SUM(CK247,CK256,CK268,CK279)</f>
        <v>0</v>
      </c>
      <c r="CL287" s="531">
        <f t="shared" ref="CL287:CO287" si="1695">SUM(CL247,CL256,CL268,CL279)</f>
        <v>0</v>
      </c>
      <c r="CM287" s="531">
        <f t="shared" si="1695"/>
        <v>0</v>
      </c>
      <c r="CN287" s="531">
        <f t="shared" si="1695"/>
        <v>0</v>
      </c>
      <c r="CO287" s="531">
        <f t="shared" si="1695"/>
        <v>0</v>
      </c>
    </row>
    <row r="288" spans="1:93" s="289" customFormat="1" x14ac:dyDescent="0.25">
      <c r="A288" s="442" t="str">
        <f>Language!C215</f>
        <v>Convale</v>
      </c>
      <c r="B288" s="443">
        <f t="shared" ref="B288:AF288" si="1696">SUM(B248)</f>
        <v>0</v>
      </c>
      <c r="C288" s="443">
        <f t="shared" si="1696"/>
        <v>0</v>
      </c>
      <c r="D288" s="443">
        <f t="shared" si="1696"/>
        <v>0</v>
      </c>
      <c r="E288" s="443">
        <f t="shared" si="1696"/>
        <v>0</v>
      </c>
      <c r="F288" s="444">
        <f t="shared" si="1696"/>
        <v>0</v>
      </c>
      <c r="G288" s="443">
        <f t="shared" si="1696"/>
        <v>0</v>
      </c>
      <c r="H288" s="443">
        <f t="shared" si="1696"/>
        <v>0</v>
      </c>
      <c r="I288" s="443">
        <f t="shared" si="1696"/>
        <v>-29</v>
      </c>
      <c r="J288" s="444">
        <f t="shared" si="1696"/>
        <v>-20</v>
      </c>
      <c r="K288" s="443">
        <f t="shared" si="1696"/>
        <v>0</v>
      </c>
      <c r="L288" s="443">
        <f t="shared" si="1696"/>
        <v>-7</v>
      </c>
      <c r="M288" s="443">
        <f t="shared" si="1696"/>
        <v>-2</v>
      </c>
      <c r="N288" s="444">
        <f t="shared" si="1696"/>
        <v>0</v>
      </c>
      <c r="O288" s="443">
        <f t="shared" si="1696"/>
        <v>-20</v>
      </c>
      <c r="P288" s="443">
        <f t="shared" si="1696"/>
        <v>-3</v>
      </c>
      <c r="Q288" s="443">
        <f t="shared" si="1696"/>
        <v>-1</v>
      </c>
      <c r="R288" s="444">
        <f t="shared" si="1696"/>
        <v>0</v>
      </c>
      <c r="S288" s="443">
        <f t="shared" si="1696"/>
        <v>-20</v>
      </c>
      <c r="T288" s="443">
        <f t="shared" si="1696"/>
        <v>-118</v>
      </c>
      <c r="U288" s="443">
        <f t="shared" si="1696"/>
        <v>-88</v>
      </c>
      <c r="V288" s="443">
        <f t="shared" si="1696"/>
        <v>-20</v>
      </c>
      <c r="W288" s="531">
        <f t="shared" si="1696"/>
        <v>-138</v>
      </c>
      <c r="X288" s="532">
        <f t="shared" si="1696"/>
        <v>-226</v>
      </c>
      <c r="Y288" s="533">
        <f t="shared" si="1696"/>
        <v>-85</v>
      </c>
      <c r="Z288" s="531">
        <f t="shared" si="1696"/>
        <v>-13</v>
      </c>
      <c r="AA288" s="443">
        <f t="shared" si="1696"/>
        <v>-415</v>
      </c>
      <c r="AB288" s="443">
        <f t="shared" si="1696"/>
        <v>-530</v>
      </c>
      <c r="AC288" s="531">
        <f t="shared" si="1696"/>
        <v>-98</v>
      </c>
      <c r="AD288" s="531">
        <f t="shared" si="1696"/>
        <v>-513</v>
      </c>
      <c r="AE288" s="532">
        <f t="shared" si="1696"/>
        <v>-1043</v>
      </c>
      <c r="AF288" s="531">
        <f t="shared" si="1696"/>
        <v>-7.9152530006201891</v>
      </c>
      <c r="AG288" s="531">
        <f t="shared" si="1230"/>
        <v>-65.567139415576833</v>
      </c>
      <c r="AH288" s="531">
        <f t="shared" si="1523"/>
        <v>1.1123226503615484</v>
      </c>
      <c r="AI288" s="531">
        <f t="shared" si="1524"/>
        <v>4.370069765835467</v>
      </c>
      <c r="AJ288" s="531">
        <f>SUM(AJ248)</f>
        <v>-73.482392416197015</v>
      </c>
      <c r="AK288" s="531">
        <f>SUM(AK248)</f>
        <v>-72.370069765835467</v>
      </c>
      <c r="AL288" s="532">
        <f>SUM(AL248)</f>
        <v>-68</v>
      </c>
      <c r="AM288" s="531">
        <f>SUM(AM248)</f>
        <v>-8.6184269662921356</v>
      </c>
      <c r="AN288" s="531">
        <f t="shared" si="1527"/>
        <v>-81.671187077021756</v>
      </c>
      <c r="AO288" s="531">
        <f t="shared" si="1528"/>
        <v>0.41686365596336827</v>
      </c>
      <c r="AP288" s="531">
        <f t="shared" si="1528"/>
        <v>-9.5216494032958536</v>
      </c>
      <c r="AQ288" s="531">
        <f t="shared" ref="AQ288:AV288" si="1697">SUM(AQ248)</f>
        <v>-90.28961404331389</v>
      </c>
      <c r="AR288" s="531">
        <f t="shared" si="1697"/>
        <v>-89.872750387350521</v>
      </c>
      <c r="AS288" s="532">
        <f t="shared" si="1697"/>
        <v>-99.394399790646375</v>
      </c>
      <c r="AT288" s="531">
        <f t="shared" si="1697"/>
        <v>0</v>
      </c>
      <c r="AU288" s="531">
        <f t="shared" si="1697"/>
        <v>-55</v>
      </c>
      <c r="AV288" s="531">
        <f t="shared" si="1697"/>
        <v>-5</v>
      </c>
      <c r="AW288" s="531">
        <f t="shared" si="1532"/>
        <v>60</v>
      </c>
      <c r="AX288" s="515">
        <f t="shared" ref="AX288:CI288" si="1698">SUM(AX248)</f>
        <v>-55</v>
      </c>
      <c r="AY288" s="531">
        <f t="shared" si="1698"/>
        <v>-60</v>
      </c>
      <c r="AZ288" s="531">
        <f t="shared" si="1698"/>
        <v>0</v>
      </c>
      <c r="BA288" s="531">
        <f t="shared" si="1698"/>
        <v>0</v>
      </c>
      <c r="BB288" s="531">
        <f t="shared" si="1698"/>
        <v>0</v>
      </c>
      <c r="BC288" s="531">
        <f t="shared" si="1698"/>
        <v>0</v>
      </c>
      <c r="BD288" s="531">
        <f t="shared" si="1698"/>
        <v>0</v>
      </c>
      <c r="BE288" s="531">
        <f t="shared" si="1698"/>
        <v>0</v>
      </c>
      <c r="BF288" s="531">
        <f t="shared" si="1698"/>
        <v>0</v>
      </c>
      <c r="BG288" s="531">
        <f t="shared" si="1698"/>
        <v>0</v>
      </c>
      <c r="BH288" s="531">
        <f t="shared" si="1698"/>
        <v>0</v>
      </c>
      <c r="BI288" s="531">
        <f t="shared" si="1698"/>
        <v>0</v>
      </c>
      <c r="BJ288" s="531">
        <f t="shared" si="1698"/>
        <v>0</v>
      </c>
      <c r="BK288" s="531">
        <f t="shared" si="1698"/>
        <v>0</v>
      </c>
      <c r="BL288" s="531">
        <f t="shared" si="1698"/>
        <v>0</v>
      </c>
      <c r="BM288" s="531">
        <f t="shared" si="1698"/>
        <v>0</v>
      </c>
      <c r="BN288" s="531">
        <f t="shared" si="1698"/>
        <v>0</v>
      </c>
      <c r="BO288" s="531">
        <f t="shared" si="1698"/>
        <v>0</v>
      </c>
      <c r="BP288" s="531">
        <f t="shared" si="1698"/>
        <v>0</v>
      </c>
      <c r="BQ288" s="531">
        <f t="shared" si="1698"/>
        <v>0</v>
      </c>
      <c r="BR288" s="531">
        <f t="shared" si="1698"/>
        <v>0</v>
      </c>
      <c r="BS288" s="531">
        <f t="shared" si="1698"/>
        <v>0</v>
      </c>
      <c r="BT288" s="531">
        <f t="shared" si="1698"/>
        <v>0</v>
      </c>
      <c r="BU288" s="531">
        <f t="shared" si="1698"/>
        <v>0</v>
      </c>
      <c r="BV288" s="531">
        <f t="shared" si="1698"/>
        <v>0</v>
      </c>
      <c r="BW288" s="531">
        <f t="shared" si="1698"/>
        <v>0</v>
      </c>
      <c r="BX288" s="531">
        <f t="shared" si="1698"/>
        <v>0</v>
      </c>
      <c r="BY288" s="531">
        <f t="shared" si="1698"/>
        <v>0</v>
      </c>
      <c r="BZ288" s="531">
        <f t="shared" si="1698"/>
        <v>0</v>
      </c>
      <c r="CA288" s="531">
        <f t="shared" si="1698"/>
        <v>0</v>
      </c>
      <c r="CB288" s="531">
        <f t="shared" si="1698"/>
        <v>0</v>
      </c>
      <c r="CC288" s="531">
        <f t="shared" si="1698"/>
        <v>0</v>
      </c>
      <c r="CD288" s="531">
        <f t="shared" si="1698"/>
        <v>0</v>
      </c>
      <c r="CE288" s="531">
        <f t="shared" si="1698"/>
        <v>0</v>
      </c>
      <c r="CF288" s="531">
        <f t="shared" si="1698"/>
        <v>0</v>
      </c>
      <c r="CG288" s="531">
        <f t="shared" si="1698"/>
        <v>0</v>
      </c>
      <c r="CH288" s="531">
        <f t="shared" si="1698"/>
        <v>0</v>
      </c>
      <c r="CI288" s="531">
        <f t="shared" si="1698"/>
        <v>0</v>
      </c>
      <c r="CJ288" s="531">
        <v>0</v>
      </c>
      <c r="CK288" s="531">
        <f t="shared" ref="CK288:CO288" si="1699">SUM(CK248)</f>
        <v>0</v>
      </c>
      <c r="CL288" s="531">
        <f t="shared" si="1699"/>
        <v>0</v>
      </c>
      <c r="CM288" s="531">
        <f t="shared" si="1699"/>
        <v>0</v>
      </c>
      <c r="CN288" s="531">
        <f t="shared" si="1699"/>
        <v>0</v>
      </c>
      <c r="CO288" s="531">
        <f t="shared" si="1699"/>
        <v>0</v>
      </c>
    </row>
    <row r="289" spans="1:93" s="289" customFormat="1" x14ac:dyDescent="0.25">
      <c r="A289" s="442" t="str">
        <f>Language!C216</f>
        <v>Concebra</v>
      </c>
      <c r="B289" s="443">
        <f t="shared" ref="B289:AF289" si="1700">SUM(B249,B257,B271)</f>
        <v>0</v>
      </c>
      <c r="C289" s="443">
        <f t="shared" si="1700"/>
        <v>0</v>
      </c>
      <c r="D289" s="443">
        <f t="shared" si="1700"/>
        <v>0</v>
      </c>
      <c r="E289" s="443">
        <f t="shared" si="1700"/>
        <v>0</v>
      </c>
      <c r="F289" s="444">
        <f t="shared" si="1700"/>
        <v>0</v>
      </c>
      <c r="G289" s="443">
        <f t="shared" si="1700"/>
        <v>0</v>
      </c>
      <c r="H289" s="443">
        <f t="shared" si="1700"/>
        <v>0</v>
      </c>
      <c r="I289" s="443">
        <f t="shared" si="1700"/>
        <v>0</v>
      </c>
      <c r="J289" s="444">
        <f t="shared" si="1700"/>
        <v>0</v>
      </c>
      <c r="K289" s="443">
        <f t="shared" si="1700"/>
        <v>0</v>
      </c>
      <c r="L289" s="443">
        <f t="shared" si="1700"/>
        <v>0</v>
      </c>
      <c r="M289" s="443">
        <f t="shared" si="1700"/>
        <v>0</v>
      </c>
      <c r="N289" s="444">
        <f t="shared" si="1700"/>
        <v>843</v>
      </c>
      <c r="O289" s="443">
        <f t="shared" si="1700"/>
        <v>2261</v>
      </c>
      <c r="P289" s="443">
        <f t="shared" si="1700"/>
        <v>312</v>
      </c>
      <c r="Q289" s="443">
        <f t="shared" si="1700"/>
        <v>3731</v>
      </c>
      <c r="R289" s="444">
        <f t="shared" si="1700"/>
        <v>-17090</v>
      </c>
      <c r="S289" s="443">
        <f t="shared" si="1700"/>
        <v>-3500</v>
      </c>
      <c r="T289" s="443">
        <f t="shared" si="1700"/>
        <v>13191</v>
      </c>
      <c r="U289" s="443">
        <f t="shared" si="1700"/>
        <v>-17543</v>
      </c>
      <c r="V289" s="443">
        <f t="shared" si="1700"/>
        <v>-18557</v>
      </c>
      <c r="W289" s="531">
        <f t="shared" si="1700"/>
        <v>-7399</v>
      </c>
      <c r="X289" s="532">
        <f t="shared" si="1700"/>
        <v>-24942</v>
      </c>
      <c r="Y289" s="533">
        <f t="shared" si="1700"/>
        <v>-8009</v>
      </c>
      <c r="Z289" s="531">
        <f t="shared" si="1700"/>
        <v>-2742</v>
      </c>
      <c r="AA289" s="443">
        <f t="shared" si="1700"/>
        <v>-5607</v>
      </c>
      <c r="AB289" s="443">
        <f t="shared" si="1700"/>
        <v>-145597</v>
      </c>
      <c r="AC289" s="531">
        <f t="shared" si="1700"/>
        <v>-10751</v>
      </c>
      <c r="AD289" s="531">
        <f t="shared" si="1700"/>
        <v>-16358</v>
      </c>
      <c r="AE289" s="532">
        <f t="shared" si="1700"/>
        <v>-161955</v>
      </c>
      <c r="AF289" s="531">
        <f t="shared" si="1700"/>
        <v>-36899.688090084775</v>
      </c>
      <c r="AG289" s="531">
        <f t="shared" si="1230"/>
        <v>-36145.274440400462</v>
      </c>
      <c r="AH289" s="531">
        <f t="shared" si="1523"/>
        <v>-4022.0706142404233</v>
      </c>
      <c r="AI289" s="531">
        <f t="shared" si="1524"/>
        <v>-19757.276075192785</v>
      </c>
      <c r="AJ289" s="531">
        <f>SUM(AJ249,AJ257,AJ271)</f>
        <v>-73044.962530485238</v>
      </c>
      <c r="AK289" s="531">
        <f>SUM(AK249,AK257,AK271)</f>
        <v>-77067.033144725661</v>
      </c>
      <c r="AL289" s="532">
        <f>SUM(AL249,AL257,AL271)</f>
        <v>-96824.309219918447</v>
      </c>
      <c r="AM289" s="531">
        <f>SUM(AM249,AM257,AM271)</f>
        <v>-14475.42995780944</v>
      </c>
      <c r="AN289" s="531">
        <f t="shared" si="1527"/>
        <v>-17882.554802991686</v>
      </c>
      <c r="AO289" s="531">
        <f t="shared" si="1528"/>
        <v>5959.1504356605001</v>
      </c>
      <c r="AP289" s="531">
        <f t="shared" si="1528"/>
        <v>-25261.415999595294</v>
      </c>
      <c r="AQ289" s="531">
        <f t="shared" ref="AQ289:AV289" si="1701">SUM(AQ249,AQ257,AQ271)</f>
        <v>-32357.984760801126</v>
      </c>
      <c r="AR289" s="531">
        <f t="shared" si="1701"/>
        <v>-26398.834325140626</v>
      </c>
      <c r="AS289" s="532">
        <f t="shared" si="1701"/>
        <v>-51660.25032473592</v>
      </c>
      <c r="AT289" s="531">
        <f t="shared" si="1701"/>
        <v>-36496</v>
      </c>
      <c r="AU289" s="531">
        <f t="shared" si="1701"/>
        <v>-49782</v>
      </c>
      <c r="AV289" s="531">
        <f t="shared" si="1701"/>
        <v>-47326</v>
      </c>
      <c r="AW289" s="531">
        <f t="shared" si="1532"/>
        <v>45580</v>
      </c>
      <c r="AX289" s="515">
        <f t="shared" ref="AX289:CI289" si="1702">SUM(AX249,AX257,AX271)</f>
        <v>-86278</v>
      </c>
      <c r="AY289" s="531">
        <f t="shared" si="1702"/>
        <v>-133604</v>
      </c>
      <c r="AZ289" s="531">
        <f t="shared" si="1702"/>
        <v>-88024</v>
      </c>
      <c r="BA289" s="531">
        <f t="shared" si="1702"/>
        <v>5324</v>
      </c>
      <c r="BB289" s="531">
        <f t="shared" si="1702"/>
        <v>-5782</v>
      </c>
      <c r="BC289" s="531">
        <f t="shared" si="1702"/>
        <v>-23078</v>
      </c>
      <c r="BD289" s="531">
        <f t="shared" si="1702"/>
        <v>127543</v>
      </c>
      <c r="BE289" s="531">
        <f t="shared" si="1702"/>
        <v>-458</v>
      </c>
      <c r="BF289" s="531">
        <f t="shared" si="1702"/>
        <v>-23536</v>
      </c>
      <c r="BG289" s="531">
        <f t="shared" si="1702"/>
        <v>104007</v>
      </c>
      <c r="BH289" s="531">
        <f t="shared" si="1702"/>
        <v>-20142</v>
      </c>
      <c r="BI289" s="531">
        <f t="shared" si="1702"/>
        <v>-20864</v>
      </c>
      <c r="BJ289" s="531">
        <f t="shared" si="1702"/>
        <v>-8456</v>
      </c>
      <c r="BK289" s="531">
        <f t="shared" si="1702"/>
        <v>-26881</v>
      </c>
      <c r="BL289" s="531">
        <f t="shared" si="1702"/>
        <v>-41006</v>
      </c>
      <c r="BM289" s="531">
        <f t="shared" si="1702"/>
        <v>-49462</v>
      </c>
      <c r="BN289" s="531">
        <f t="shared" si="1702"/>
        <v>-76343</v>
      </c>
      <c r="BO289" s="531">
        <f t="shared" si="1702"/>
        <v>-29346</v>
      </c>
      <c r="BP289" s="531">
        <f t="shared" si="1702"/>
        <v>-184287</v>
      </c>
      <c r="BQ289" s="531">
        <f t="shared" si="1702"/>
        <v>-62500</v>
      </c>
      <c r="BR289" s="531">
        <f t="shared" si="1702"/>
        <v>-26493</v>
      </c>
      <c r="BS289" s="531">
        <f t="shared" si="1702"/>
        <v>90334</v>
      </c>
      <c r="BT289" s="531">
        <f t="shared" si="1702"/>
        <v>27834</v>
      </c>
      <c r="BU289" s="531">
        <f t="shared" si="1702"/>
        <v>1341</v>
      </c>
      <c r="BV289" s="531">
        <f t="shared" si="1702"/>
        <v>-69939</v>
      </c>
      <c r="BW289" s="531">
        <f t="shared" si="1702"/>
        <v>-57770</v>
      </c>
      <c r="BX289" s="531">
        <f t="shared" si="1702"/>
        <v>104251</v>
      </c>
      <c r="BY289" s="531">
        <f t="shared" si="1702"/>
        <v>12415</v>
      </c>
      <c r="BZ289" s="531">
        <f t="shared" si="1702"/>
        <v>-127709</v>
      </c>
      <c r="CA289" s="531">
        <f t="shared" si="1702"/>
        <v>-23458</v>
      </c>
      <c r="CB289" s="531">
        <f t="shared" si="1702"/>
        <v>-11043</v>
      </c>
      <c r="CC289" s="531">
        <f t="shared" si="1702"/>
        <v>-22816</v>
      </c>
      <c r="CD289" s="531">
        <f t="shared" si="1702"/>
        <v>-5189</v>
      </c>
      <c r="CE289" s="531">
        <f t="shared" si="1702"/>
        <v>44117</v>
      </c>
      <c r="CF289" s="531">
        <f t="shared" si="1702"/>
        <v>20431</v>
      </c>
      <c r="CG289" s="531">
        <f t="shared" si="1702"/>
        <v>-28005</v>
      </c>
      <c r="CH289" s="531">
        <f t="shared" si="1702"/>
        <v>16112</v>
      </c>
      <c r="CI289" s="531">
        <f t="shared" si="1702"/>
        <v>36543</v>
      </c>
      <c r="CJ289" s="531">
        <v>3202</v>
      </c>
      <c r="CK289" s="531">
        <f>SUM(CK249,CK257,CK271,CK280)</f>
        <v>-19536</v>
      </c>
      <c r="CL289" s="531">
        <f t="shared" ref="CL289:CO289" si="1703">SUM(CL249,CL257,CL271,CL280)</f>
        <v>0</v>
      </c>
      <c r="CM289" s="531">
        <f t="shared" si="1703"/>
        <v>0</v>
      </c>
      <c r="CN289" s="531">
        <f t="shared" si="1703"/>
        <v>-16334</v>
      </c>
      <c r="CO289" s="531">
        <f t="shared" si="1703"/>
        <v>0</v>
      </c>
    </row>
    <row r="290" spans="1:93" s="289" customFormat="1" x14ac:dyDescent="0.25">
      <c r="A290" s="442" t="str">
        <f>Language!C217</f>
        <v>Transbrasiliana</v>
      </c>
      <c r="B290" s="443">
        <f t="shared" ref="B290:AF290" si="1704">SUM(B250,B258,B274)</f>
        <v>0</v>
      </c>
      <c r="C290" s="443">
        <f t="shared" si="1704"/>
        <v>0</v>
      </c>
      <c r="D290" s="443">
        <f t="shared" si="1704"/>
        <v>0</v>
      </c>
      <c r="E290" s="443">
        <f t="shared" si="1704"/>
        <v>0</v>
      </c>
      <c r="F290" s="444">
        <f t="shared" si="1704"/>
        <v>0</v>
      </c>
      <c r="G290" s="443">
        <f t="shared" si="1704"/>
        <v>0</v>
      </c>
      <c r="H290" s="443">
        <f t="shared" si="1704"/>
        <v>0</v>
      </c>
      <c r="I290" s="443">
        <f t="shared" si="1704"/>
        <v>0</v>
      </c>
      <c r="J290" s="444">
        <f t="shared" si="1704"/>
        <v>0</v>
      </c>
      <c r="K290" s="443">
        <f t="shared" si="1704"/>
        <v>0</v>
      </c>
      <c r="L290" s="443">
        <f t="shared" si="1704"/>
        <v>0</v>
      </c>
      <c r="M290" s="443">
        <f t="shared" si="1704"/>
        <v>0</v>
      </c>
      <c r="N290" s="444">
        <f t="shared" si="1704"/>
        <v>0</v>
      </c>
      <c r="O290" s="443">
        <f t="shared" si="1704"/>
        <v>0</v>
      </c>
      <c r="P290" s="443">
        <f t="shared" si="1704"/>
        <v>0</v>
      </c>
      <c r="Q290" s="443">
        <f t="shared" si="1704"/>
        <v>0</v>
      </c>
      <c r="R290" s="444">
        <f t="shared" si="1704"/>
        <v>10105</v>
      </c>
      <c r="S290" s="443">
        <f t="shared" si="1704"/>
        <v>-6775</v>
      </c>
      <c r="T290" s="443">
        <f t="shared" si="1704"/>
        <v>-5698</v>
      </c>
      <c r="U290" s="443">
        <f t="shared" si="1704"/>
        <v>-6376</v>
      </c>
      <c r="V290" s="443">
        <f t="shared" si="1704"/>
        <v>8191</v>
      </c>
      <c r="W290" s="531">
        <f t="shared" si="1704"/>
        <v>-2368</v>
      </c>
      <c r="X290" s="532">
        <f t="shared" si="1704"/>
        <v>-8744</v>
      </c>
      <c r="Y290" s="533">
        <f t="shared" si="1704"/>
        <v>-5284</v>
      </c>
      <c r="Z290" s="531">
        <f t="shared" si="1704"/>
        <v>-17486</v>
      </c>
      <c r="AA290" s="443">
        <f t="shared" si="1704"/>
        <v>-13418</v>
      </c>
      <c r="AB290" s="443">
        <f t="shared" si="1704"/>
        <v>8157</v>
      </c>
      <c r="AC290" s="531">
        <f t="shared" si="1704"/>
        <v>-22770</v>
      </c>
      <c r="AD290" s="531">
        <f t="shared" si="1704"/>
        <v>-36188</v>
      </c>
      <c r="AE290" s="532">
        <f t="shared" si="1704"/>
        <v>-28031</v>
      </c>
      <c r="AF290" s="531">
        <f t="shared" si="1704"/>
        <v>-12308.484632839765</v>
      </c>
      <c r="AG290" s="531">
        <f t="shared" si="1230"/>
        <v>-13968.018221083807</v>
      </c>
      <c r="AH290" s="531">
        <f t="shared" si="1523"/>
        <v>-524.99541418745503</v>
      </c>
      <c r="AI290" s="531">
        <f t="shared" si="1524"/>
        <v>6975.3344342780038</v>
      </c>
      <c r="AJ290" s="531">
        <f>SUM(AJ250,AJ258,AJ274)</f>
        <v>-26276.502853923572</v>
      </c>
      <c r="AK290" s="531">
        <f>SUM(AK250,AK258,AK274)</f>
        <v>-26801.498268111027</v>
      </c>
      <c r="AL290" s="532">
        <f>SUM(AL250,AL258,AL274)</f>
        <v>-19826.163833833023</v>
      </c>
      <c r="AM290" s="531">
        <f>SUM(AM250,AM258,AM274)</f>
        <v>507.1391904907905</v>
      </c>
      <c r="AN290" s="531">
        <f t="shared" si="1527"/>
        <v>-4574.0563132677962</v>
      </c>
      <c r="AO290" s="531">
        <f t="shared" si="1528"/>
        <v>-917.61216188199614</v>
      </c>
      <c r="AP290" s="531">
        <f t="shared" si="1528"/>
        <v>-13590.903435196396</v>
      </c>
      <c r="AQ290" s="531">
        <f>SUM(AQ250,AQ258,AQ274)</f>
        <v>-4066.9171227770057</v>
      </c>
      <c r="AR290" s="531">
        <f>SUM(AR250,AR258,AR274)</f>
        <v>-4984.5292846590019</v>
      </c>
      <c r="AS290" s="532">
        <f>SUM(AS250,AS258,AS274)</f>
        <v>-18575.432719855398</v>
      </c>
      <c r="AT290" s="531">
        <f>SUM(AT250,AT258,AT274)</f>
        <v>-3768</v>
      </c>
      <c r="AU290" s="531">
        <f>SUM(AU250,AU258,AU272)</f>
        <v>-13216</v>
      </c>
      <c r="AV290" s="531">
        <f>SUM(AV250,AV258,AV274)</f>
        <v>6136</v>
      </c>
      <c r="AW290" s="531">
        <f t="shared" si="1532"/>
        <v>-23453</v>
      </c>
      <c r="AX290" s="515">
        <f t="shared" ref="AX290:CI290" si="1705">SUM(AX250,AX258,AX274)</f>
        <v>-16367</v>
      </c>
      <c r="AY290" s="531">
        <f t="shared" si="1705"/>
        <v>-11747</v>
      </c>
      <c r="AZ290" s="531">
        <f t="shared" si="1705"/>
        <v>-35200</v>
      </c>
      <c r="BA290" s="531">
        <f t="shared" si="1705"/>
        <v>-12056</v>
      </c>
      <c r="BB290" s="531">
        <f t="shared" si="1705"/>
        <v>-11979</v>
      </c>
      <c r="BC290" s="531">
        <f t="shared" si="1705"/>
        <v>-10997</v>
      </c>
      <c r="BD290" s="531">
        <f t="shared" si="1705"/>
        <v>19788</v>
      </c>
      <c r="BE290" s="531">
        <f t="shared" si="1705"/>
        <v>-24035</v>
      </c>
      <c r="BF290" s="515">
        <f t="shared" si="1705"/>
        <v>-35032</v>
      </c>
      <c r="BG290" s="515">
        <f t="shared" si="1705"/>
        <v>-15244</v>
      </c>
      <c r="BH290" s="515">
        <f t="shared" si="1705"/>
        <v>-8239</v>
      </c>
      <c r="BI290" s="515">
        <f t="shared" si="1705"/>
        <v>5833</v>
      </c>
      <c r="BJ290" s="515">
        <f t="shared" si="1705"/>
        <v>64183</v>
      </c>
      <c r="BK290" s="515">
        <f t="shared" si="1705"/>
        <v>6592</v>
      </c>
      <c r="BL290" s="515">
        <f t="shared" si="1705"/>
        <v>-2406</v>
      </c>
      <c r="BM290" s="515">
        <f t="shared" si="1705"/>
        <v>61777</v>
      </c>
      <c r="BN290" s="515">
        <f t="shared" si="1705"/>
        <v>68369</v>
      </c>
      <c r="BO290" s="515">
        <f t="shared" si="1705"/>
        <v>4122</v>
      </c>
      <c r="BP290" s="515">
        <f t="shared" si="1705"/>
        <v>-5342.5153335030445</v>
      </c>
      <c r="BQ290" s="515">
        <f t="shared" si="1705"/>
        <v>1669.2423332484777</v>
      </c>
      <c r="BR290" s="515">
        <f t="shared" si="1705"/>
        <v>4162.2423332484777</v>
      </c>
      <c r="BS290" s="515">
        <f t="shared" si="1705"/>
        <v>-1220.5153335030445</v>
      </c>
      <c r="BT290" s="515">
        <f t="shared" si="1705"/>
        <v>448.7269997454332</v>
      </c>
      <c r="BU290" s="515">
        <f t="shared" si="1705"/>
        <v>4610.9693329939109</v>
      </c>
      <c r="BV290" s="515">
        <f t="shared" si="1705"/>
        <v>-3578.0985792547044</v>
      </c>
      <c r="BW290" s="515">
        <f t="shared" si="1705"/>
        <v>-3470.543956972987</v>
      </c>
      <c r="BX290" s="515">
        <f t="shared" si="1705"/>
        <v>4459.6787318861543</v>
      </c>
      <c r="BY290" s="515">
        <f t="shared" si="1705"/>
        <v>4229.6787318861534</v>
      </c>
      <c r="BZ290" s="515">
        <f t="shared" si="1705"/>
        <v>-7048.6425362276914</v>
      </c>
      <c r="CA290" s="515">
        <f t="shared" si="1705"/>
        <v>-2588.9638043415371</v>
      </c>
      <c r="CB290" s="515">
        <f t="shared" si="1705"/>
        <v>1640.7149275446168</v>
      </c>
      <c r="CC290" s="515">
        <f t="shared" si="1705"/>
        <v>-322.31747630217211</v>
      </c>
      <c r="CD290" s="515">
        <f t="shared" si="1705"/>
        <v>5867.5608348057021</v>
      </c>
      <c r="CE290" s="515">
        <f t="shared" si="1705"/>
        <v>4505.7566414964695</v>
      </c>
      <c r="CF290" s="515">
        <f t="shared" si="1705"/>
        <v>-4913</v>
      </c>
      <c r="CG290" s="515">
        <f t="shared" si="1705"/>
        <v>5545.2433585035305</v>
      </c>
      <c r="CH290" s="515">
        <f t="shared" si="1705"/>
        <v>10051</v>
      </c>
      <c r="CI290" s="515">
        <f t="shared" si="1705"/>
        <v>5138</v>
      </c>
      <c r="CJ290" s="515">
        <v>-17773</v>
      </c>
      <c r="CK290" s="515">
        <f>SUM(CK250,CK258,CK274,CK281)</f>
        <v>-2092</v>
      </c>
      <c r="CL290" s="515">
        <f t="shared" ref="CL290:CO290" si="1706">SUM(CL250,CL258,CL274,CL281)</f>
        <v>0</v>
      </c>
      <c r="CM290" s="515">
        <f t="shared" si="1706"/>
        <v>0</v>
      </c>
      <c r="CN290" s="515">
        <f t="shared" si="1706"/>
        <v>-19865</v>
      </c>
      <c r="CO290" s="515">
        <f t="shared" si="1706"/>
        <v>0</v>
      </c>
    </row>
    <row r="291" spans="1:93" s="289" customFormat="1" x14ac:dyDescent="0.25">
      <c r="A291" s="442" t="s">
        <v>670</v>
      </c>
      <c r="B291" s="443"/>
      <c r="C291" s="443"/>
      <c r="D291" s="443"/>
      <c r="E291" s="443"/>
      <c r="F291" s="444"/>
      <c r="G291" s="443"/>
      <c r="H291" s="443"/>
      <c r="I291" s="443"/>
      <c r="J291" s="444"/>
      <c r="K291" s="443"/>
      <c r="L291" s="443"/>
      <c r="M291" s="443"/>
      <c r="N291" s="444"/>
      <c r="O291" s="443"/>
      <c r="P291" s="443"/>
      <c r="Q291" s="443"/>
      <c r="R291" s="444"/>
      <c r="S291" s="443"/>
      <c r="T291" s="443"/>
      <c r="U291" s="443"/>
      <c r="V291" s="443"/>
      <c r="W291" s="531"/>
      <c r="X291" s="532"/>
      <c r="Y291" s="533"/>
      <c r="Z291" s="531"/>
      <c r="AA291" s="443"/>
      <c r="AB291" s="443"/>
      <c r="AC291" s="531"/>
      <c r="AD291" s="531"/>
      <c r="AE291" s="532"/>
      <c r="AF291" s="531"/>
      <c r="AG291" s="531">
        <f t="shared" si="1230"/>
        <v>0</v>
      </c>
      <c r="AH291" s="531">
        <f t="shared" si="1523"/>
        <v>0</v>
      </c>
      <c r="AI291" s="531">
        <f t="shared" si="1524"/>
        <v>0</v>
      </c>
      <c r="AJ291" s="531"/>
      <c r="AK291" s="531"/>
      <c r="AL291" s="532"/>
      <c r="AM291" s="531">
        <f>AM251+AM259</f>
        <v>-1486.4444943820226</v>
      </c>
      <c r="AN291" s="531">
        <f t="shared" si="1527"/>
        <v>-1110.4344142719642</v>
      </c>
      <c r="AO291" s="531">
        <f t="shared" si="1528"/>
        <v>-1157.4127434245206</v>
      </c>
      <c r="AP291" s="531">
        <f t="shared" si="1528"/>
        <v>-935.27403958353352</v>
      </c>
      <c r="AQ291" s="531">
        <f>AQ251+AQ259</f>
        <v>-2596.8789086539869</v>
      </c>
      <c r="AR291" s="531">
        <f>AR251+AR259</f>
        <v>-3754.2916520785075</v>
      </c>
      <c r="AS291" s="532">
        <f>AS251+AS259</f>
        <v>-4689.565691662041</v>
      </c>
      <c r="AT291" s="531">
        <f>AT251+AT259</f>
        <v>0</v>
      </c>
      <c r="AU291" s="531">
        <f>SUM(AU251,AU259,AU273)</f>
        <v>-1550</v>
      </c>
      <c r="AV291" s="531">
        <f>AV251+AV259</f>
        <v>-598</v>
      </c>
      <c r="AW291" s="531">
        <f t="shared" si="1532"/>
        <v>1682</v>
      </c>
      <c r="AX291" s="515">
        <f t="shared" ref="AX291:CI291" si="1707">AX251+AX259</f>
        <v>-1083</v>
      </c>
      <c r="AY291" s="531">
        <f t="shared" si="1707"/>
        <v>-1682</v>
      </c>
      <c r="AZ291" s="531">
        <f t="shared" si="1707"/>
        <v>0</v>
      </c>
      <c r="BA291" s="531">
        <f t="shared" si="1707"/>
        <v>0</v>
      </c>
      <c r="BB291" s="531">
        <f t="shared" si="1707"/>
        <v>0</v>
      </c>
      <c r="BC291" s="531">
        <f t="shared" si="1707"/>
        <v>0</v>
      </c>
      <c r="BD291" s="531">
        <f t="shared" si="1707"/>
        <v>0</v>
      </c>
      <c r="BE291" s="531">
        <f t="shared" si="1707"/>
        <v>0</v>
      </c>
      <c r="BF291" s="531">
        <f t="shared" si="1707"/>
        <v>0</v>
      </c>
      <c r="BG291" s="531">
        <f t="shared" si="1707"/>
        <v>0</v>
      </c>
      <c r="BH291" s="531">
        <f t="shared" si="1707"/>
        <v>0</v>
      </c>
      <c r="BI291" s="531">
        <f t="shared" si="1707"/>
        <v>0</v>
      </c>
      <c r="BJ291" s="531">
        <f t="shared" si="1707"/>
        <v>0</v>
      </c>
      <c r="BK291" s="531">
        <f t="shared" si="1707"/>
        <v>0</v>
      </c>
      <c r="BL291" s="531">
        <f t="shared" si="1707"/>
        <v>0</v>
      </c>
      <c r="BM291" s="531">
        <f t="shared" si="1707"/>
        <v>0</v>
      </c>
      <c r="BN291" s="531">
        <f t="shared" si="1707"/>
        <v>0</v>
      </c>
      <c r="BO291" s="531">
        <f t="shared" si="1707"/>
        <v>0</v>
      </c>
      <c r="BP291" s="531">
        <f t="shared" si="1707"/>
        <v>0</v>
      </c>
      <c r="BQ291" s="531">
        <f t="shared" si="1707"/>
        <v>0</v>
      </c>
      <c r="BR291" s="531">
        <f t="shared" si="1707"/>
        <v>0</v>
      </c>
      <c r="BS291" s="531">
        <f t="shared" si="1707"/>
        <v>0</v>
      </c>
      <c r="BT291" s="531">
        <f t="shared" si="1707"/>
        <v>0</v>
      </c>
      <c r="BU291" s="531">
        <f t="shared" si="1707"/>
        <v>0</v>
      </c>
      <c r="BV291" s="531">
        <f t="shared" si="1707"/>
        <v>0</v>
      </c>
      <c r="BW291" s="531">
        <f t="shared" si="1707"/>
        <v>0</v>
      </c>
      <c r="BX291" s="531">
        <f t="shared" si="1707"/>
        <v>0</v>
      </c>
      <c r="BY291" s="531">
        <f t="shared" si="1707"/>
        <v>0</v>
      </c>
      <c r="BZ291" s="531">
        <f t="shared" si="1707"/>
        <v>0</v>
      </c>
      <c r="CA291" s="531">
        <f t="shared" si="1707"/>
        <v>0</v>
      </c>
      <c r="CB291" s="531">
        <f t="shared" si="1707"/>
        <v>0</v>
      </c>
      <c r="CC291" s="531">
        <f t="shared" si="1707"/>
        <v>0</v>
      </c>
      <c r="CD291" s="531">
        <f t="shared" si="1707"/>
        <v>0</v>
      </c>
      <c r="CE291" s="531">
        <f t="shared" si="1707"/>
        <v>0</v>
      </c>
      <c r="CF291" s="531">
        <f t="shared" si="1707"/>
        <v>0</v>
      </c>
      <c r="CG291" s="531">
        <f t="shared" si="1707"/>
        <v>0</v>
      </c>
      <c r="CH291" s="531">
        <f t="shared" si="1707"/>
        <v>0</v>
      </c>
      <c r="CI291" s="531">
        <f t="shared" si="1707"/>
        <v>0</v>
      </c>
      <c r="CJ291" s="531">
        <v>0</v>
      </c>
      <c r="CK291" s="531">
        <f t="shared" ref="CK291:CO291" si="1708">CK251+CK259</f>
        <v>0</v>
      </c>
      <c r="CL291" s="531">
        <f t="shared" si="1708"/>
        <v>0</v>
      </c>
      <c r="CM291" s="531">
        <f t="shared" si="1708"/>
        <v>0</v>
      </c>
      <c r="CN291" s="531">
        <f t="shared" si="1708"/>
        <v>0</v>
      </c>
      <c r="CO291" s="531">
        <f t="shared" si="1708"/>
        <v>0</v>
      </c>
    </row>
    <row r="292" spans="1:93" s="289" customFormat="1" x14ac:dyDescent="0.25">
      <c r="A292" s="753" t="s">
        <v>695</v>
      </c>
      <c r="B292" s="443"/>
      <c r="C292" s="443"/>
      <c r="D292" s="443"/>
      <c r="E292" s="443"/>
      <c r="F292" s="444"/>
      <c r="G292" s="443"/>
      <c r="H292" s="443"/>
      <c r="I292" s="443"/>
      <c r="J292" s="444"/>
      <c r="K292" s="443"/>
      <c r="L292" s="443"/>
      <c r="M292" s="443"/>
      <c r="N292" s="444"/>
      <c r="O292" s="443"/>
      <c r="P292" s="443"/>
      <c r="Q292" s="443"/>
      <c r="R292" s="444"/>
      <c r="S292" s="443"/>
      <c r="T292" s="443"/>
      <c r="U292" s="443"/>
      <c r="V292" s="443"/>
      <c r="W292" s="531"/>
      <c r="X292" s="532"/>
      <c r="Y292" s="533"/>
      <c r="Z292" s="531"/>
      <c r="AA292" s="443"/>
      <c r="AB292" s="443"/>
      <c r="AC292" s="531"/>
      <c r="AD292" s="531"/>
      <c r="AE292" s="532"/>
      <c r="AF292" s="531"/>
      <c r="AG292" s="531"/>
      <c r="AH292" s="531"/>
      <c r="AI292" s="531"/>
      <c r="AJ292" s="531"/>
      <c r="AK292" s="531"/>
      <c r="AL292" s="532"/>
      <c r="AM292" s="531"/>
      <c r="AN292" s="531"/>
      <c r="AO292" s="531"/>
      <c r="AP292" s="531"/>
      <c r="AQ292" s="531"/>
      <c r="AR292" s="531"/>
      <c r="AS292" s="532"/>
      <c r="AT292" s="531"/>
      <c r="AU292" s="531">
        <v>18331</v>
      </c>
      <c r="AV292" s="531"/>
      <c r="AW292" s="531"/>
      <c r="AX292" s="515">
        <v>17528</v>
      </c>
      <c r="AY292" s="531">
        <v>10537</v>
      </c>
      <c r="AZ292" s="531">
        <v>-797</v>
      </c>
      <c r="BA292" s="531"/>
      <c r="BB292" s="531"/>
      <c r="BC292" s="531">
        <f>BF292-BE292</f>
        <v>972</v>
      </c>
      <c r="BD292" s="531">
        <f>BG292-BF292</f>
        <v>-972</v>
      </c>
      <c r="BE292" s="531"/>
      <c r="BF292" s="531">
        <v>972</v>
      </c>
      <c r="BG292" s="531"/>
      <c r="BH292" s="531">
        <v>342</v>
      </c>
      <c r="BI292" s="531">
        <f>BL292-BH292</f>
        <v>344</v>
      </c>
      <c r="BJ292" s="531">
        <f>BM292-BL292</f>
        <v>342</v>
      </c>
      <c r="BK292" s="531">
        <f>BN292-BM292</f>
        <v>344</v>
      </c>
      <c r="BL292" s="531">
        <v>686</v>
      </c>
      <c r="BM292" s="531">
        <v>1028</v>
      </c>
      <c r="BN292" s="531">
        <v>1372</v>
      </c>
      <c r="BO292" s="531">
        <v>356</v>
      </c>
      <c r="BP292" s="531">
        <f>BS292-BO292</f>
        <v>356</v>
      </c>
      <c r="BQ292" s="531">
        <f>BT292-BS292</f>
        <v>355</v>
      </c>
      <c r="BR292" s="531">
        <f>BU292-BT292</f>
        <v>356</v>
      </c>
      <c r="BS292" s="531">
        <v>712</v>
      </c>
      <c r="BT292" s="531">
        <v>1067</v>
      </c>
      <c r="BU292" s="531">
        <v>1423</v>
      </c>
      <c r="BV292" s="531">
        <v>-709</v>
      </c>
      <c r="BW292" s="531">
        <f>BZ292-BV292</f>
        <v>1446</v>
      </c>
      <c r="BX292" s="531">
        <f>CA292-BZ292</f>
        <v>368</v>
      </c>
      <c r="BY292" s="531">
        <f>CB292-CA292</f>
        <v>368</v>
      </c>
      <c r="BZ292" s="531">
        <v>737</v>
      </c>
      <c r="CA292" s="531">
        <v>1105</v>
      </c>
      <c r="CB292" s="531">
        <v>1473</v>
      </c>
      <c r="CC292" s="531">
        <v>382</v>
      </c>
      <c r="CD292" s="531">
        <f>CG292-CC292</f>
        <v>-3900</v>
      </c>
      <c r="CE292" s="531">
        <f>CH292-CG292</f>
        <v>3518</v>
      </c>
      <c r="CF292" s="531">
        <v>0</v>
      </c>
      <c r="CG292" s="531">
        <v>-3518</v>
      </c>
      <c r="CH292" s="531">
        <v>0</v>
      </c>
      <c r="CI292" s="531">
        <v>0</v>
      </c>
      <c r="CJ292" s="531">
        <v>0</v>
      </c>
      <c r="CK292" s="531">
        <v>0</v>
      </c>
      <c r="CL292" s="531"/>
      <c r="CM292" s="531"/>
      <c r="CN292" s="531">
        <v>0</v>
      </c>
      <c r="CO292" s="531"/>
    </row>
    <row r="293" spans="1:93" s="423" customFormat="1" ht="13" x14ac:dyDescent="0.3">
      <c r="A293" s="525" t="str">
        <f>Language!C218</f>
        <v>EBITDA Ajustado</v>
      </c>
      <c r="B293" s="526" t="e">
        <f>SUM(B294,B295,B296,#REF!,B297)</f>
        <v>#REF!</v>
      </c>
      <c r="C293" s="526" t="e">
        <f>SUM(C294,C295,C296,#REF!,C297)</f>
        <v>#REF!</v>
      </c>
      <c r="D293" s="526" t="e">
        <f>SUM(D294,D295,D296,#REF!,D297)</f>
        <v>#REF!</v>
      </c>
      <c r="E293" s="526" t="e">
        <f>SUM(E294,E295,E296,#REF!,E297)</f>
        <v>#REF!</v>
      </c>
      <c r="F293" s="527" t="e">
        <f>SUM(F294,F295,F296,#REF!,F297)</f>
        <v>#REF!</v>
      </c>
      <c r="G293" s="526" t="e">
        <f>SUM(G294,G295,G296,#REF!,G297)</f>
        <v>#REF!</v>
      </c>
      <c r="H293" s="526" t="e">
        <f>SUM(H294,H295,H296,#REF!,H297)</f>
        <v>#REF!</v>
      </c>
      <c r="I293" s="526" t="e">
        <f>SUM(I294,I295,I296,#REF!,I297)</f>
        <v>#REF!</v>
      </c>
      <c r="J293" s="527" t="e">
        <f>SUM(J294,J295,J296,#REF!,J297)</f>
        <v>#REF!</v>
      </c>
      <c r="K293" s="526" t="e">
        <f>SUM(K294,K295,K296,#REF!,K297)</f>
        <v>#REF!</v>
      </c>
      <c r="L293" s="526" t="e">
        <f>SUM(L294,L295,L296,#REF!,L297)</f>
        <v>#REF!</v>
      </c>
      <c r="M293" s="526" t="e">
        <f>SUM(M294,M295,M296,#REF!,M297)</f>
        <v>#REF!</v>
      </c>
      <c r="N293" s="527" t="e">
        <f>SUM(N294,N295,N296,#REF!,N297)</f>
        <v>#REF!</v>
      </c>
      <c r="O293" s="526" t="e">
        <f>SUM(O294,O295,O296,#REF!,O297)</f>
        <v>#REF!</v>
      </c>
      <c r="P293" s="526" t="e">
        <f>SUM(P294,P295,P296,#REF!,P297,P298)</f>
        <v>#REF!</v>
      </c>
      <c r="Q293" s="526" t="e">
        <f>SUM(Q294,Q295,Q296,#REF!,Q297,Q298)</f>
        <v>#REF!</v>
      </c>
      <c r="R293" s="527" t="e">
        <f>SUM(R294,R295,R296,#REF!,R297,R298)</f>
        <v>#REF!</v>
      </c>
      <c r="S293" s="526" t="e">
        <f>SUM(S294,S295,S296,#REF!,S297,S298)</f>
        <v>#REF!</v>
      </c>
      <c r="T293" s="526" t="e">
        <f>SUM(T294,T295,T296,#REF!,T297,T298)</f>
        <v>#REF!</v>
      </c>
      <c r="U293" s="526" t="e">
        <f>SUM(U294,U295,U296,#REF!,U297,U298)</f>
        <v>#REF!</v>
      </c>
      <c r="V293" s="526" t="e">
        <f>SUM(V294,V295,V296,#REF!,V297,V298)</f>
        <v>#REF!</v>
      </c>
      <c r="W293" s="534" t="e">
        <f>SUM(W294,W295,W296,#REF!,W297,W298)</f>
        <v>#REF!</v>
      </c>
      <c r="X293" s="535" t="e">
        <f>SUM(X294,X295,X296,#REF!,X297,X298)</f>
        <v>#REF!</v>
      </c>
      <c r="Y293" s="536" t="e">
        <f>SUM(Y294,Y295,Y296,#REF!,Y297,Y298)</f>
        <v>#REF!</v>
      </c>
      <c r="Z293" s="534" t="e">
        <f>SUM(Z294,Z295,Z296,#REF!,Z297,Z298)</f>
        <v>#REF!</v>
      </c>
      <c r="AA293" s="526" t="e">
        <f>SUM(AA294,AA295,AA296,#REF!,AA297,AA298)</f>
        <v>#REF!</v>
      </c>
      <c r="AB293" s="526" t="e">
        <f>SUM(AB294,AB295,AB296,#REF!,AB297,AB298)</f>
        <v>#REF!</v>
      </c>
      <c r="AC293" s="534" t="e">
        <f>SUM(AC294,AC295,AC296,#REF!,AC297,AC298)</f>
        <v>#REF!</v>
      </c>
      <c r="AD293" s="534" t="e">
        <f>SUM(AD294,AD295,AD296,#REF!,AD297,AD298)</f>
        <v>#REF!</v>
      </c>
      <c r="AE293" s="535" t="e">
        <f>SUM(AE294,AE295,AE296,#REF!,AE297,AE298)</f>
        <v>#REF!</v>
      </c>
      <c r="AF293" s="534" t="e">
        <f>SUM(AF294,AF295,AF296,#REF!,AF297,AF298)</f>
        <v>#REF!</v>
      </c>
      <c r="AG293" s="534" t="e">
        <f t="shared" si="1230"/>
        <v>#REF!</v>
      </c>
      <c r="AH293" s="534" t="e">
        <f t="shared" si="1523"/>
        <v>#REF!</v>
      </c>
      <c r="AI293" s="534" t="e">
        <f t="shared" si="1524"/>
        <v>#REF!</v>
      </c>
      <c r="AJ293" s="534" t="e">
        <f>SUM(AJ294,AJ295,AJ296,#REF!,AJ297,AJ298)</f>
        <v>#REF!</v>
      </c>
      <c r="AK293" s="534" t="e">
        <f>SUM(AK294,AK295,AK296,#REF!,AK297,AK298)</f>
        <v>#REF!</v>
      </c>
      <c r="AL293" s="535" t="e">
        <f>SUM(AL294,AL295,AL296,#REF!,AL297,AL298)</f>
        <v>#REF!</v>
      </c>
      <c r="AM293" s="534">
        <f>SUM(AM284,-AM261,-AM253,-AM323,AM342,AM348)</f>
        <v>75734</v>
      </c>
      <c r="AN293" s="534">
        <f t="shared" si="1527"/>
        <v>23448.268553971895</v>
      </c>
      <c r="AO293" s="534">
        <f t="shared" si="1528"/>
        <v>285070.89584849396</v>
      </c>
      <c r="AP293" s="534">
        <f t="shared" si="1528"/>
        <v>93300.795688986836</v>
      </c>
      <c r="AQ293" s="534">
        <f>SUM(AQ284,-AQ261,-AQ253,-AQ323,AQ342,AQ348)</f>
        <v>99182.268553971895</v>
      </c>
      <c r="AR293" s="535">
        <f>SUM(AR294:AR298)</f>
        <v>384253.16440246586</v>
      </c>
      <c r="AS293" s="535">
        <f>SUM(AS294:AS298)</f>
        <v>477553.9600914527</v>
      </c>
      <c r="AT293" s="534">
        <f>SUM(AT294:AT298)</f>
        <v>85225.838000000003</v>
      </c>
      <c r="AU293" s="534">
        <f>SUM(AU294:AU298)</f>
        <v>77564.019693085444</v>
      </c>
      <c r="AV293" s="534">
        <f>SUM(AV294:AV298)</f>
        <v>123565.20839999997</v>
      </c>
      <c r="AW293" s="534">
        <f t="shared" si="1532"/>
        <v>130386.31040000002</v>
      </c>
      <c r="AX293" s="534">
        <f t="shared" ref="AX293:BE293" si="1709">SUM(AX294:AX298)</f>
        <v>157328.91199999998</v>
      </c>
      <c r="AY293" s="534">
        <f t="shared" si="1709"/>
        <v>280294.12040000001</v>
      </c>
      <c r="AZ293" s="534">
        <f t="shared" si="1709"/>
        <v>410680.43080000003</v>
      </c>
      <c r="BA293" s="534">
        <f t="shared" si="1709"/>
        <v>110143</v>
      </c>
      <c r="BB293" s="534">
        <f t="shared" si="1709"/>
        <v>168947</v>
      </c>
      <c r="BC293" s="534">
        <f t="shared" si="1709"/>
        <v>89920</v>
      </c>
      <c r="BD293" s="534">
        <f t="shared" si="1709"/>
        <v>111716</v>
      </c>
      <c r="BE293" s="534">
        <f t="shared" si="1709"/>
        <v>190818</v>
      </c>
      <c r="BF293" s="534">
        <f t="shared" ref="BF293:BG293" si="1710">SUM(BF294:BF298)</f>
        <v>280738</v>
      </c>
      <c r="BG293" s="534">
        <f t="shared" si="1710"/>
        <v>392454</v>
      </c>
      <c r="BH293" s="534">
        <f t="shared" ref="BH293:BL293" si="1711">SUM(BH294:BH298)</f>
        <v>84148</v>
      </c>
      <c r="BI293" s="534">
        <f t="shared" si="1711"/>
        <v>88674</v>
      </c>
      <c r="BJ293" s="534">
        <f t="shared" si="1711"/>
        <v>148103</v>
      </c>
      <c r="BK293" s="534">
        <f t="shared" si="1711"/>
        <v>89602</v>
      </c>
      <c r="BL293" s="534">
        <f t="shared" si="1711"/>
        <v>173618</v>
      </c>
      <c r="BM293" s="534">
        <f>SUM(BM294:BM298)-1</f>
        <v>322079</v>
      </c>
      <c r="BN293" s="534">
        <f t="shared" ref="BN293" si="1712">SUM(BN294:BN298)</f>
        <v>412040</v>
      </c>
      <c r="BO293" s="534">
        <f t="shared" ref="BO293:BR293" si="1713">SUM(BO294:BO298)</f>
        <v>47750</v>
      </c>
      <c r="BP293" s="534">
        <f>SUM(BP294:BP298)</f>
        <v>103283</v>
      </c>
      <c r="BQ293" s="534">
        <f t="shared" si="1713"/>
        <v>87424</v>
      </c>
      <c r="BR293" s="534">
        <f t="shared" si="1713"/>
        <v>27413.242333248476</v>
      </c>
      <c r="BS293" s="534">
        <f>SUM(BS294:BS298)</f>
        <v>151033</v>
      </c>
      <c r="BT293" s="534">
        <f>SUM(BT294:BT298)</f>
        <v>238457</v>
      </c>
      <c r="BU293" s="534">
        <f>SUM(BU294:BU298)</f>
        <v>327109</v>
      </c>
      <c r="BV293" s="534">
        <f>SUM(BV294:BV298)</f>
        <v>6909</v>
      </c>
      <c r="BW293" s="534">
        <f t="shared" ref="BW293:BY293" si="1714">SUM(BW294:BW298)</f>
        <v>14327</v>
      </c>
      <c r="BX293" s="534">
        <f t="shared" si="1714"/>
        <v>106603</v>
      </c>
      <c r="BY293" s="534">
        <f t="shared" si="1714"/>
        <v>96271</v>
      </c>
      <c r="BZ293" s="534">
        <f t="shared" ref="BZ293:CI293" si="1715">SUM(BZ294:BZ298)</f>
        <v>22716</v>
      </c>
      <c r="CA293" s="534">
        <f t="shared" si="1715"/>
        <v>129319</v>
      </c>
      <c r="CB293" s="534">
        <f t="shared" si="1715"/>
        <v>225590</v>
      </c>
      <c r="CC293" s="534">
        <f t="shared" si="1715"/>
        <v>63412</v>
      </c>
      <c r="CD293" s="534">
        <f t="shared" si="1715"/>
        <v>78533</v>
      </c>
      <c r="CE293" s="534">
        <f t="shared" si="1715"/>
        <v>174451</v>
      </c>
      <c r="CF293" s="534">
        <f t="shared" si="1715"/>
        <v>127374</v>
      </c>
      <c r="CG293" s="534">
        <f>SUM(CG294:CG298)</f>
        <v>141945</v>
      </c>
      <c r="CH293" s="534">
        <f t="shared" si="1715"/>
        <v>316396</v>
      </c>
      <c r="CI293" s="534">
        <f t="shared" si="1715"/>
        <v>443770</v>
      </c>
      <c r="CJ293" s="534">
        <v>68919</v>
      </c>
      <c r="CK293" s="534">
        <f t="shared" ref="CK293" si="1716">SUM(CK294:CK298)</f>
        <v>87633</v>
      </c>
      <c r="CL293" s="534">
        <f t="shared" ref="CL293:CO293" si="1717">SUM(CL294:CL298)</f>
        <v>0</v>
      </c>
      <c r="CM293" s="534">
        <f t="shared" si="1717"/>
        <v>0</v>
      </c>
      <c r="CN293" s="534">
        <f t="shared" si="1717"/>
        <v>156552</v>
      </c>
      <c r="CO293" s="534">
        <f t="shared" si="1717"/>
        <v>0</v>
      </c>
    </row>
    <row r="294" spans="1:93" s="289" customFormat="1" x14ac:dyDescent="0.25">
      <c r="A294" s="442" t="str">
        <f>Language!C219</f>
        <v>Concepa</v>
      </c>
      <c r="B294" s="443">
        <f t="shared" ref="B294:R294" si="1718">SUM(B245,-B324,B343,B349)</f>
        <v>34513</v>
      </c>
      <c r="C294" s="443">
        <f t="shared" si="1718"/>
        <v>24289</v>
      </c>
      <c r="D294" s="443">
        <f t="shared" si="1718"/>
        <v>27471</v>
      </c>
      <c r="E294" s="443">
        <f t="shared" si="1718"/>
        <v>35575</v>
      </c>
      <c r="F294" s="444">
        <f t="shared" si="1718"/>
        <v>40443</v>
      </c>
      <c r="G294" s="443">
        <f t="shared" si="1718"/>
        <v>28577</v>
      </c>
      <c r="H294" s="443">
        <f t="shared" si="1718"/>
        <v>31792</v>
      </c>
      <c r="I294" s="443">
        <f t="shared" si="1718"/>
        <v>39178</v>
      </c>
      <c r="J294" s="444">
        <f t="shared" si="1718"/>
        <v>49953</v>
      </c>
      <c r="K294" s="443">
        <f t="shared" si="1718"/>
        <v>32925</v>
      </c>
      <c r="L294" s="443">
        <f t="shared" si="1718"/>
        <v>34780</v>
      </c>
      <c r="M294" s="443">
        <f t="shared" si="1718"/>
        <v>48672</v>
      </c>
      <c r="N294" s="444">
        <f t="shared" si="1718"/>
        <v>52136</v>
      </c>
      <c r="O294" s="443">
        <f t="shared" si="1718"/>
        <v>36201</v>
      </c>
      <c r="P294" s="443">
        <f t="shared" si="1718"/>
        <v>53704</v>
      </c>
      <c r="Q294" s="443">
        <f t="shared" si="1718"/>
        <v>78100</v>
      </c>
      <c r="R294" s="444">
        <f t="shared" si="1718"/>
        <v>93747</v>
      </c>
      <c r="S294" s="443">
        <f>SUM(S285,-$S$262,-S254,-$S$324,S343,S349)</f>
        <v>69919</v>
      </c>
      <c r="T294" s="443">
        <f>SUM(T285,-T262,-T254,-T324,T343,T349)</f>
        <v>67944</v>
      </c>
      <c r="U294" s="443">
        <f>SUM(U285,-U262,-U254,-U324,U343,U349)</f>
        <v>14895</v>
      </c>
      <c r="V294" s="443">
        <f>SUM(V285,-V262,-V254,-V324,V343,V349)</f>
        <v>163666</v>
      </c>
      <c r="W294" s="531">
        <f>SUM(W285,-$W$262,-W254,-$W$324,W343,W349)</f>
        <v>231610</v>
      </c>
      <c r="X294" s="532">
        <f t="shared" ref="X294:AE294" si="1719">SUM(X285,-X262,-X254,-X324,X343,X349)</f>
        <v>246505</v>
      </c>
      <c r="Y294" s="533">
        <f t="shared" si="1719"/>
        <v>68702</v>
      </c>
      <c r="Z294" s="531">
        <f t="shared" si="1719"/>
        <v>42925</v>
      </c>
      <c r="AA294" s="443">
        <f t="shared" si="1719"/>
        <v>55119</v>
      </c>
      <c r="AB294" s="443">
        <f t="shared" si="1719"/>
        <v>57558</v>
      </c>
      <c r="AC294" s="531">
        <f t="shared" si="1719"/>
        <v>111627</v>
      </c>
      <c r="AD294" s="531">
        <f t="shared" si="1719"/>
        <v>166746</v>
      </c>
      <c r="AE294" s="532">
        <f t="shared" si="1719"/>
        <v>224304</v>
      </c>
      <c r="AF294" s="531">
        <f>SUM(AF285,-AF262,-AF254,AF324,AF343,AF349)</f>
        <v>74318.617126576457</v>
      </c>
      <c r="AG294" s="531">
        <f t="shared" ref="AG294:AG298" si="1720">AJ294-AF294</f>
        <v>45670.665295723302</v>
      </c>
      <c r="AH294" s="531">
        <f t="shared" si="1523"/>
        <v>13328.549360805686</v>
      </c>
      <c r="AI294" s="531">
        <f t="shared" si="1524"/>
        <v>42519.221557441633</v>
      </c>
      <c r="AJ294" s="531">
        <f>SUM(AJ285,-AJ262,-AJ254,AJ324,AJ343,AJ349)</f>
        <v>119989.28242229976</v>
      </c>
      <c r="AK294" s="531">
        <f>SUM(AK285,-AK262,-AK254,AK324,AK343,AK349)</f>
        <v>133317.83178310544</v>
      </c>
      <c r="AL294" s="532">
        <f>SUM(AL285,-AL262,-AL254,AL324,AL343,AL349)</f>
        <v>175837.05334054708</v>
      </c>
      <c r="AM294" s="531">
        <f>SUM(AM285,-AM262,-AM254,-AM324,AM343,AM349)</f>
        <v>33731.371980081181</v>
      </c>
      <c r="AN294" s="531">
        <f t="shared" si="1527"/>
        <v>45750.729958785581</v>
      </c>
      <c r="AO294" s="531">
        <f t="shared" si="1528"/>
        <v>-65855.614678679151</v>
      </c>
      <c r="AP294" s="531">
        <f t="shared" si="1528"/>
        <v>-6884.6764053923653</v>
      </c>
      <c r="AQ294" s="531">
        <f>SUM(AQ285,-AQ262,-AQ254,-AQ324,AQ343,AQ349)</f>
        <v>79482.101938866763</v>
      </c>
      <c r="AR294" s="532">
        <f>SUM(AR285,-AR262,-AR254,-AR324,-AR343,-AR349)</f>
        <v>13626.487260187616</v>
      </c>
      <c r="AS294" s="532">
        <f>SUM(AS285,-AS262,-AS254,-AS324,-AS343,-AS349)</f>
        <v>6741.8108547952506</v>
      </c>
      <c r="AT294" s="531">
        <f t="shared" ref="AT294:AU296" si="1721">AT245-AT236-AT164-AT218-AT185</f>
        <v>0</v>
      </c>
      <c r="AU294" s="531">
        <f t="shared" si="1721"/>
        <v>-5437.0543069145524</v>
      </c>
      <c r="AV294" s="531">
        <f>AY294-AX294</f>
        <v>-1263</v>
      </c>
      <c r="AW294" s="531">
        <f t="shared" si="1532"/>
        <v>6706</v>
      </c>
      <c r="AX294" s="531">
        <f>AX245-AX236-AX164-AX218-AX185</f>
        <v>-5443</v>
      </c>
      <c r="AY294" s="531">
        <f t="shared" ref="AY294:BK294" si="1722">SUM(AY285,-AY262,-AY254,-AY324,-AY343,-AY349)</f>
        <v>-6706</v>
      </c>
      <c r="AZ294" s="531">
        <f t="shared" si="1722"/>
        <v>0</v>
      </c>
      <c r="BA294" s="531">
        <f t="shared" si="1722"/>
        <v>0</v>
      </c>
      <c r="BB294" s="531">
        <f t="shared" si="1722"/>
        <v>0</v>
      </c>
      <c r="BC294" s="531">
        <f t="shared" si="1722"/>
        <v>0</v>
      </c>
      <c r="BD294" s="531">
        <f t="shared" si="1722"/>
        <v>0</v>
      </c>
      <c r="BE294" s="531">
        <f t="shared" si="1722"/>
        <v>0</v>
      </c>
      <c r="BF294" s="531">
        <f t="shared" si="1722"/>
        <v>0</v>
      </c>
      <c r="BG294" s="531">
        <f t="shared" si="1722"/>
        <v>0</v>
      </c>
      <c r="BH294" s="531">
        <f t="shared" si="1722"/>
        <v>0</v>
      </c>
      <c r="BI294" s="531">
        <f t="shared" si="1722"/>
        <v>0</v>
      </c>
      <c r="BJ294" s="531">
        <f t="shared" si="1722"/>
        <v>0</v>
      </c>
      <c r="BK294" s="531">
        <f t="shared" si="1722"/>
        <v>0</v>
      </c>
      <c r="BL294" s="531"/>
      <c r="BM294" s="531">
        <f>SUM(BM285,-BM262,-BM254,-BM324,-BM343,-BM349)</f>
        <v>0</v>
      </c>
      <c r="BN294" s="531">
        <f>SUM(BN285,-BN262,-BN254,-BN324,-BN343,-BN349)</f>
        <v>0</v>
      </c>
      <c r="BO294" s="531">
        <f>SUM(BO285,-BO262,-BO254,-BO324,-BO343,-BO349)</f>
        <v>0</v>
      </c>
      <c r="BP294" s="531"/>
      <c r="BQ294" s="531"/>
      <c r="BR294" s="531"/>
      <c r="BS294" s="531"/>
      <c r="BT294" s="531"/>
      <c r="BU294" s="531"/>
      <c r="BV294" s="531"/>
      <c r="BW294" s="531"/>
      <c r="BX294" s="531"/>
      <c r="BY294" s="531"/>
      <c r="BZ294" s="531"/>
      <c r="CA294" s="531"/>
      <c r="CB294" s="531"/>
      <c r="CC294" s="531"/>
      <c r="CD294" s="531"/>
      <c r="CE294" s="531"/>
      <c r="CF294" s="531"/>
      <c r="CG294" s="531"/>
      <c r="CH294" s="531"/>
      <c r="CI294" s="531"/>
      <c r="CJ294" s="531"/>
      <c r="CK294" s="531"/>
      <c r="CL294" s="531"/>
      <c r="CM294" s="531"/>
      <c r="CN294" s="531"/>
      <c r="CO294" s="531"/>
    </row>
    <row r="295" spans="1:93" s="289" customFormat="1" x14ac:dyDescent="0.25">
      <c r="A295" s="442" t="str">
        <f>Language!C220</f>
        <v>Concer</v>
      </c>
      <c r="B295" s="443">
        <f t="shared" ref="B295:N295" si="1723">SUM(B246,-B327,B344,B350)</f>
        <v>19108</v>
      </c>
      <c r="C295" s="443">
        <f t="shared" si="1723"/>
        <v>17257</v>
      </c>
      <c r="D295" s="443">
        <f t="shared" si="1723"/>
        <v>19667</v>
      </c>
      <c r="E295" s="443">
        <f t="shared" si="1723"/>
        <v>28477</v>
      </c>
      <c r="F295" s="444">
        <f t="shared" si="1723"/>
        <v>22505</v>
      </c>
      <c r="G295" s="443">
        <f t="shared" si="1723"/>
        <v>21868</v>
      </c>
      <c r="H295" s="443">
        <f t="shared" si="1723"/>
        <v>24723</v>
      </c>
      <c r="I295" s="443">
        <f t="shared" si="1723"/>
        <v>28170</v>
      </c>
      <c r="J295" s="444">
        <f t="shared" si="1723"/>
        <v>30689</v>
      </c>
      <c r="K295" s="443">
        <f t="shared" si="1723"/>
        <v>20378</v>
      </c>
      <c r="L295" s="443">
        <f t="shared" si="1723"/>
        <v>24389</v>
      </c>
      <c r="M295" s="443">
        <f t="shared" si="1723"/>
        <v>25938</v>
      </c>
      <c r="N295" s="444">
        <f t="shared" si="1723"/>
        <v>23457</v>
      </c>
      <c r="O295" s="443">
        <f>SUM(O246,-O327,O344,O350,)</f>
        <v>49510</v>
      </c>
      <c r="P295" s="443">
        <f>SUM(P246,-P327,P344,P350,)</f>
        <v>67499</v>
      </c>
      <c r="Q295" s="443">
        <f>SUM(Q246,-Q327,Q344,Q350,)</f>
        <v>-4997</v>
      </c>
      <c r="R295" s="444">
        <f>SUM(R246,-R327,R344,R350,)</f>
        <v>143023</v>
      </c>
      <c r="S295" s="443">
        <f>SUM(S286,-$S$265,-S255,-$S$327,S344,S350)</f>
        <v>40253</v>
      </c>
      <c r="T295" s="443">
        <f>SUM(T286,-T265,-T255,-T327,T344,T350)</f>
        <v>38037</v>
      </c>
      <c r="U295" s="443">
        <f>SUM(U286,-U265,-U255,-U327,U344,U350)</f>
        <v>38318</v>
      </c>
      <c r="V295" s="443">
        <f>SUM(V286,-V265,-V255,-V327,V344,V350)</f>
        <v>183276</v>
      </c>
      <c r="W295" s="531">
        <f>SUM(W286,-$W$265,-W255,-$W$327,W344,W350)</f>
        <v>221313</v>
      </c>
      <c r="X295" s="532">
        <f t="shared" ref="X295:AE295" si="1724">SUM(X286,-X265,-X255,-X327,X344,X350)</f>
        <v>259631</v>
      </c>
      <c r="Y295" s="533">
        <f t="shared" si="1724"/>
        <v>34411</v>
      </c>
      <c r="Z295" s="531">
        <f t="shared" si="1724"/>
        <v>32207</v>
      </c>
      <c r="AA295" s="443">
        <f t="shared" si="1724"/>
        <v>30684</v>
      </c>
      <c r="AB295" s="443">
        <f t="shared" si="1724"/>
        <v>29267</v>
      </c>
      <c r="AC295" s="531">
        <f t="shared" si="1724"/>
        <v>66618</v>
      </c>
      <c r="AD295" s="531">
        <f t="shared" si="1724"/>
        <v>97302</v>
      </c>
      <c r="AE295" s="532">
        <f t="shared" si="1724"/>
        <v>126569</v>
      </c>
      <c r="AF295" s="531">
        <f>SUM(AF286,-AF265,-AF255,AF327,AF344,AF350,-AF111,-AF172)</f>
        <v>29882.743772160156</v>
      </c>
      <c r="AG295" s="531">
        <f t="shared" si="1720"/>
        <v>27433.840260162044</v>
      </c>
      <c r="AH295" s="531">
        <f t="shared" si="1523"/>
        <v>29264.600353734517</v>
      </c>
      <c r="AI295" s="531">
        <f t="shared" si="1524"/>
        <v>23773.267408202926</v>
      </c>
      <c r="AJ295" s="531">
        <f>SUM(AJ286,-AJ265,-AJ255,AJ327,AJ344,AJ350,-AJ111,-AJ172)</f>
        <v>57316.5840323222</v>
      </c>
      <c r="AK295" s="531">
        <f>SUM(AK286,-AK265,-AK255,AK327,AK344,AK350,-AK111,-AK172)</f>
        <v>86581.184386056717</v>
      </c>
      <c r="AL295" s="532">
        <f>SUM(AL286,-AL265,-AL255,AL327,AL344,AL350,-AL111,-AL172)</f>
        <v>110354.45179425964</v>
      </c>
      <c r="AM295" s="531">
        <f>SUM(AM286,-AM265,-AM255,-AM327,AM344,AM350)</f>
        <v>23722.424724069002</v>
      </c>
      <c r="AN295" s="531">
        <f t="shared" si="1527"/>
        <v>-24850.114961509607</v>
      </c>
      <c r="AO295" s="531">
        <f t="shared" si="1528"/>
        <v>81793.671464555067</v>
      </c>
      <c r="AP295" s="531">
        <f t="shared" si="1528"/>
        <v>22974.48280540455</v>
      </c>
      <c r="AQ295" s="531">
        <f>SUM(AQ286,-AQ265,-AQ255,-AQ327,AQ344,AQ350)</f>
        <v>-1127.6902374406054</v>
      </c>
      <c r="AR295" s="532">
        <f>SUM(AR286,-AR265,-AR255,-AR327,-AR344,-AR350,-AR111,-AR172)</f>
        <v>80665.981227114462</v>
      </c>
      <c r="AS295" s="532">
        <f>SUM(AS286,-AS265,-AS255,-AS327,-AS344,-AS350,-AS111,-AS172)</f>
        <v>103640.46403251901</v>
      </c>
      <c r="AT295" s="531">
        <f t="shared" si="1721"/>
        <v>29234.838</v>
      </c>
      <c r="AU295" s="531">
        <f t="shared" si="1721"/>
        <v>30190.073999999993</v>
      </c>
      <c r="AV295" s="531">
        <f>SUM(AV286,-AV265,-AV255,-AV327,-AV344,-AV350,-AV111,-AV172)</f>
        <v>30468.208399999981</v>
      </c>
      <c r="AW295" s="531">
        <f t="shared" si="1532"/>
        <v>28863.310400000031</v>
      </c>
      <c r="AX295" s="531">
        <f>AX246-AX237-AX165-AX219-AX186</f>
        <v>59424.911999999982</v>
      </c>
      <c r="AY295" s="531">
        <f t="shared" ref="AY295:BK295" si="1725">SUM(AY286,-AY265,-AY255,-AY327,-AY344,-AY350,-AY111,-AY172)</f>
        <v>89893.1204</v>
      </c>
      <c r="AZ295" s="531">
        <f t="shared" si="1725"/>
        <v>118756.43080000003</v>
      </c>
      <c r="BA295" s="531">
        <f t="shared" si="1725"/>
        <v>31434</v>
      </c>
      <c r="BB295" s="531">
        <f t="shared" si="1725"/>
        <v>68124</v>
      </c>
      <c r="BC295" s="531">
        <f t="shared" si="1725"/>
        <v>28469</v>
      </c>
      <c r="BD295" s="531">
        <f t="shared" si="1725"/>
        <v>27597</v>
      </c>
      <c r="BE295" s="531">
        <f t="shared" si="1725"/>
        <v>49373</v>
      </c>
      <c r="BF295" s="531">
        <f t="shared" si="1725"/>
        <v>77842</v>
      </c>
      <c r="BG295" s="531">
        <f t="shared" si="1725"/>
        <v>105439</v>
      </c>
      <c r="BH295" s="531">
        <f t="shared" si="1725"/>
        <v>25369</v>
      </c>
      <c r="BI295" s="531">
        <f t="shared" si="1725"/>
        <v>20341</v>
      </c>
      <c r="BJ295" s="531">
        <f t="shared" si="1725"/>
        <v>18423</v>
      </c>
      <c r="BK295" s="531">
        <f t="shared" si="1725"/>
        <v>22841</v>
      </c>
      <c r="BL295" s="531">
        <f t="shared" ref="BL295:BO296" si="1726">BL246-BL237-BL165-BL219-BL186</f>
        <v>45710</v>
      </c>
      <c r="BM295" s="531">
        <f t="shared" si="1726"/>
        <v>64133</v>
      </c>
      <c r="BN295" s="531">
        <f t="shared" si="1726"/>
        <v>86974</v>
      </c>
      <c r="BO295" s="531">
        <f t="shared" si="1726"/>
        <v>21337</v>
      </c>
      <c r="BP295" s="531">
        <f>SUM(BP286,-BP265,-BP255,-BP327,-BP344,-BP350,-BP111,-BP172)</f>
        <v>20401</v>
      </c>
      <c r="BQ295" s="531">
        <f>BQ246-BQ237-BQ165-BQ219-BQ186</f>
        <v>27108</v>
      </c>
      <c r="BR295" s="531">
        <f>SUM(BR286,-BR265,-BR255,-BR327,-BR344,-BR350,-BR111,-BR172)</f>
        <v>23834</v>
      </c>
      <c r="BS295" s="531">
        <f t="shared" ref="BS295:CI295" si="1727">BS246-BS237-BS165-BS219-BS186</f>
        <v>41738</v>
      </c>
      <c r="BT295" s="531">
        <f t="shared" si="1727"/>
        <v>68846</v>
      </c>
      <c r="BU295" s="531">
        <f t="shared" si="1727"/>
        <v>92680</v>
      </c>
      <c r="BV295" s="531">
        <f t="shared" si="1727"/>
        <v>26132</v>
      </c>
      <c r="BW295" s="531">
        <f t="shared" si="1727"/>
        <v>24642</v>
      </c>
      <c r="BX295" s="531">
        <f t="shared" si="1727"/>
        <v>26881</v>
      </c>
      <c r="BY295" s="531">
        <f t="shared" si="1727"/>
        <v>26863</v>
      </c>
      <c r="BZ295" s="531">
        <f t="shared" si="1727"/>
        <v>52254</v>
      </c>
      <c r="CA295" s="531">
        <f t="shared" si="1727"/>
        <v>79135</v>
      </c>
      <c r="CB295" s="531">
        <f t="shared" si="1727"/>
        <v>105998</v>
      </c>
      <c r="CC295" s="531">
        <f t="shared" si="1727"/>
        <v>33670</v>
      </c>
      <c r="CD295" s="531">
        <f t="shared" si="1727"/>
        <v>29310</v>
      </c>
      <c r="CE295" s="531">
        <f t="shared" si="1727"/>
        <v>35612</v>
      </c>
      <c r="CF295" s="531">
        <f t="shared" si="1727"/>
        <v>33964</v>
      </c>
      <c r="CG295" s="531">
        <f t="shared" si="1727"/>
        <v>62980</v>
      </c>
      <c r="CH295" s="531">
        <f t="shared" si="1727"/>
        <v>98592</v>
      </c>
      <c r="CI295" s="531">
        <f t="shared" si="1727"/>
        <v>132556</v>
      </c>
      <c r="CJ295" s="531">
        <v>33550</v>
      </c>
      <c r="CK295" s="531">
        <f t="shared" ref="CK295:CO295" si="1728">CK246-CK237-CK165-CK219-CK186</f>
        <v>34184</v>
      </c>
      <c r="CL295" s="531">
        <f t="shared" si="1728"/>
        <v>0</v>
      </c>
      <c r="CM295" s="531">
        <f t="shared" si="1728"/>
        <v>0</v>
      </c>
      <c r="CN295" s="531">
        <f t="shared" si="1728"/>
        <v>67734</v>
      </c>
      <c r="CO295" s="531">
        <f t="shared" si="1728"/>
        <v>0</v>
      </c>
    </row>
    <row r="296" spans="1:93" s="289" customFormat="1" x14ac:dyDescent="0.25">
      <c r="A296" s="442" t="str">
        <f>Language!C221</f>
        <v>Econorte</v>
      </c>
      <c r="B296" s="443">
        <f t="shared" ref="B296:N296" si="1729">SUM(B247,-B330,B345,B351)</f>
        <v>16869</v>
      </c>
      <c r="C296" s="443">
        <f t="shared" si="1729"/>
        <v>19873</v>
      </c>
      <c r="D296" s="443">
        <f t="shared" si="1729"/>
        <v>18672</v>
      </c>
      <c r="E296" s="443">
        <f t="shared" si="1729"/>
        <v>24251</v>
      </c>
      <c r="F296" s="444">
        <f t="shared" si="1729"/>
        <v>23169</v>
      </c>
      <c r="G296" s="443">
        <f t="shared" si="1729"/>
        <v>23216</v>
      </c>
      <c r="H296" s="443">
        <f t="shared" si="1729"/>
        <v>25337</v>
      </c>
      <c r="I296" s="443">
        <f t="shared" si="1729"/>
        <v>26978</v>
      </c>
      <c r="J296" s="444">
        <f t="shared" si="1729"/>
        <v>27567</v>
      </c>
      <c r="K296" s="443">
        <f t="shared" si="1729"/>
        <v>21467</v>
      </c>
      <c r="L296" s="443">
        <f t="shared" si="1729"/>
        <v>25411</v>
      </c>
      <c r="M296" s="443">
        <f t="shared" si="1729"/>
        <v>25455</v>
      </c>
      <c r="N296" s="444">
        <f t="shared" si="1729"/>
        <v>26767</v>
      </c>
      <c r="O296" s="443">
        <f>SUM(O247,-O330,O345,O351,)</f>
        <v>21577</v>
      </c>
      <c r="P296" s="443">
        <f>SUM(P247,-P330,P345,P351,)</f>
        <v>24292</v>
      </c>
      <c r="Q296" s="443">
        <f>SUM(Q247,-Q330,Q345,Q351,)</f>
        <v>24706</v>
      </c>
      <c r="R296" s="444">
        <f>SUM(R247,-R330,R345,R351,)</f>
        <v>28396</v>
      </c>
      <c r="S296" s="443">
        <f>SUM(S287,-$S$268,-S256,-$S$330,S345,S351)</f>
        <v>24971</v>
      </c>
      <c r="T296" s="443">
        <f>SUM(T287,-T268,-T256,-T330,T345,T351)</f>
        <v>28785</v>
      </c>
      <c r="U296" s="443">
        <f>SUM(U287,-U268,-U256,-U330,U345,U351)</f>
        <v>31472</v>
      </c>
      <c r="V296" s="443">
        <f>SUM(V287,-V268,-V256,-V330,V345,V351)</f>
        <v>53367</v>
      </c>
      <c r="W296" s="531">
        <f>SUM(W287,-$W$268,-W256,-$W$330,W345,W351)</f>
        <v>82152</v>
      </c>
      <c r="X296" s="532">
        <f t="shared" ref="X296:AE296" si="1730">SUM(X287,-X268,-X256,-X330,X345,X351)</f>
        <v>113624</v>
      </c>
      <c r="Y296" s="533">
        <f t="shared" si="1730"/>
        <v>33149</v>
      </c>
      <c r="Z296" s="531">
        <f t="shared" si="1730"/>
        <v>30397</v>
      </c>
      <c r="AA296" s="443">
        <f t="shared" si="1730"/>
        <v>31791</v>
      </c>
      <c r="AB296" s="443">
        <f t="shared" si="1730"/>
        <v>30278</v>
      </c>
      <c r="AC296" s="531">
        <f t="shared" si="1730"/>
        <v>63546</v>
      </c>
      <c r="AD296" s="531">
        <f t="shared" si="1730"/>
        <v>95337</v>
      </c>
      <c r="AE296" s="532">
        <f t="shared" si="1730"/>
        <v>125615</v>
      </c>
      <c r="AF296" s="531">
        <f>SUM(AF287,-AF268,-AF256,AF330,AF345,AF351)</f>
        <v>33163.588154909652</v>
      </c>
      <c r="AG296" s="531">
        <f t="shared" si="1720"/>
        <v>32174.183552174291</v>
      </c>
      <c r="AH296" s="531">
        <f t="shared" si="1523"/>
        <v>38138.151826112939</v>
      </c>
      <c r="AI296" s="531">
        <f t="shared" si="1524"/>
        <v>34665.75073906788</v>
      </c>
      <c r="AJ296" s="531">
        <f>SUM(AJ287,-AJ268,-AJ256,AJ330,AJ345,AJ351)</f>
        <v>65337.771707083943</v>
      </c>
      <c r="AK296" s="531">
        <f>SUM(AK287,-AK268,-AK256,AK330,AK345,AK351)</f>
        <v>103475.92353319688</v>
      </c>
      <c r="AL296" s="532">
        <f>SUM(AL287,-AL268,-AL256,AL330,AL345,AL351)</f>
        <v>138141.67427226476</v>
      </c>
      <c r="AM296" s="531">
        <f>SUM(AM287,-AM268,-AM256,-AM330,AM345,AM351)</f>
        <v>27932.556984516785</v>
      </c>
      <c r="AN296" s="531">
        <f t="shared" si="1527"/>
        <v>26328.37027430439</v>
      </c>
      <c r="AO296" s="531">
        <f t="shared" si="1528"/>
        <v>48619.139142964385</v>
      </c>
      <c r="AP296" s="531">
        <f t="shared" si="1528"/>
        <v>16709.803354048519</v>
      </c>
      <c r="AQ296" s="531">
        <f>SUM(AQ287,-AQ268,-AQ256,-AQ330,AQ345,AQ351)</f>
        <v>54260.927258821175</v>
      </c>
      <c r="AR296" s="532">
        <f>SUM(AR287,-AR268,-AR256,-AR330,-AR345,-AR351)</f>
        <v>102880.06640178556</v>
      </c>
      <c r="AS296" s="532">
        <f>SUM(AS287,-AS268,-AS256,-AS330,-AS345,-AS351)</f>
        <v>119589.86975583408</v>
      </c>
      <c r="AT296" s="531">
        <f t="shared" si="1721"/>
        <v>10393</v>
      </c>
      <c r="AU296" s="531">
        <f t="shared" si="1721"/>
        <v>15108</v>
      </c>
      <c r="AV296" s="531">
        <f>SUM(AV287,-AV268,-AV256,-AV330,-AV345,-AV351)</f>
        <v>30070</v>
      </c>
      <c r="AW296" s="531">
        <f t="shared" si="1532"/>
        <v>47144</v>
      </c>
      <c r="AX296" s="531">
        <f>AX247-AX238-AX166-AX220-AX187</f>
        <v>25501</v>
      </c>
      <c r="AY296" s="531">
        <f t="shared" ref="AY296:BK296" si="1731">SUM(AY287,-AY268,-AY256,-AY330,-AY345,-AY351)</f>
        <v>56833</v>
      </c>
      <c r="AZ296" s="531">
        <f t="shared" si="1731"/>
        <v>103977</v>
      </c>
      <c r="BA296" s="531">
        <f t="shared" si="1731"/>
        <v>39908</v>
      </c>
      <c r="BB296" s="531">
        <f t="shared" si="1731"/>
        <v>49785</v>
      </c>
      <c r="BC296" s="531">
        <f t="shared" si="1731"/>
        <v>46588</v>
      </c>
      <c r="BD296" s="531">
        <f t="shared" si="1731"/>
        <v>53038</v>
      </c>
      <c r="BE296" s="531">
        <f t="shared" si="1731"/>
        <v>73653</v>
      </c>
      <c r="BF296" s="531">
        <f t="shared" si="1731"/>
        <v>120241</v>
      </c>
      <c r="BG296" s="531">
        <f t="shared" si="1731"/>
        <v>173279</v>
      </c>
      <c r="BH296" s="531">
        <f t="shared" si="1731"/>
        <v>38275</v>
      </c>
      <c r="BI296" s="531">
        <f t="shared" si="1731"/>
        <v>37738</v>
      </c>
      <c r="BJ296" s="531">
        <f t="shared" si="1731"/>
        <v>79343</v>
      </c>
      <c r="BK296" s="531">
        <f t="shared" si="1731"/>
        <v>21604</v>
      </c>
      <c r="BL296" s="531">
        <f t="shared" si="1726"/>
        <v>76013</v>
      </c>
      <c r="BM296" s="531">
        <f t="shared" si="1726"/>
        <v>155356</v>
      </c>
      <c r="BN296" s="531">
        <f t="shared" si="1726"/>
        <v>176960</v>
      </c>
      <c r="BO296" s="531">
        <f t="shared" si="1726"/>
        <v>-3083</v>
      </c>
      <c r="BP296" s="531">
        <f>SUM(BP287,-BP268,-BP256,-BP330,-BP345,-BP351)</f>
        <v>-1434</v>
      </c>
      <c r="BQ296" s="531">
        <f>BQ247-BQ238-BQ166-BQ220-BQ187</f>
        <v>-3194</v>
      </c>
      <c r="BR296" s="531">
        <f>SUM(BR287,-BR268,-BR256,-BR330,-BR345,-BR351)</f>
        <v>-1808</v>
      </c>
      <c r="BS296" s="531">
        <f t="shared" ref="BS296:CI296" si="1732">BS247-BS238-BS166-BS220-BS187</f>
        <v>-4517</v>
      </c>
      <c r="BT296" s="531">
        <f t="shared" si="1732"/>
        <v>-7711</v>
      </c>
      <c r="BU296" s="515">
        <f t="shared" si="1732"/>
        <v>-9519</v>
      </c>
      <c r="BV296" s="515">
        <f t="shared" si="1732"/>
        <v>0</v>
      </c>
      <c r="BW296" s="515">
        <f t="shared" si="1732"/>
        <v>0</v>
      </c>
      <c r="BX296" s="515">
        <f t="shared" si="1732"/>
        <v>0</v>
      </c>
      <c r="BY296" s="515">
        <f t="shared" si="1732"/>
        <v>0</v>
      </c>
      <c r="BZ296" s="515">
        <f t="shared" si="1732"/>
        <v>0</v>
      </c>
      <c r="CA296" s="515">
        <f t="shared" si="1732"/>
        <v>0</v>
      </c>
      <c r="CB296" s="515">
        <f t="shared" si="1732"/>
        <v>0</v>
      </c>
      <c r="CC296" s="515">
        <f t="shared" si="1732"/>
        <v>0</v>
      </c>
      <c r="CD296" s="515">
        <f t="shared" si="1732"/>
        <v>0</v>
      </c>
      <c r="CE296" s="515">
        <f t="shared" si="1732"/>
        <v>0</v>
      </c>
      <c r="CF296" s="515">
        <f t="shared" si="1732"/>
        <v>0</v>
      </c>
      <c r="CG296" s="515">
        <f t="shared" si="1732"/>
        <v>0</v>
      </c>
      <c r="CH296" s="515">
        <f t="shared" si="1732"/>
        <v>0</v>
      </c>
      <c r="CI296" s="515">
        <f t="shared" si="1732"/>
        <v>0</v>
      </c>
      <c r="CJ296" s="515">
        <v>0</v>
      </c>
      <c r="CK296" s="515">
        <f t="shared" ref="CK296:CO296" si="1733">CK247-CK238-CK166-CK220-CK187</f>
        <v>0</v>
      </c>
      <c r="CL296" s="515">
        <f t="shared" si="1733"/>
        <v>0</v>
      </c>
      <c r="CM296" s="515">
        <f t="shared" si="1733"/>
        <v>0</v>
      </c>
      <c r="CN296" s="515">
        <f t="shared" si="1733"/>
        <v>0</v>
      </c>
      <c r="CO296" s="515">
        <f t="shared" si="1733"/>
        <v>0</v>
      </c>
    </row>
    <row r="297" spans="1:93" x14ac:dyDescent="0.25">
      <c r="A297" s="442" t="str">
        <f>Language!C223</f>
        <v>Concebra</v>
      </c>
      <c r="B297" s="443">
        <f t="shared" ref="B297:N297" si="1734">SUM(B249,-B333,B346,B352)</f>
        <v>0</v>
      </c>
      <c r="C297" s="443">
        <f t="shared" si="1734"/>
        <v>0</v>
      </c>
      <c r="D297" s="443">
        <f t="shared" si="1734"/>
        <v>0</v>
      </c>
      <c r="E297" s="443">
        <f t="shared" si="1734"/>
        <v>0</v>
      </c>
      <c r="F297" s="444">
        <f t="shared" si="1734"/>
        <v>0</v>
      </c>
      <c r="G297" s="443">
        <f t="shared" si="1734"/>
        <v>0</v>
      </c>
      <c r="H297" s="443">
        <f t="shared" si="1734"/>
        <v>0</v>
      </c>
      <c r="I297" s="443">
        <f t="shared" si="1734"/>
        <v>0</v>
      </c>
      <c r="J297" s="444">
        <f t="shared" si="1734"/>
        <v>0</v>
      </c>
      <c r="K297" s="443">
        <f t="shared" si="1734"/>
        <v>0</v>
      </c>
      <c r="L297" s="443">
        <f t="shared" si="1734"/>
        <v>0</v>
      </c>
      <c r="M297" s="443">
        <f t="shared" si="1734"/>
        <v>0</v>
      </c>
      <c r="N297" s="444">
        <f t="shared" si="1734"/>
        <v>-2581</v>
      </c>
      <c r="O297" s="443">
        <f>SUM(O249,-O333,O346,O352,-O113,-O174)</f>
        <v>425</v>
      </c>
      <c r="P297" s="443">
        <f>SUM(P249,-P333,P346,P352,-P113,-P174)</f>
        <v>-1454</v>
      </c>
      <c r="Q297" s="443">
        <v>8536</v>
      </c>
      <c r="R297" s="444">
        <f>SUM(R249,-R333,R346,R352,-R113,-R174)</f>
        <v>-5453</v>
      </c>
      <c r="S297" s="443">
        <f>SUM(S289,-$S$271,-S257,-$S$333,S346,S352,-S113,-S174)</f>
        <v>-1018</v>
      </c>
      <c r="T297" s="443">
        <f>SUM(T289,-T271,-T257,-T333,T346,T352,-T113,-T174)</f>
        <v>26934</v>
      </c>
      <c r="U297" s="443">
        <f>SUM(U289,-U271,-U257,-U333,U346,U352,-U113,-U174)</f>
        <v>37712</v>
      </c>
      <c r="V297" s="443">
        <f>SUM(V289,-V271,-V257,-V333,V346,V352,-V113,-V174)</f>
        <v>-6471</v>
      </c>
      <c r="W297" s="531">
        <f>SUM(W289,-$W$271,-W257,-$W$333,W346,W352,-W113,-W174)</f>
        <v>20463</v>
      </c>
      <c r="X297" s="532">
        <f t="shared" ref="X297:AE297" si="1735">SUM(X289,-X271,-X257,-X333,X346,X352,-X113,-X174)</f>
        <v>58175</v>
      </c>
      <c r="Y297" s="533">
        <f t="shared" si="1735"/>
        <v>30226</v>
      </c>
      <c r="Z297" s="531">
        <f t="shared" si="1735"/>
        <v>39071</v>
      </c>
      <c r="AA297" s="443">
        <f t="shared" si="1735"/>
        <v>41709</v>
      </c>
      <c r="AB297" s="443">
        <f t="shared" si="1735"/>
        <v>43125</v>
      </c>
      <c r="AC297" s="531">
        <f t="shared" si="1735"/>
        <v>69297</v>
      </c>
      <c r="AD297" s="531">
        <f t="shared" si="1735"/>
        <v>111006</v>
      </c>
      <c r="AE297" s="532">
        <f t="shared" si="1735"/>
        <v>154131</v>
      </c>
      <c r="AF297" s="531">
        <f>SUM(AF289,-AF271,-AF257,AF333,AF346,AF352,-AF113,-AF174)</f>
        <v>28217.853098818232</v>
      </c>
      <c r="AG297" s="443">
        <f t="shared" si="1720"/>
        <v>23647.402748294619</v>
      </c>
      <c r="AH297" s="443">
        <f t="shared" si="1523"/>
        <v>54665.576690968395</v>
      </c>
      <c r="AI297" s="443">
        <f t="shared" si="1524"/>
        <v>34714.451339706342</v>
      </c>
      <c r="AJ297" s="443">
        <f>SUM(AJ289,-AJ271,-AJ257,AJ333,AJ346,AJ352,-AJ113,-AJ174)</f>
        <v>51865.25584711285</v>
      </c>
      <c r="AK297" s="531">
        <f>SUM(AK289,-AK271,-AK257,AK333,AK346,AK352,-AK113,-AK174)</f>
        <v>106530.83253808125</v>
      </c>
      <c r="AL297" s="532">
        <f>SUM(AL289,-AL271,-AL257,AL333,AL346,AL352,-AL113,-AL174)</f>
        <v>141245.28387778759</v>
      </c>
      <c r="AM297" s="531">
        <f>SUM(AM289,-AM271,-AM257,-AM333,AM346,AM352,-AM113,-AM174)</f>
        <v>23537.570042190564</v>
      </c>
      <c r="AN297" s="531">
        <f t="shared" si="1527"/>
        <v>21634.44519700831</v>
      </c>
      <c r="AO297" s="531">
        <f t="shared" si="1528"/>
        <v>105089.69266797014</v>
      </c>
      <c r="AP297" s="531">
        <f t="shared" si="1528"/>
        <v>47041.401380314957</v>
      </c>
      <c r="AQ297" s="531">
        <f>SUM(AQ289,-AQ271,-AQ257,-AQ333,AQ346,AQ352,-AQ113,-AQ174)</f>
        <v>45172.015239198874</v>
      </c>
      <c r="AR297" s="532">
        <f>SUM(AR289,-AR271,-AR257,-AR333,-AR346,-AR352,-AR113,-AR174)</f>
        <v>150261.70790716901</v>
      </c>
      <c r="AS297" s="532">
        <f>SUM(AS289,-AS271,-AS257,-AS333,-AS346,-AS352,-AS113,-AS174)</f>
        <v>197303.10928748397</v>
      </c>
      <c r="AT297" s="531">
        <f>AT249-AT240-AT167-AT120-AT222-AT188</f>
        <v>34687</v>
      </c>
      <c r="AU297" s="531">
        <f>AU248-AU239-AU167-AU221-AU188</f>
        <v>18664</v>
      </c>
      <c r="AV297" s="531">
        <f>SUM(AV289,-AV271,-AV257,-AV333,-AV346,-AV352,-AV113,-AV174)</f>
        <v>40065</v>
      </c>
      <c r="AW297" s="531">
        <f t="shared" si="1532"/>
        <v>36118</v>
      </c>
      <c r="AX297" s="531">
        <f>AX249-AX240-AX167-AX120-AX222-AX188</f>
        <v>64598</v>
      </c>
      <c r="AY297" s="531">
        <f t="shared" ref="AY297:BK297" si="1736">SUM(AY289,-AY271,-AY257,-AY333,-AY346,-AY352,-AY113,-AY174)</f>
        <v>104568</v>
      </c>
      <c r="AZ297" s="531">
        <f t="shared" si="1736"/>
        <v>140686</v>
      </c>
      <c r="BA297" s="531">
        <f t="shared" si="1736"/>
        <v>29836</v>
      </c>
      <c r="BB297" s="531">
        <f t="shared" si="1736"/>
        <v>30648</v>
      </c>
      <c r="BC297" s="531">
        <f t="shared" si="1736"/>
        <v>2634</v>
      </c>
      <c r="BD297" s="531">
        <f t="shared" si="1736"/>
        <v>17865</v>
      </c>
      <c r="BE297" s="531">
        <f t="shared" si="1736"/>
        <v>47661</v>
      </c>
      <c r="BF297" s="531">
        <f t="shared" si="1736"/>
        <v>50295</v>
      </c>
      <c r="BG297" s="531">
        <f t="shared" si="1736"/>
        <v>68160</v>
      </c>
      <c r="BH297" s="531">
        <f t="shared" si="1736"/>
        <v>13807</v>
      </c>
      <c r="BI297" s="531">
        <f t="shared" si="1736"/>
        <v>8521</v>
      </c>
      <c r="BJ297" s="531">
        <f t="shared" si="1736"/>
        <v>27904</v>
      </c>
      <c r="BK297" s="531">
        <f t="shared" si="1736"/>
        <v>17659</v>
      </c>
      <c r="BL297" s="531">
        <f>BL249-BL240-BL167-BL120-BL222-BL188</f>
        <v>22438</v>
      </c>
      <c r="BM297" s="531">
        <f>BM249-BM240-BM167-BM120-BM222-BM188</f>
        <v>50358</v>
      </c>
      <c r="BN297" s="531">
        <f>BN249-BN240-BN167-BN120-BN222-BN188</f>
        <v>68032</v>
      </c>
      <c r="BO297" s="531">
        <f>BO249-BO240-BO167-BO120-BO222-BO188</f>
        <v>8322</v>
      </c>
      <c r="BP297" s="531">
        <f>BP249-BP240-BP167-BP120-BP222-BP188+81399</f>
        <v>58787</v>
      </c>
      <c r="BQ297" s="531">
        <f>BQ249-BQ240-BQ167-BQ120-BQ222-BQ188-BQ128+74820</f>
        <v>42198</v>
      </c>
      <c r="BR297" s="531">
        <f>SUM(BR289,-BR271,-BR257,-BR333,-BR346,-BR352,-BR113,-BR174)</f>
        <v>-17038</v>
      </c>
      <c r="BS297" s="531">
        <f>BS249-BS240-BS167-BS120-BS222-BS188-BS128+81399</f>
        <v>67109</v>
      </c>
      <c r="BT297" s="531">
        <f>BT249-BT240-BT167-BT120-BT222-BT188-BT128+156219</f>
        <v>109307</v>
      </c>
      <c r="BU297" s="531">
        <f>BU249-BU240-BU167-BU120-BU222-BU188-295908+237543</f>
        <v>153152</v>
      </c>
      <c r="BV297" s="531">
        <f t="shared" ref="BV297:CI297" si="1737">BV249-BV240-BV167-BV120-BV222-BV188</f>
        <v>-39598</v>
      </c>
      <c r="BW297" s="531">
        <f t="shared" si="1737"/>
        <v>-28296</v>
      </c>
      <c r="BX297" s="531">
        <f t="shared" si="1737"/>
        <v>50948</v>
      </c>
      <c r="BY297" s="531">
        <f t="shared" si="1737"/>
        <v>41853</v>
      </c>
      <c r="BZ297" s="531">
        <f t="shared" si="1737"/>
        <v>-67894</v>
      </c>
      <c r="CA297" s="531">
        <f t="shared" si="1737"/>
        <v>-16946</v>
      </c>
      <c r="CB297" s="531">
        <f t="shared" si="1737"/>
        <v>24907</v>
      </c>
      <c r="CC297" s="531">
        <f t="shared" si="1737"/>
        <v>3124</v>
      </c>
      <c r="CD297" s="531">
        <f t="shared" si="1737"/>
        <v>20465</v>
      </c>
      <c r="CE297" s="531">
        <f t="shared" si="1737"/>
        <v>106268</v>
      </c>
      <c r="CF297" s="531">
        <f t="shared" si="1737"/>
        <v>66569</v>
      </c>
      <c r="CG297" s="531">
        <f t="shared" si="1737"/>
        <v>23589</v>
      </c>
      <c r="CH297" s="531">
        <f t="shared" si="1737"/>
        <v>129857</v>
      </c>
      <c r="CI297" s="531">
        <f t="shared" si="1737"/>
        <v>196426</v>
      </c>
      <c r="CJ297" s="531">
        <v>26648</v>
      </c>
      <c r="CK297" s="531">
        <f t="shared" ref="CK297:CO297" si="1738">CK249-CK240-CK167-CK120-CK222-CK188</f>
        <v>23727</v>
      </c>
      <c r="CL297" s="531">
        <f t="shared" si="1738"/>
        <v>0</v>
      </c>
      <c r="CM297" s="531">
        <f t="shared" si="1738"/>
        <v>0</v>
      </c>
      <c r="CN297" s="531">
        <f t="shared" si="1738"/>
        <v>50375</v>
      </c>
      <c r="CO297" s="531">
        <f t="shared" si="1738"/>
        <v>0</v>
      </c>
    </row>
    <row r="298" spans="1:93" x14ac:dyDescent="0.25">
      <c r="A298" s="442" t="str">
        <f>Language!C224</f>
        <v>Transbrasiliana</v>
      </c>
      <c r="B298" s="443"/>
      <c r="C298" s="443"/>
      <c r="D298" s="443"/>
      <c r="E298" s="443"/>
      <c r="F298" s="444"/>
      <c r="G298" s="443"/>
      <c r="H298" s="443"/>
      <c r="I298" s="443"/>
      <c r="J298" s="444"/>
      <c r="K298" s="443"/>
      <c r="L298" s="443"/>
      <c r="M298" s="443"/>
      <c r="N298" s="444"/>
      <c r="O298" s="443">
        <f>SUM(O250,-O336,O347,O353,-O114,-O175)</f>
        <v>0</v>
      </c>
      <c r="P298" s="443">
        <f>SUM(P250,-P336,P347,P353,-P114,-P175)</f>
        <v>0</v>
      </c>
      <c r="Q298" s="443">
        <f>SUM(Q250,-Q336,Q347,Q353,-Q114,-Q175)</f>
        <v>0</v>
      </c>
      <c r="R298" s="444">
        <f>SUM(R250,-R336,R347,R353,-R114,-R175)</f>
        <v>28315</v>
      </c>
      <c r="S298" s="443">
        <f>SUM(S290,-$S$274,-S258,-$S$336,S347,S353)</f>
        <v>7584</v>
      </c>
      <c r="T298" s="443">
        <f>SUM(T290,-T274,-T258,-T336,T347,T353)</f>
        <v>8734</v>
      </c>
      <c r="U298" s="443">
        <f>SUM(U290,-U274,-U258,-U336,U347,U353)</f>
        <v>13388</v>
      </c>
      <c r="V298" s="443">
        <f>SUM(V290,-V274,-V258,-V336,V347,V353)</f>
        <v>35899</v>
      </c>
      <c r="W298" s="531">
        <f>SUM(W290,-$W$274,-W258,-$W$336,W347,W353)</f>
        <v>44633</v>
      </c>
      <c r="X298" s="532">
        <f t="shared" ref="X298:AE298" si="1739">SUM(X290,-X274,-X258,-X336,X347,X353)</f>
        <v>58021</v>
      </c>
      <c r="Y298" s="533">
        <f t="shared" si="1739"/>
        <v>10558</v>
      </c>
      <c r="Z298" s="531">
        <f t="shared" si="1739"/>
        <v>8498</v>
      </c>
      <c r="AA298" s="443">
        <f t="shared" si="1739"/>
        <v>7162</v>
      </c>
      <c r="AB298" s="443">
        <f t="shared" si="1739"/>
        <v>16968</v>
      </c>
      <c r="AC298" s="531">
        <f t="shared" si="1739"/>
        <v>19056</v>
      </c>
      <c r="AD298" s="531">
        <f t="shared" si="1739"/>
        <v>26218</v>
      </c>
      <c r="AE298" s="532">
        <f t="shared" si="1739"/>
        <v>43186</v>
      </c>
      <c r="AF298" s="531">
        <f>SUM(AF290,-AF274,-AF258,AF336,AF347,AF353)</f>
        <v>11753.113100536124</v>
      </c>
      <c r="AG298" s="531">
        <f t="shared" si="1720"/>
        <v>13017.475283061325</v>
      </c>
      <c r="AH298" s="531">
        <f t="shared" si="1523"/>
        <v>6324.2305739201984</v>
      </c>
      <c r="AI298" s="531">
        <f t="shared" si="1524"/>
        <v>25671.717757623326</v>
      </c>
      <c r="AJ298" s="531">
        <f>SUM(AJ290,-AJ274,-AJ258,AJ336,AJ347,AJ353)</f>
        <v>24770.588383597449</v>
      </c>
      <c r="AK298" s="531">
        <f>SUM(AK290,-AK274,-AK258,AK336,AK347,AK353)</f>
        <v>31094.818957517648</v>
      </c>
      <c r="AL298" s="532">
        <f>SUM(AL290,-AL274,-AL258,AL336,AL347,AL353)</f>
        <v>56766.536715140974</v>
      </c>
      <c r="AM298" s="531">
        <f>SUM(AM290,-AM274,-AM258,-AM336,AM347,AM353)</f>
        <v>13389.13919049079</v>
      </c>
      <c r="AN298" s="531">
        <f t="shared" si="1527"/>
        <v>-1304.0563132677962</v>
      </c>
      <c r="AO298" s="531">
        <f t="shared" si="1528"/>
        <v>24733.838728986215</v>
      </c>
      <c r="AP298" s="531">
        <f t="shared" si="1528"/>
        <v>13459.784554611193</v>
      </c>
      <c r="AQ298" s="531">
        <f>SUM(AQ290,-AQ274,-AQ258,-AQ336,AQ347,AQ353)</f>
        <v>12085.082877222994</v>
      </c>
      <c r="AR298" s="532">
        <f>SUM(AR290,-AR274,-AR258,-AR336,-AR347,-AR353)</f>
        <v>36818.921606209209</v>
      </c>
      <c r="AS298" s="532">
        <f>SUM(AS290,-AS274,-AS258,-AS336,-AS347,-AS353)</f>
        <v>50278.706160820402</v>
      </c>
      <c r="AT298" s="767">
        <f>AT250-AT241-AT168-AT223-AT189+200</f>
        <v>10911</v>
      </c>
      <c r="AU298" s="531">
        <f>AU249-AU240-AU168-AU222-AU189</f>
        <v>19039</v>
      </c>
      <c r="AV298" s="531">
        <f>SUM(AV290,-AV274,-AV258,-AV336,-AV347,-AV353)</f>
        <v>24225</v>
      </c>
      <c r="AW298" s="531">
        <f t="shared" si="1532"/>
        <v>11555</v>
      </c>
      <c r="AX298" s="767">
        <f>AX250-AX241-AX168-AX223-AX189+200</f>
        <v>13248</v>
      </c>
      <c r="AY298" s="531">
        <f t="shared" ref="AY298:BK298" si="1740">SUM(AY290,-AY274,-AY258,-AY336,-AY347,-AY353)</f>
        <v>35706</v>
      </c>
      <c r="AZ298" s="531">
        <f t="shared" si="1740"/>
        <v>47261</v>
      </c>
      <c r="BA298" s="531">
        <f t="shared" si="1740"/>
        <v>8965</v>
      </c>
      <c r="BB298" s="531">
        <f t="shared" si="1740"/>
        <v>20390</v>
      </c>
      <c r="BC298" s="531">
        <f t="shared" si="1740"/>
        <v>12229</v>
      </c>
      <c r="BD298" s="531">
        <f t="shared" si="1740"/>
        <v>13216</v>
      </c>
      <c r="BE298" s="531">
        <f t="shared" si="1740"/>
        <v>20131</v>
      </c>
      <c r="BF298" s="767">
        <f t="shared" si="1740"/>
        <v>32360</v>
      </c>
      <c r="BG298" s="767">
        <f t="shared" si="1740"/>
        <v>45576</v>
      </c>
      <c r="BH298" s="767">
        <f t="shared" si="1740"/>
        <v>6697</v>
      </c>
      <c r="BI298" s="767">
        <f t="shared" si="1740"/>
        <v>22074</v>
      </c>
      <c r="BJ298" s="767">
        <f t="shared" si="1740"/>
        <v>22433</v>
      </c>
      <c r="BK298" s="767">
        <f t="shared" si="1740"/>
        <v>27498</v>
      </c>
      <c r="BL298" s="767">
        <f t="shared" ref="BL298:BQ298" si="1741">BL250-BL241-BL168-BL223-BL189</f>
        <v>29457</v>
      </c>
      <c r="BM298" s="767">
        <f t="shared" si="1741"/>
        <v>52233</v>
      </c>
      <c r="BN298" s="767">
        <f t="shared" si="1741"/>
        <v>80074</v>
      </c>
      <c r="BO298" s="767">
        <f t="shared" si="1741"/>
        <v>21174</v>
      </c>
      <c r="BP298" s="767">
        <f t="shared" si="1741"/>
        <v>25529</v>
      </c>
      <c r="BQ298" s="767">
        <f t="shared" si="1741"/>
        <v>21312</v>
      </c>
      <c r="BR298" s="767">
        <f>SUM(BR290,-BR274,-BR258,-BR336,-BR347,-BR353)</f>
        <v>22425.242333248476</v>
      </c>
      <c r="BS298" s="767">
        <f t="shared" ref="BS298:CI298" si="1742">BS250-BS241-BS168-BS223-BS189</f>
        <v>46703</v>
      </c>
      <c r="BT298" s="767">
        <f t="shared" si="1742"/>
        <v>68015</v>
      </c>
      <c r="BU298" s="767">
        <f t="shared" si="1742"/>
        <v>90796</v>
      </c>
      <c r="BV298" s="767">
        <f t="shared" si="1742"/>
        <v>20375</v>
      </c>
      <c r="BW298" s="767">
        <f t="shared" si="1742"/>
        <v>17981</v>
      </c>
      <c r="BX298" s="767">
        <f t="shared" si="1742"/>
        <v>28774</v>
      </c>
      <c r="BY298" s="767">
        <f t="shared" si="1742"/>
        <v>27555</v>
      </c>
      <c r="BZ298" s="767">
        <f t="shared" si="1742"/>
        <v>38356</v>
      </c>
      <c r="CA298" s="767">
        <f t="shared" si="1742"/>
        <v>67130</v>
      </c>
      <c r="CB298" s="767">
        <f t="shared" si="1742"/>
        <v>94685</v>
      </c>
      <c r="CC298" s="767">
        <f t="shared" si="1742"/>
        <v>26618</v>
      </c>
      <c r="CD298" s="767">
        <f t="shared" si="1742"/>
        <v>28758</v>
      </c>
      <c r="CE298" s="767">
        <f t="shared" si="1742"/>
        <v>32571</v>
      </c>
      <c r="CF298" s="767">
        <f t="shared" si="1742"/>
        <v>26841</v>
      </c>
      <c r="CG298" s="767">
        <f t="shared" si="1742"/>
        <v>55376</v>
      </c>
      <c r="CH298" s="767">
        <f t="shared" si="1742"/>
        <v>87947</v>
      </c>
      <c r="CI298" s="767">
        <f t="shared" si="1742"/>
        <v>114788</v>
      </c>
      <c r="CJ298" s="767">
        <v>8721</v>
      </c>
      <c r="CK298" s="767">
        <f t="shared" ref="CK298:CO298" si="1743">CK250-CK241-CK168-CK223-CK189</f>
        <v>29722</v>
      </c>
      <c r="CL298" s="767">
        <f t="shared" si="1743"/>
        <v>0</v>
      </c>
      <c r="CM298" s="767">
        <f t="shared" si="1743"/>
        <v>0</v>
      </c>
      <c r="CN298" s="767">
        <f t="shared" si="1743"/>
        <v>38443</v>
      </c>
      <c r="CO298" s="767">
        <f t="shared" si="1743"/>
        <v>0</v>
      </c>
    </row>
    <row r="299" spans="1:93" x14ac:dyDescent="0.25">
      <c r="Q299" s="425"/>
      <c r="R299" s="425"/>
      <c r="U299" s="425"/>
      <c r="V299" s="425"/>
      <c r="X299" s="426"/>
      <c r="Y299" s="426"/>
      <c r="Z299" s="426"/>
      <c r="AB299" s="425"/>
      <c r="AC299" s="426"/>
      <c r="AD299" s="426"/>
      <c r="AE299" s="426"/>
      <c r="AF299" s="426"/>
      <c r="AG299" s="426"/>
      <c r="AI299" s="425"/>
      <c r="AJ299" s="426"/>
      <c r="AK299" s="426"/>
      <c r="AL299" s="426"/>
      <c r="AM299" s="426"/>
      <c r="AN299" s="426"/>
      <c r="AO299" s="426"/>
      <c r="AP299" s="426"/>
      <c r="AQ299" s="426"/>
      <c r="AR299" s="426"/>
      <c r="AS299" s="426"/>
      <c r="AT299" s="426"/>
      <c r="AU299" s="426"/>
      <c r="AV299" s="426"/>
      <c r="AW299" s="426"/>
      <c r="AX299" s="426"/>
      <c r="AY299" s="426"/>
      <c r="AZ299" s="426"/>
      <c r="BA299" s="426"/>
      <c r="BB299" s="426"/>
      <c r="BC299" s="426"/>
      <c r="BD299" s="426"/>
      <c r="BE299" s="426"/>
    </row>
    <row r="300" spans="1:93" x14ac:dyDescent="0.25">
      <c r="Q300" s="427"/>
      <c r="R300" s="427"/>
      <c r="U300" s="427"/>
      <c r="V300" s="427"/>
      <c r="X300" s="428"/>
      <c r="Y300" s="428"/>
      <c r="Z300" s="428"/>
      <c r="AB300" s="427"/>
      <c r="AC300" s="428"/>
      <c r="AD300" s="428"/>
      <c r="AE300" s="428"/>
      <c r="AF300" s="428"/>
      <c r="AG300" s="428"/>
      <c r="AI300" s="427"/>
      <c r="AJ300" s="428"/>
      <c r="AK300" s="428"/>
      <c r="AL300" s="428"/>
      <c r="AM300" s="428"/>
      <c r="AN300" s="428"/>
      <c r="AO300" s="428"/>
      <c r="AP300" s="428"/>
      <c r="AQ300" s="428"/>
      <c r="AR300" s="428"/>
      <c r="AS300" s="428"/>
      <c r="AT300" s="428"/>
      <c r="AU300" s="428"/>
      <c r="AV300" s="428"/>
      <c r="AW300" s="428"/>
      <c r="AX300" s="428"/>
      <c r="AY300" s="428"/>
      <c r="AZ300" s="428"/>
      <c r="BA300" s="428"/>
      <c r="BB300" s="428"/>
      <c r="BC300" s="428"/>
      <c r="BD300" s="428"/>
      <c r="BE300" s="428"/>
    </row>
    <row r="301" spans="1:93" s="289" customFormat="1" ht="13" x14ac:dyDescent="0.3">
      <c r="A301" s="537" t="str">
        <f>Language!C227</f>
        <v>Dados</v>
      </c>
      <c r="B301" s="538"/>
      <c r="C301" s="538"/>
      <c r="D301" s="538"/>
      <c r="E301" s="538"/>
      <c r="F301" s="539"/>
      <c r="G301" s="538"/>
      <c r="H301" s="538"/>
      <c r="I301" s="538"/>
      <c r="J301" s="539"/>
      <c r="K301" s="538"/>
      <c r="L301" s="538"/>
      <c r="M301" s="538"/>
      <c r="N301" s="539"/>
      <c r="O301" s="538"/>
      <c r="P301" s="538"/>
      <c r="Q301" s="538"/>
      <c r="R301" s="539"/>
      <c r="S301" s="538"/>
      <c r="T301" s="538"/>
      <c r="U301" s="538"/>
      <c r="V301" s="538"/>
      <c r="W301" s="540"/>
      <c r="X301" s="541"/>
      <c r="Y301" s="542"/>
      <c r="Z301" s="540"/>
      <c r="AA301" s="538"/>
      <c r="AB301" s="538"/>
      <c r="AC301" s="540"/>
      <c r="AD301" s="540"/>
      <c r="AE301" s="541"/>
      <c r="AF301" s="540"/>
      <c r="AG301" s="540"/>
      <c r="AH301" s="538"/>
      <c r="AI301" s="538"/>
      <c r="AJ301" s="540"/>
      <c r="AK301" s="540"/>
      <c r="AL301" s="541"/>
      <c r="AM301" s="540"/>
      <c r="AN301" s="540"/>
      <c r="AO301" s="540"/>
      <c r="AP301" s="540"/>
      <c r="AQ301" s="540"/>
      <c r="AR301" s="540"/>
      <c r="AS301" s="541"/>
      <c r="AT301" s="540"/>
      <c r="AU301" s="540"/>
      <c r="AV301" s="540"/>
      <c r="AW301" s="540"/>
      <c r="AX301" s="540"/>
      <c r="AY301" s="540"/>
      <c r="AZ301" s="540"/>
      <c r="BA301" s="540"/>
      <c r="BB301" s="540"/>
      <c r="BC301" s="540"/>
      <c r="BD301" s="540"/>
      <c r="BE301" s="540"/>
      <c r="BF301" s="540"/>
      <c r="BG301" s="540"/>
      <c r="BH301" s="540"/>
      <c r="BI301" s="540"/>
      <c r="BJ301" s="540"/>
      <c r="BK301" s="540"/>
      <c r="BL301" s="540"/>
      <c r="BM301" s="540"/>
      <c r="BN301" s="540"/>
      <c r="BO301" s="540"/>
      <c r="BP301" s="540"/>
      <c r="BQ301" s="540"/>
      <c r="BR301" s="540"/>
      <c r="BS301" s="540"/>
      <c r="BT301" s="540"/>
      <c r="BU301" s="540"/>
      <c r="BV301" s="540"/>
      <c r="BW301" s="540"/>
      <c r="BX301" s="540"/>
      <c r="BY301" s="540"/>
      <c r="BZ301" s="540"/>
      <c r="CA301" s="540"/>
      <c r="CB301" s="540"/>
      <c r="CC301" s="540"/>
      <c r="CD301" s="540"/>
      <c r="CE301" s="540"/>
      <c r="CF301" s="540"/>
      <c r="CG301" s="540"/>
      <c r="CH301" s="540"/>
      <c r="CI301" s="540"/>
      <c r="CJ301" s="540"/>
      <c r="CK301" s="540"/>
      <c r="CL301" s="540"/>
      <c r="CM301" s="540"/>
      <c r="CN301" s="540"/>
      <c r="CO301" s="540"/>
    </row>
    <row r="302" spans="1:93" s="289" customFormat="1" ht="13" x14ac:dyDescent="0.3">
      <c r="A302" s="525" t="s">
        <v>682</v>
      </c>
      <c r="B302" s="526"/>
      <c r="C302" s="526"/>
      <c r="D302" s="526"/>
      <c r="E302" s="526"/>
      <c r="F302" s="527"/>
      <c r="G302" s="526"/>
      <c r="H302" s="526"/>
      <c r="I302" s="526"/>
      <c r="J302" s="527"/>
      <c r="K302" s="526"/>
      <c r="L302" s="526"/>
      <c r="M302" s="526"/>
      <c r="N302" s="527"/>
      <c r="O302" s="526"/>
      <c r="P302" s="526"/>
      <c r="Q302" s="526"/>
      <c r="R302" s="527"/>
      <c r="S302" s="526"/>
      <c r="T302" s="528"/>
      <c r="U302" s="528"/>
      <c r="V302" s="528"/>
      <c r="W302" s="528"/>
      <c r="X302" s="529"/>
      <c r="Y302" s="530"/>
      <c r="Z302" s="528"/>
      <c r="AA302" s="528"/>
      <c r="AB302" s="528"/>
      <c r="AC302" s="528"/>
      <c r="AD302" s="528"/>
      <c r="AE302" s="529"/>
      <c r="AF302" s="528">
        <f>AF303-AF304</f>
        <v>34225</v>
      </c>
      <c r="AG302" s="528">
        <f t="shared" ref="AG302:AR302" si="1744">AG303-AG304</f>
        <v>34869.639500000005</v>
      </c>
      <c r="AH302" s="528">
        <f t="shared" si="1744"/>
        <v>37124</v>
      </c>
      <c r="AI302" s="528">
        <f t="shared" si="1744"/>
        <v>38011.127722222227</v>
      </c>
      <c r="AJ302" s="528">
        <f t="shared" si="1744"/>
        <v>69094.63949999999</v>
      </c>
      <c r="AK302" s="528">
        <f t="shared" si="1744"/>
        <v>106218.63949999999</v>
      </c>
      <c r="AL302" s="528">
        <f t="shared" si="1744"/>
        <v>142825.63949999999</v>
      </c>
      <c r="AM302" s="528">
        <f t="shared" si="1744"/>
        <v>34072</v>
      </c>
      <c r="AN302" s="528">
        <f t="shared" si="1744"/>
        <v>32990.903000000006</v>
      </c>
      <c r="AO302" s="528">
        <f t="shared" si="1744"/>
        <v>37182.858019770967</v>
      </c>
      <c r="AP302" s="528">
        <f t="shared" ref="AP302" si="1745">AP303-AP304</f>
        <v>35692.096547619047</v>
      </c>
      <c r="AQ302" s="528">
        <f t="shared" si="1744"/>
        <v>67062.903000000006</v>
      </c>
      <c r="AR302" s="528">
        <f t="shared" si="1744"/>
        <v>104245.76101977097</v>
      </c>
      <c r="AS302" s="528">
        <f t="shared" ref="AS302:AT302" si="1746">AS303-AS304</f>
        <v>139937.85756739002</v>
      </c>
      <c r="AT302" s="528">
        <f t="shared" si="1746"/>
        <v>33168.278499999993</v>
      </c>
      <c r="AU302" s="528">
        <f t="shared" ref="AU302:AX302" si="1747">AU303-AU304</f>
        <v>33973.291090909093</v>
      </c>
      <c r="AV302" s="528">
        <f t="shared" ref="AV302:AY302" si="1748">AV303-AV304</f>
        <v>37911.032500000001</v>
      </c>
      <c r="AW302" s="528">
        <f t="shared" si="1747"/>
        <v>38064.491991525443</v>
      </c>
      <c r="AX302" s="528">
        <f t="shared" si="1747"/>
        <v>67141.569590909086</v>
      </c>
      <c r="AY302" s="509">
        <f t="shared" si="1748"/>
        <v>105052.60209090909</v>
      </c>
      <c r="AZ302" s="509">
        <f t="shared" ref="AZ302:BA302" si="1749">AZ303-AZ304</f>
        <v>143117.09408243455</v>
      </c>
      <c r="BA302" s="528">
        <f t="shared" si="1749"/>
        <v>34521.491999999998</v>
      </c>
      <c r="BB302" s="528">
        <f t="shared" ref="BB302:BC302" si="1750">BB303-BB304</f>
        <v>64664.311319499342</v>
      </c>
      <c r="BC302" s="528">
        <f t="shared" si="1750"/>
        <v>37836.746527223237</v>
      </c>
      <c r="BD302" s="528">
        <f t="shared" ref="BD302" si="1751">BD303-BD304</f>
        <v>39844.470695353302</v>
      </c>
      <c r="BE302" s="528">
        <f t="shared" ref="BE302:BF302" si="1752">BE303-BE304</f>
        <v>64664.311319499342</v>
      </c>
      <c r="BF302" s="509">
        <f t="shared" si="1752"/>
        <v>102501.05784672259</v>
      </c>
      <c r="BG302" s="509">
        <f t="shared" ref="BG302:BH302" si="1753">BG303-BG304</f>
        <v>142345.52854207589</v>
      </c>
      <c r="BH302" s="509" t="e">
        <f t="shared" si="1753"/>
        <v>#REF!</v>
      </c>
      <c r="BI302" s="509" t="e">
        <f t="shared" ref="BI302:BL302" si="1754">BI303-BI304</f>
        <v>#REF!</v>
      </c>
      <c r="BJ302" s="509">
        <f t="shared" si="1754"/>
        <v>40064.130650000006</v>
      </c>
      <c r="BK302" s="509">
        <f t="shared" si="1754"/>
        <v>38256.688749999987</v>
      </c>
      <c r="BL302" s="509">
        <f t="shared" si="1754"/>
        <v>72917.340237012977</v>
      </c>
      <c r="BM302" s="509">
        <f t="shared" ref="BM302:BN302" si="1755">BM303-BM304</f>
        <v>112981.47088701298</v>
      </c>
      <c r="BN302" s="509">
        <f t="shared" si="1755"/>
        <v>151238.15963701298</v>
      </c>
      <c r="BO302" s="509">
        <f t="shared" ref="BO302:BS302" si="1756">BO303-BO304</f>
        <v>33283.705966412905</v>
      </c>
      <c r="BP302" s="509">
        <f t="shared" si="1756"/>
        <v>34604.690803527636</v>
      </c>
      <c r="BQ302" s="509">
        <f t="shared" si="1756"/>
        <v>36561.528999999995</v>
      </c>
      <c r="BR302" s="509">
        <f t="shared" si="1756"/>
        <v>35222.356107539672</v>
      </c>
      <c r="BS302" s="509">
        <f t="shared" si="1756"/>
        <v>67888.396769940533</v>
      </c>
      <c r="BT302" s="509">
        <f t="shared" ref="BT302:BU302" si="1757">BT303-BT304</f>
        <v>104449.92576994053</v>
      </c>
      <c r="BU302" s="509">
        <f t="shared" si="1757"/>
        <v>139672.28187748019</v>
      </c>
      <c r="BV302" s="509">
        <f t="shared" ref="BV302" si="1758">BV303-BV304</f>
        <v>34054.114499999996</v>
      </c>
      <c r="BW302" s="509">
        <f t="shared" ref="BW302:BZ302" si="1759">BW303-BW304</f>
        <v>34968.425562698409</v>
      </c>
      <c r="BX302" s="509">
        <f t="shared" si="1759"/>
        <v>37910.899537301586</v>
      </c>
      <c r="BY302" s="509">
        <f t="shared" si="1759"/>
        <v>36712.781021587296</v>
      </c>
      <c r="BZ302" s="509">
        <f t="shared" si="1759"/>
        <v>69022.540062698405</v>
      </c>
      <c r="CA302" s="509">
        <f t="shared" ref="CA302:CB302" si="1760">CA303-CA304</f>
        <v>106933.4396</v>
      </c>
      <c r="CB302" s="509">
        <f t="shared" si="1760"/>
        <v>143646.2206215873</v>
      </c>
      <c r="CC302" s="509">
        <f t="shared" ref="CC302:CD302" si="1761">CC303-CC304</f>
        <v>34796.148999999998</v>
      </c>
      <c r="CD302" s="509">
        <f t="shared" si="1761"/>
        <v>23303.713400000001</v>
      </c>
      <c r="CE302" s="509">
        <f t="shared" ref="CE302:CG302" si="1762">CE303-CE304</f>
        <v>51284.971699999995</v>
      </c>
      <c r="CF302" s="509">
        <f t="shared" si="1762"/>
        <v>0</v>
      </c>
      <c r="CG302" s="509">
        <f t="shared" si="1762"/>
        <v>58099.862399999998</v>
      </c>
      <c r="CH302" s="509">
        <f t="shared" ref="CH302:CI302" si="1763">CH303-CH304</f>
        <v>109384.83409999998</v>
      </c>
      <c r="CI302" s="509">
        <f t="shared" si="1763"/>
        <v>146448.05559999999</v>
      </c>
      <c r="CJ302" s="509">
        <v>34965.761599999998</v>
      </c>
      <c r="CK302" s="509">
        <f t="shared" ref="CK302" si="1764">CK303-CK304</f>
        <v>24606.616900000005</v>
      </c>
      <c r="CL302" s="509">
        <f t="shared" ref="CL302:CO302" si="1765">CL303-CL304</f>
        <v>0</v>
      </c>
      <c r="CM302" s="509">
        <f t="shared" si="1765"/>
        <v>0</v>
      </c>
      <c r="CN302" s="509">
        <f t="shared" si="1765"/>
        <v>59572.378500000006</v>
      </c>
      <c r="CO302" s="509">
        <f t="shared" si="1765"/>
        <v>0</v>
      </c>
    </row>
    <row r="303" spans="1:93" s="289" customFormat="1" ht="13" x14ac:dyDescent="0.3">
      <c r="A303" s="435" t="str">
        <f>Language!C228</f>
        <v>Volumes de Tráfego (000 veículos equivalentes)</v>
      </c>
      <c r="B303" s="436">
        <f t="shared" ref="B303:O303" si="1766">SUM(B304,B305,B306,B307,B308)</f>
        <v>19792.911</v>
      </c>
      <c r="C303" s="436">
        <f t="shared" si="1766"/>
        <v>17970.089</v>
      </c>
      <c r="D303" s="436">
        <f t="shared" si="1766"/>
        <v>18823</v>
      </c>
      <c r="E303" s="436">
        <f t="shared" si="1766"/>
        <v>20354</v>
      </c>
      <c r="F303" s="437">
        <f t="shared" si="1766"/>
        <v>21290.019</v>
      </c>
      <c r="G303" s="436">
        <f t="shared" si="1766"/>
        <v>18900.2045</v>
      </c>
      <c r="H303" s="436">
        <f t="shared" si="1766"/>
        <v>20154.171499999997</v>
      </c>
      <c r="I303" s="436">
        <f t="shared" si="1766"/>
        <v>21651.773500000003</v>
      </c>
      <c r="J303" s="437">
        <f t="shared" si="1766"/>
        <v>21972.0285</v>
      </c>
      <c r="K303" s="436">
        <f t="shared" si="1766"/>
        <v>19958.1855</v>
      </c>
      <c r="L303" s="436">
        <f t="shared" si="1766"/>
        <v>21312.879000000001</v>
      </c>
      <c r="M303" s="436">
        <f t="shared" si="1766"/>
        <v>22785.966</v>
      </c>
      <c r="N303" s="437">
        <f t="shared" si="1766"/>
        <v>29011.889807453415</v>
      </c>
      <c r="O303" s="436">
        <f t="shared" si="1766"/>
        <v>26780.69489037267</v>
      </c>
      <c r="P303" s="436">
        <f t="shared" ref="P303:W303" si="1767">SUM(P304,P305,P306,P307,P308)</f>
        <v>27260.559542701863</v>
      </c>
      <c r="Q303" s="436">
        <f t="shared" si="1767"/>
        <v>28720.634972049687</v>
      </c>
      <c r="R303" s="437">
        <f t="shared" si="1767"/>
        <v>27561.455835403729</v>
      </c>
      <c r="S303" s="436">
        <f t="shared" si="1767"/>
        <v>25449.801461809635</v>
      </c>
      <c r="T303" s="647">
        <f t="shared" si="1767"/>
        <v>47046.670642857142</v>
      </c>
      <c r="U303" s="647">
        <f t="shared" ref="U303:V303" si="1768">SUM(U304,U305,U306,U307,U308)</f>
        <v>47612.790222222226</v>
      </c>
      <c r="V303" s="647">
        <f t="shared" si="1768"/>
        <v>53011.257297213364</v>
      </c>
      <c r="W303" s="647">
        <f t="shared" si="1767"/>
        <v>100057.92794007051</v>
      </c>
      <c r="X303" s="648">
        <f>SUM(X304,X305,X306,X307,X308)</f>
        <v>147670.71816229273</v>
      </c>
      <c r="Y303" s="649">
        <f>SUM(Y304,Y305,Y306,Y307,Y308)</f>
        <v>46246.778824561399</v>
      </c>
      <c r="Z303" s="647">
        <f>SUM(Z304,Z305,Z306,Z307,Z308)</f>
        <v>43711.335760233917</v>
      </c>
      <c r="AA303" s="647">
        <f t="shared" ref="AA303:AB303" si="1769">SUM(AA304,AA305,AA306,AA307,AA308)</f>
        <v>45309.097999999998</v>
      </c>
      <c r="AB303" s="647">
        <f t="shared" si="1769"/>
        <v>47612.790222222226</v>
      </c>
      <c r="AC303" s="647">
        <f t="shared" ref="AC303:AJ303" si="1770">SUM(AC304,AC305,AC306,AC307,AC308)</f>
        <v>89958.11458479533</v>
      </c>
      <c r="AD303" s="647">
        <f t="shared" si="1770"/>
        <v>135267.21258479531</v>
      </c>
      <c r="AE303" s="648">
        <f t="shared" si="1770"/>
        <v>180833</v>
      </c>
      <c r="AF303" s="647">
        <f t="shared" si="1770"/>
        <v>45021</v>
      </c>
      <c r="AG303" s="647">
        <f t="shared" si="1770"/>
        <v>42894.025000000001</v>
      </c>
      <c r="AH303" s="647">
        <f t="shared" si="1770"/>
        <v>46267</v>
      </c>
      <c r="AI303" s="647">
        <f t="shared" si="1770"/>
        <v>47612.790222222226</v>
      </c>
      <c r="AJ303" s="647">
        <f t="shared" si="1770"/>
        <v>87915.024999999994</v>
      </c>
      <c r="AK303" s="647">
        <f t="shared" ref="AK303" si="1771">SUM(AK304,AK305,AK306,AK307,AK308)</f>
        <v>134182.02499999999</v>
      </c>
      <c r="AL303" s="648">
        <f t="shared" ref="AL303" si="1772">SUM(AL304,AL305,AL306,AL307,AL308)</f>
        <v>181202.02499999999</v>
      </c>
      <c r="AM303" s="647">
        <f t="shared" ref="AM303:AQ303" si="1773">SUM(AM304,AM305,AM306,AM307,AM308)</f>
        <v>45893</v>
      </c>
      <c r="AN303" s="647">
        <f t="shared" ref="AN303:AN308" si="1774">AQ303-AM303</f>
        <v>41655.679600000003</v>
      </c>
      <c r="AO303" s="647">
        <f>AR303-AQ303</f>
        <v>37420.169519770963</v>
      </c>
      <c r="AP303" s="647">
        <f>AS303-AR303</f>
        <v>35692.096547619047</v>
      </c>
      <c r="AQ303" s="647">
        <f t="shared" si="1773"/>
        <v>87548.679600000003</v>
      </c>
      <c r="AR303" s="647">
        <f t="shared" ref="AR303:AS303" si="1775">SUM(AR304,AR305,AR306,AR307,AR308)</f>
        <v>124968.84911977097</v>
      </c>
      <c r="AS303" s="648">
        <f t="shared" si="1775"/>
        <v>160660.94566739001</v>
      </c>
      <c r="AT303" s="647">
        <f t="shared" ref="AT303" si="1776">SUM(AT304,AT305,AT306,AT307,AT308)</f>
        <v>33168.278499999993</v>
      </c>
      <c r="AU303" s="647">
        <f t="shared" ref="AU303:AX303" si="1777">SUM(AU304,AU305,AU306,AU307,AU308)</f>
        <v>33973.291090909093</v>
      </c>
      <c r="AV303" s="647">
        <f t="shared" ref="AV303:AY303" si="1778">SUM(AV304,AV305,AV306,AV307,AV308)</f>
        <v>37911.032500000001</v>
      </c>
      <c r="AW303" s="647">
        <f t="shared" si="1777"/>
        <v>38064.491991525443</v>
      </c>
      <c r="AX303" s="647">
        <f t="shared" si="1777"/>
        <v>67141.569590909086</v>
      </c>
      <c r="AY303" s="647">
        <f t="shared" si="1778"/>
        <v>105052.60209090909</v>
      </c>
      <c r="AZ303" s="647">
        <f t="shared" ref="AZ303:BA303" si="1779">SUM(AZ304,AZ305,AZ306,AZ307,AZ308)</f>
        <v>143117.09408243455</v>
      </c>
      <c r="BA303" s="647">
        <f t="shared" si="1779"/>
        <v>34521.491999999998</v>
      </c>
      <c r="BB303" s="647">
        <f t="shared" ref="BB303:BC303" si="1780">SUM(BB304,BB305,BB306,BB307,BB308)</f>
        <v>64664.311319499342</v>
      </c>
      <c r="BC303" s="647">
        <f t="shared" si="1780"/>
        <v>37836.746527223237</v>
      </c>
      <c r="BD303" s="647">
        <f t="shared" ref="BD303" si="1781">SUM(BD304,BD305,BD306,BD307,BD308)</f>
        <v>39844.470695353302</v>
      </c>
      <c r="BE303" s="647">
        <f t="shared" ref="BE303:BF303" si="1782">SUM(BE304,BE305,BE306,BE307,BE308)</f>
        <v>64664.311319499342</v>
      </c>
      <c r="BF303" s="647">
        <f t="shared" si="1782"/>
        <v>102501.05784672259</v>
      </c>
      <c r="BG303" s="647">
        <f t="shared" ref="BG303:BH303" si="1783">SUM(BG304,BG305,BG306,BG307,BG308)</f>
        <v>142345.52854207589</v>
      </c>
      <c r="BH303" s="647" t="e">
        <f t="shared" si="1783"/>
        <v>#REF!</v>
      </c>
      <c r="BI303" s="647" t="e">
        <f t="shared" ref="BI303:BL303" si="1784">SUM(BI304,BI305,BI306,BI307,BI308)</f>
        <v>#REF!</v>
      </c>
      <c r="BJ303" s="647">
        <f t="shared" si="1784"/>
        <v>40064.130650000006</v>
      </c>
      <c r="BK303" s="647">
        <f t="shared" si="1784"/>
        <v>38256.688749999987</v>
      </c>
      <c r="BL303" s="647">
        <f t="shared" si="1784"/>
        <v>72917.340237012977</v>
      </c>
      <c r="BM303" s="647">
        <f t="shared" ref="BM303:BN303" si="1785">SUM(BM304,BM305,BM306,BM307,BM308)</f>
        <v>112981.47088701298</v>
      </c>
      <c r="BN303" s="647">
        <f t="shared" si="1785"/>
        <v>151238.15963701298</v>
      </c>
      <c r="BO303" s="647">
        <f t="shared" ref="BO303:BS303" si="1786">SUM(BO304,BO305,BO306,BO307,BO308)</f>
        <v>33283.705966412905</v>
      </c>
      <c r="BP303" s="647">
        <f t="shared" si="1786"/>
        <v>34604.690803527636</v>
      </c>
      <c r="BQ303" s="647">
        <f t="shared" si="1786"/>
        <v>36561.528999999995</v>
      </c>
      <c r="BR303" s="647">
        <f t="shared" si="1786"/>
        <v>35222.356107539672</v>
      </c>
      <c r="BS303" s="647">
        <f t="shared" si="1786"/>
        <v>67888.396769940533</v>
      </c>
      <c r="BT303" s="647">
        <f t="shared" ref="BT303:BU303" si="1787">SUM(BT304,BT305,BT306,BT307,BT308)</f>
        <v>104449.92576994053</v>
      </c>
      <c r="BU303" s="647">
        <f t="shared" si="1787"/>
        <v>139672.28187748019</v>
      </c>
      <c r="BV303" s="647">
        <f t="shared" ref="BV303" si="1788">SUM(BV304,BV305,BV306,BV307,BV308)</f>
        <v>34054.114499999996</v>
      </c>
      <c r="BW303" s="647">
        <f t="shared" ref="BW303:BZ303" si="1789">SUM(BW304,BW305,BW306,BW307,BW308)</f>
        <v>34968.425562698409</v>
      </c>
      <c r="BX303" s="647">
        <f t="shared" si="1789"/>
        <v>37910.899537301586</v>
      </c>
      <c r="BY303" s="647">
        <f t="shared" si="1789"/>
        <v>36712.781021587296</v>
      </c>
      <c r="BZ303" s="647">
        <f t="shared" si="1789"/>
        <v>69022.540062698405</v>
      </c>
      <c r="CA303" s="647">
        <f t="shared" ref="CA303:CB303" si="1790">SUM(CA304,CA305,CA306,CA307,CA308)</f>
        <v>106933.4396</v>
      </c>
      <c r="CB303" s="647">
        <f t="shared" si="1790"/>
        <v>143646.2206215873</v>
      </c>
      <c r="CC303" s="647">
        <f t="shared" ref="CC303:CD303" si="1791">SUM(CC304,CC305,CC306,CC307,CC308)</f>
        <v>34796.148999999998</v>
      </c>
      <c r="CD303" s="647">
        <f t="shared" si="1791"/>
        <v>23303.713400000001</v>
      </c>
      <c r="CE303" s="647">
        <f t="shared" ref="CE303:CG303" si="1792">SUM(CE304,CE305,CE306,CE307,CE308)</f>
        <v>51284.971699999995</v>
      </c>
      <c r="CF303" s="647">
        <f t="shared" si="1792"/>
        <v>0</v>
      </c>
      <c r="CG303" s="647">
        <f t="shared" si="1792"/>
        <v>58099.862399999998</v>
      </c>
      <c r="CH303" s="647">
        <f t="shared" ref="CH303:CI303" si="1793">SUM(CH304,CH305,CH306,CH307,CH308)</f>
        <v>109384.83409999998</v>
      </c>
      <c r="CI303" s="647">
        <f t="shared" si="1793"/>
        <v>146448.05559999999</v>
      </c>
      <c r="CJ303" s="647">
        <v>34965.761599999998</v>
      </c>
      <c r="CK303" s="647">
        <f t="shared" ref="CK303" si="1794">SUM(CK304,CK305,CK306,CK307,CK308)</f>
        <v>24606.616900000005</v>
      </c>
      <c r="CL303" s="647">
        <f t="shared" ref="CL303:CO303" si="1795">SUM(CL304,CL305,CL306,CL307,CL308)</f>
        <v>0</v>
      </c>
      <c r="CM303" s="647">
        <f t="shared" si="1795"/>
        <v>0</v>
      </c>
      <c r="CN303" s="647">
        <f t="shared" si="1795"/>
        <v>59572.378500000006</v>
      </c>
      <c r="CO303" s="647">
        <f t="shared" si="1795"/>
        <v>0</v>
      </c>
    </row>
    <row r="304" spans="1:93" s="289" customFormat="1" x14ac:dyDescent="0.25">
      <c r="A304" s="455" t="str">
        <f>Language!C229</f>
        <v>Concepa</v>
      </c>
      <c r="B304" s="280">
        <v>9263.3284999999996</v>
      </c>
      <c r="C304" s="280">
        <v>7266.6714999999995</v>
      </c>
      <c r="D304" s="280">
        <v>7494</v>
      </c>
      <c r="E304" s="280">
        <v>8877</v>
      </c>
      <c r="F304" s="279">
        <v>9993.8975000000009</v>
      </c>
      <c r="G304" s="280">
        <v>7801.9364999999989</v>
      </c>
      <c r="H304" s="280">
        <v>8220.4219999999987</v>
      </c>
      <c r="I304" s="280">
        <v>9539.5875000000015</v>
      </c>
      <c r="J304" s="279">
        <v>10400.333999999999</v>
      </c>
      <c r="K304" s="280">
        <v>8408.7095000000008</v>
      </c>
      <c r="L304" s="280">
        <v>8852.0280000000002</v>
      </c>
      <c r="M304" s="280">
        <v>10285.646000000001</v>
      </c>
      <c r="N304" s="279">
        <v>11087.084999999999</v>
      </c>
      <c r="O304" s="280">
        <v>8753.3234999999986</v>
      </c>
      <c r="P304" s="280">
        <v>9306.3379999999997</v>
      </c>
      <c r="Q304" s="280">
        <v>10543.139499999999</v>
      </c>
      <c r="R304" s="279">
        <v>11052.321</v>
      </c>
      <c r="S304" s="280">
        <v>8507.43</v>
      </c>
      <c r="T304" s="281">
        <v>8604.0535</v>
      </c>
      <c r="U304" s="281">
        <v>9601.6625000000004</v>
      </c>
      <c r="V304" s="281">
        <f>R304+S304</f>
        <v>19559.751</v>
      </c>
      <c r="W304" s="281">
        <f>V304+T304</f>
        <v>28163.804499999998</v>
      </c>
      <c r="X304" s="505">
        <f>W304+U304</f>
        <v>37765.466999999997</v>
      </c>
      <c r="Y304" s="506">
        <v>10772.484499999999</v>
      </c>
      <c r="Z304" s="302">
        <f>AC304-Y304</f>
        <v>7888.3539999999994</v>
      </c>
      <c r="AA304" s="281">
        <f t="shared" ref="AA304:AA308" si="1796">AD304-Z304-Y304</f>
        <v>8279.382999999998</v>
      </c>
      <c r="AB304" s="281">
        <v>9601.6625000000004</v>
      </c>
      <c r="AC304" s="302">
        <v>18660.838499999998</v>
      </c>
      <c r="AD304" s="302">
        <v>26940.221499999996</v>
      </c>
      <c r="AE304" s="505">
        <v>36192</v>
      </c>
      <c r="AF304" s="302">
        <v>10796</v>
      </c>
      <c r="AG304" s="302">
        <f>AJ304-AF304</f>
        <v>8024.3855000000003</v>
      </c>
      <c r="AH304" s="281">
        <f t="shared" ref="AH304:AH308" si="1797">AK304-AG304-AF304</f>
        <v>9143</v>
      </c>
      <c r="AI304" s="281">
        <v>9601.6625000000004</v>
      </c>
      <c r="AJ304" s="302">
        <v>18820.3855</v>
      </c>
      <c r="AK304" s="302">
        <v>27963.3855</v>
      </c>
      <c r="AL304" s="505">
        <v>38376.385500000004</v>
      </c>
      <c r="AM304" s="302">
        <v>11821</v>
      </c>
      <c r="AN304" s="302">
        <f t="shared" si="1774"/>
        <v>8664.7765999999974</v>
      </c>
      <c r="AO304" s="302">
        <f t="shared" ref="AO304:AP308" si="1798">AR304-AQ304</f>
        <v>237.3114999999998</v>
      </c>
      <c r="AP304" s="302">
        <f t="shared" si="1798"/>
        <v>0</v>
      </c>
      <c r="AQ304" s="302">
        <v>20485.776599999997</v>
      </c>
      <c r="AR304" s="302">
        <v>20723.088099999997</v>
      </c>
      <c r="AS304" s="505">
        <v>20723.088099999997</v>
      </c>
      <c r="AT304" s="302"/>
      <c r="AU304" s="302"/>
      <c r="AV304" s="302"/>
      <c r="AW304" s="302"/>
      <c r="AX304" s="302">
        <v>0</v>
      </c>
      <c r="AY304" s="302">
        <v>0</v>
      </c>
      <c r="AZ304" s="302"/>
      <c r="BA304" s="302"/>
      <c r="BB304" s="302"/>
      <c r="BC304" s="302"/>
      <c r="BD304" s="302"/>
      <c r="BE304" s="302"/>
      <c r="BF304" s="302"/>
      <c r="BG304" s="302"/>
      <c r="BH304" s="302"/>
      <c r="BI304" s="302"/>
      <c r="BJ304" s="302"/>
      <c r="BK304" s="302"/>
      <c r="BL304" s="302"/>
      <c r="BM304" s="302"/>
      <c r="BN304" s="302"/>
      <c r="BO304" s="302"/>
      <c r="BP304" s="302"/>
      <c r="BQ304" s="302"/>
      <c r="BR304" s="302"/>
      <c r="BS304" s="302"/>
      <c r="BT304" s="302"/>
      <c r="BU304" s="302"/>
      <c r="BV304" s="302"/>
      <c r="BW304" s="302"/>
      <c r="BX304" s="302"/>
      <c r="BY304" s="302"/>
      <c r="BZ304" s="302"/>
      <c r="CA304" s="302"/>
      <c r="CB304" s="302"/>
      <c r="CC304" s="302"/>
      <c r="CD304" s="302"/>
      <c r="CE304" s="302"/>
      <c r="CF304" s="302"/>
      <c r="CG304" s="302"/>
      <c r="CH304" s="302"/>
      <c r="CI304" s="302"/>
      <c r="CJ304" s="302"/>
      <c r="CK304" s="302"/>
      <c r="CL304" s="302"/>
      <c r="CM304" s="302"/>
      <c r="CN304" s="302"/>
      <c r="CO304" s="302"/>
    </row>
    <row r="305" spans="1:93" s="289" customFormat="1" x14ac:dyDescent="0.25">
      <c r="A305" s="455" t="str">
        <f>Language!C230</f>
        <v>Concer</v>
      </c>
      <c r="B305" s="280">
        <v>7090.5825000000004</v>
      </c>
      <c r="C305" s="280">
        <v>7140.4174999999996</v>
      </c>
      <c r="D305" s="280">
        <v>7561</v>
      </c>
      <c r="E305" s="280">
        <v>7668</v>
      </c>
      <c r="F305" s="279">
        <v>7686.1215000000002</v>
      </c>
      <c r="G305" s="280">
        <v>7502.2679999999991</v>
      </c>
      <c r="H305" s="280">
        <v>7955.749499999999</v>
      </c>
      <c r="I305" s="280">
        <v>8096.1860000000033</v>
      </c>
      <c r="J305" s="279">
        <v>7757.6945000000005</v>
      </c>
      <c r="K305" s="280">
        <v>7755.4760000000006</v>
      </c>
      <c r="L305" s="280">
        <v>8400.8510000000006</v>
      </c>
      <c r="M305" s="280">
        <v>8359.32</v>
      </c>
      <c r="N305" s="279">
        <v>7727.8349999999991</v>
      </c>
      <c r="O305" s="280">
        <v>7688.7753499999999</v>
      </c>
      <c r="P305" s="280">
        <v>7202.6658750000006</v>
      </c>
      <c r="Q305" s="280">
        <v>7262.0254999999997</v>
      </c>
      <c r="R305" s="279">
        <v>6775.393</v>
      </c>
      <c r="S305" s="280">
        <v>6517.3450000000003</v>
      </c>
      <c r="T305" s="281">
        <v>6522.5474999999997</v>
      </c>
      <c r="U305" s="281">
        <v>6421.4009999999998</v>
      </c>
      <c r="V305" s="281">
        <f t="shared" ref="V305:V308" si="1799">R305+S305</f>
        <v>13292.738000000001</v>
      </c>
      <c r="W305" s="281">
        <f t="shared" ref="W305:W308" si="1800">V305+T305</f>
        <v>19815.285500000002</v>
      </c>
      <c r="X305" s="505">
        <f t="shared" ref="X305:X308" si="1801">W305+U305</f>
        <v>26236.686500000003</v>
      </c>
      <c r="Y305" s="506">
        <v>6037.6195000000007</v>
      </c>
      <c r="Z305" s="302">
        <f>AC305-Y305</f>
        <v>5896.7749999999996</v>
      </c>
      <c r="AA305" s="281">
        <f t="shared" si="1796"/>
        <v>5925.4505000000008</v>
      </c>
      <c r="AB305" s="281">
        <v>6421.4009999999998</v>
      </c>
      <c r="AC305" s="302">
        <v>11934.3945</v>
      </c>
      <c r="AD305" s="302">
        <v>17859.845000000001</v>
      </c>
      <c r="AE305" s="505">
        <v>23753</v>
      </c>
      <c r="AF305" s="302">
        <v>5750</v>
      </c>
      <c r="AG305" s="302">
        <f>AJ305-AF305</f>
        <v>5543.067500000001</v>
      </c>
      <c r="AH305" s="281">
        <f t="shared" si="1797"/>
        <v>5783</v>
      </c>
      <c r="AI305" s="281">
        <v>6421.4009999999998</v>
      </c>
      <c r="AJ305" s="302">
        <v>11293.067500000001</v>
      </c>
      <c r="AK305" s="302">
        <v>17076.067500000001</v>
      </c>
      <c r="AL305" s="505">
        <v>22943.067500000001</v>
      </c>
      <c r="AM305" s="302">
        <v>5590</v>
      </c>
      <c r="AN305" s="302">
        <f t="shared" si="1774"/>
        <v>5254.3430000000008</v>
      </c>
      <c r="AO305" s="302">
        <f t="shared" si="1798"/>
        <v>5883.7665000000015</v>
      </c>
      <c r="AP305" s="302">
        <f t="shared" si="1798"/>
        <v>6066.0260000000017</v>
      </c>
      <c r="AQ305" s="302">
        <v>10844.343000000001</v>
      </c>
      <c r="AR305" s="302">
        <v>16728.109500000002</v>
      </c>
      <c r="AS305" s="505">
        <v>22794.135500000004</v>
      </c>
      <c r="AT305" s="302">
        <v>5858.3724999999995</v>
      </c>
      <c r="AU305" s="302">
        <f>AX305-AT305</f>
        <v>5725.4809999999979</v>
      </c>
      <c r="AV305" s="302">
        <f>AY305-AX305</f>
        <v>5926.1725000000006</v>
      </c>
      <c r="AW305" s="302">
        <f>AZ305-AY305</f>
        <v>6257.5280000000021</v>
      </c>
      <c r="AX305" s="302">
        <v>11583.853499999997</v>
      </c>
      <c r="AY305" s="302">
        <v>17510.025999999998</v>
      </c>
      <c r="AZ305" s="302">
        <v>23767.554</v>
      </c>
      <c r="BA305" s="302">
        <v>5550.7195000000002</v>
      </c>
      <c r="BB305" s="302">
        <f>BE305</f>
        <v>9378.3140000000003</v>
      </c>
      <c r="BC305" s="302">
        <f>BF305-BE305</f>
        <v>5474.3889999999992</v>
      </c>
      <c r="BD305" s="302">
        <f>BG305-BF305</f>
        <v>6036.5123139655207</v>
      </c>
      <c r="BE305" s="302">
        <v>9378.3140000000003</v>
      </c>
      <c r="BF305" s="302">
        <v>14852.703</v>
      </c>
      <c r="BG305" s="302">
        <v>20889.21531396552</v>
      </c>
      <c r="BH305" s="302" t="e">
        <f>#REF!</f>
        <v>#REF!</v>
      </c>
      <c r="BI305" s="302" t="e">
        <f>BL305-BH305</f>
        <v>#REF!</v>
      </c>
      <c r="BJ305" s="302">
        <f>BM305-BL305</f>
        <v>6006.6406500000012</v>
      </c>
      <c r="BK305" s="302">
        <f>BN305-BM305</f>
        <v>6190.1072499999973</v>
      </c>
      <c r="BL305" s="302">
        <v>10992.680349999999</v>
      </c>
      <c r="BM305" s="302">
        <v>16999.321</v>
      </c>
      <c r="BN305" s="302">
        <v>23189.428249999997</v>
      </c>
      <c r="BO305" s="302">
        <v>5744.5713586206894</v>
      </c>
      <c r="BP305" s="302">
        <f>BS305-BO305</f>
        <v>5858.4109035276415</v>
      </c>
      <c r="BQ305" s="302">
        <f>BT305-BS305</f>
        <v>6028.010400000001</v>
      </c>
      <c r="BR305" s="302">
        <f>BU305-BT305</f>
        <v>6133.9508075396807</v>
      </c>
      <c r="BS305" s="302">
        <v>11602.982262148331</v>
      </c>
      <c r="BT305" s="302">
        <v>17630.992662148332</v>
      </c>
      <c r="BU305" s="302">
        <v>23764.943469688013</v>
      </c>
      <c r="BV305" s="302">
        <v>6096.4544999999998</v>
      </c>
      <c r="BW305" s="302">
        <f>BZ305-BV305</f>
        <v>6092.6789626984119</v>
      </c>
      <c r="BX305" s="302">
        <f>CA305-BZ305</f>
        <v>6336.0095373015884</v>
      </c>
      <c r="BY305" s="302">
        <f>CB305-CA305</f>
        <v>6642.6783215873002</v>
      </c>
      <c r="BZ305" s="302">
        <v>12189.133462698412</v>
      </c>
      <c r="CA305" s="302">
        <v>18525.143</v>
      </c>
      <c r="CB305" s="302">
        <v>25167.8213215873</v>
      </c>
      <c r="CC305" s="302">
        <v>6282.0305000000008</v>
      </c>
      <c r="CD305" s="302">
        <f>CG305-CC305</f>
        <v>6319.5639999999985</v>
      </c>
      <c r="CE305" s="302">
        <f>CH305-CG305</f>
        <v>6664.5865000000013</v>
      </c>
      <c r="CF305" s="302"/>
      <c r="CG305" s="302">
        <v>12601.594499999999</v>
      </c>
      <c r="CH305" s="302">
        <v>19266.181</v>
      </c>
      <c r="CI305" s="302">
        <v>25906.845000000001</v>
      </c>
      <c r="CJ305" s="302">
        <v>6385.2434999999996</v>
      </c>
      <c r="CK305" s="302">
        <f>CN305-CJ305</f>
        <v>6378.2944999999991</v>
      </c>
      <c r="CL305" s="302"/>
      <c r="CM305" s="302"/>
      <c r="CN305" s="302">
        <v>12763.537999999999</v>
      </c>
      <c r="CO305" s="302"/>
    </row>
    <row r="306" spans="1:93" x14ac:dyDescent="0.25">
      <c r="A306" s="455" t="str">
        <f>Language!C231</f>
        <v>Econorte</v>
      </c>
      <c r="B306" s="280">
        <v>3439</v>
      </c>
      <c r="C306" s="280">
        <v>3563</v>
      </c>
      <c r="D306" s="280">
        <v>3768</v>
      </c>
      <c r="E306" s="280">
        <v>3809</v>
      </c>
      <c r="F306" s="279">
        <v>3610</v>
      </c>
      <c r="G306" s="280">
        <v>3596</v>
      </c>
      <c r="H306" s="280">
        <v>3978</v>
      </c>
      <c r="I306" s="280">
        <v>4016</v>
      </c>
      <c r="J306" s="279">
        <v>3814</v>
      </c>
      <c r="K306" s="280">
        <v>3794</v>
      </c>
      <c r="L306" s="280">
        <v>4060</v>
      </c>
      <c r="M306" s="280">
        <v>4141</v>
      </c>
      <c r="N306" s="279">
        <v>3609.9673074534157</v>
      </c>
      <c r="O306" s="280">
        <v>3572.041040372671</v>
      </c>
      <c r="P306" s="280">
        <v>3683.9431677018633</v>
      </c>
      <c r="Q306" s="280">
        <v>3778.9039720496894</v>
      </c>
      <c r="R306" s="279">
        <v>3455.3938354037264</v>
      </c>
      <c r="S306" s="280">
        <v>3386.4474347826085</v>
      </c>
      <c r="T306" s="281">
        <v>3585.5751428571425</v>
      </c>
      <c r="U306" s="281">
        <v>3645.7942222222223</v>
      </c>
      <c r="V306" s="281">
        <f t="shared" si="1799"/>
        <v>6841.8412701863344</v>
      </c>
      <c r="W306" s="281">
        <f t="shared" si="1800"/>
        <v>10427.416413043476</v>
      </c>
      <c r="X306" s="505">
        <f t="shared" si="1801"/>
        <v>14073.210635265699</v>
      </c>
      <c r="Y306" s="506">
        <v>3361.4833245614036</v>
      </c>
      <c r="Z306" s="302">
        <f>AC306-Y306</f>
        <v>3292.0917602339168</v>
      </c>
      <c r="AA306" s="281">
        <f t="shared" si="1796"/>
        <v>3361</v>
      </c>
      <c r="AB306" s="281">
        <v>3645.7942222222223</v>
      </c>
      <c r="AC306" s="302">
        <v>6653.5750847953204</v>
      </c>
      <c r="AD306" s="302">
        <v>10014.57508479532</v>
      </c>
      <c r="AE306" s="505">
        <v>13286</v>
      </c>
      <c r="AF306" s="302">
        <v>3041</v>
      </c>
      <c r="AG306" s="302">
        <f>AJ306-AF306</f>
        <v>3051</v>
      </c>
      <c r="AH306" s="281">
        <f t="shared" si="1797"/>
        <v>3324</v>
      </c>
      <c r="AI306" s="281">
        <v>3645.7942222222223</v>
      </c>
      <c r="AJ306" s="302">
        <v>6092</v>
      </c>
      <c r="AK306" s="302">
        <v>9416</v>
      </c>
      <c r="AL306" s="505">
        <v>12647</v>
      </c>
      <c r="AM306" s="302">
        <v>3015</v>
      </c>
      <c r="AN306" s="302">
        <f t="shared" si="1774"/>
        <v>2854</v>
      </c>
      <c r="AO306" s="302">
        <f t="shared" si="1798"/>
        <v>3135</v>
      </c>
      <c r="AP306" s="302">
        <f t="shared" si="1798"/>
        <v>2639</v>
      </c>
      <c r="AQ306" s="302">
        <v>5869</v>
      </c>
      <c r="AR306" s="302">
        <v>9004</v>
      </c>
      <c r="AS306" s="505">
        <v>11643</v>
      </c>
      <c r="AT306" s="302">
        <v>1734</v>
      </c>
      <c r="AU306" s="302">
        <f t="shared" ref="AU306:AU308" si="1802">AX306-AT306</f>
        <v>1830</v>
      </c>
      <c r="AV306" s="302">
        <f t="shared" ref="AV306:AW308" si="1803">AY306-AX306</f>
        <v>2874</v>
      </c>
      <c r="AW306" s="302">
        <f t="shared" si="1803"/>
        <v>3399</v>
      </c>
      <c r="AX306" s="302">
        <v>3564</v>
      </c>
      <c r="AY306" s="302">
        <v>6438</v>
      </c>
      <c r="AZ306" s="302">
        <v>9837</v>
      </c>
      <c r="BA306" s="302">
        <v>3114</v>
      </c>
      <c r="BB306" s="302">
        <f t="shared" ref="BB306:BB308" si="1804">BE306</f>
        <v>5700</v>
      </c>
      <c r="BC306" s="302">
        <f t="shared" ref="BC306:BC308" si="1805">BF306-BE306</f>
        <v>3226</v>
      </c>
      <c r="BD306" s="302">
        <f t="shared" ref="BD306:BD308" si="1806">BG306-BF306</f>
        <v>3446</v>
      </c>
      <c r="BE306" s="302">
        <v>5700</v>
      </c>
      <c r="BF306" s="302">
        <v>8926</v>
      </c>
      <c r="BG306" s="302">
        <v>12372</v>
      </c>
      <c r="BH306" s="302">
        <v>3030</v>
      </c>
      <c r="BI306" s="302">
        <f t="shared" ref="BI306:BI308" si="1807">BL306-BH306</f>
        <v>3050</v>
      </c>
      <c r="BJ306" s="302">
        <f t="shared" ref="BJ306:BJ308" si="1808">BM306-BL306</f>
        <v>3325</v>
      </c>
      <c r="BK306" s="302">
        <f t="shared" ref="BK306:BK308" si="1809">BN306-BM306</f>
        <v>2127</v>
      </c>
      <c r="BL306" s="302">
        <v>6080</v>
      </c>
      <c r="BM306" s="302">
        <v>9405</v>
      </c>
      <c r="BN306" s="302">
        <v>11532</v>
      </c>
      <c r="BO306" s="302">
        <v>0</v>
      </c>
      <c r="BP306" s="302">
        <f t="shared" ref="BP306:BP308" si="1810">BS306-BO306</f>
        <v>0</v>
      </c>
      <c r="BQ306" s="302">
        <f t="shared" ref="BQ306:BQ308" si="1811">BT306-BS306</f>
        <v>0</v>
      </c>
      <c r="BR306" s="302">
        <f t="shared" ref="BR306:BR308" si="1812">BU306-BT306</f>
        <v>0</v>
      </c>
      <c r="BS306" s="302">
        <v>0</v>
      </c>
      <c r="BT306" s="302">
        <v>0</v>
      </c>
      <c r="BU306" s="302">
        <v>0</v>
      </c>
      <c r="BV306" s="302">
        <v>0</v>
      </c>
      <c r="BW306" s="302">
        <f t="shared" ref="BW306:BW308" si="1813">BZ306-BV306</f>
        <v>0</v>
      </c>
      <c r="BX306" s="302">
        <f t="shared" ref="BX306:BX308" si="1814">CA306-BZ306</f>
        <v>0</v>
      </c>
      <c r="BY306" s="302">
        <f t="shared" ref="BY306:BY308" si="1815">CB306-CA306</f>
        <v>0</v>
      </c>
      <c r="BZ306" s="302">
        <v>0</v>
      </c>
      <c r="CA306" s="302">
        <v>0</v>
      </c>
      <c r="CB306" s="302">
        <v>0</v>
      </c>
      <c r="CC306" s="302">
        <v>0</v>
      </c>
      <c r="CD306" s="302">
        <f t="shared" ref="CD306:CD308" si="1816">CG306-CC306</f>
        <v>0</v>
      </c>
      <c r="CE306" s="302">
        <f t="shared" ref="CE306:CE308" si="1817">CH306-CG306</f>
        <v>0</v>
      </c>
      <c r="CF306" s="302"/>
      <c r="CG306" s="302">
        <v>0</v>
      </c>
      <c r="CH306" s="302">
        <v>0</v>
      </c>
      <c r="CI306" s="302">
        <v>0</v>
      </c>
      <c r="CJ306" s="302">
        <v>0</v>
      </c>
      <c r="CK306" s="302">
        <f t="shared" ref="CK306:CK308" si="1818">CN306-CJ306</f>
        <v>0</v>
      </c>
      <c r="CL306" s="302"/>
      <c r="CM306" s="302"/>
      <c r="CN306" s="302">
        <v>0</v>
      </c>
      <c r="CO306" s="302"/>
    </row>
    <row r="307" spans="1:93" x14ac:dyDescent="0.25">
      <c r="A307" s="455" t="str">
        <f>Language!C232</f>
        <v>Concebra</v>
      </c>
      <c r="B307" s="280">
        <v>0</v>
      </c>
      <c r="C307" s="280">
        <v>0</v>
      </c>
      <c r="D307" s="280">
        <v>0</v>
      </c>
      <c r="E307" s="280">
        <v>0</v>
      </c>
      <c r="F307" s="279">
        <v>0</v>
      </c>
      <c r="G307" s="280">
        <v>0</v>
      </c>
      <c r="H307" s="280">
        <v>0</v>
      </c>
      <c r="I307" s="280">
        <v>0</v>
      </c>
      <c r="J307" s="279">
        <v>0</v>
      </c>
      <c r="K307" s="280">
        <v>0</v>
      </c>
      <c r="L307" s="280">
        <v>0</v>
      </c>
      <c r="M307" s="280">
        <v>0</v>
      </c>
      <c r="N307" s="279">
        <v>0</v>
      </c>
      <c r="O307" s="280">
        <v>0</v>
      </c>
      <c r="P307" s="280">
        <v>0</v>
      </c>
      <c r="Q307" s="280">
        <v>0</v>
      </c>
      <c r="R307" s="279">
        <v>0</v>
      </c>
      <c r="S307" s="280">
        <v>871.87499999999989</v>
      </c>
      <c r="T307" s="281">
        <v>22004.700499999999</v>
      </c>
      <c r="U307" s="281">
        <v>21647.894500000002</v>
      </c>
      <c r="V307" s="281">
        <f t="shared" si="1799"/>
        <v>871.87499999999989</v>
      </c>
      <c r="W307" s="281">
        <f t="shared" si="1800"/>
        <v>22876.575499999999</v>
      </c>
      <c r="X307" s="505">
        <f t="shared" si="1801"/>
        <v>44524.47</v>
      </c>
      <c r="Y307" s="506">
        <v>20192.5065</v>
      </c>
      <c r="Z307" s="302">
        <f>AC307-Y307</f>
        <v>20563.754000000004</v>
      </c>
      <c r="AA307" s="281">
        <f t="shared" si="1796"/>
        <v>21655.475999999999</v>
      </c>
      <c r="AB307" s="281">
        <v>21647.894500000002</v>
      </c>
      <c r="AC307" s="302">
        <v>40756.260500000004</v>
      </c>
      <c r="AD307" s="302">
        <v>62411.736499999999</v>
      </c>
      <c r="AE307" s="505">
        <v>83588</v>
      </c>
      <c r="AF307" s="302">
        <v>19866</v>
      </c>
      <c r="AG307" s="302">
        <f>AJ307-AF307</f>
        <v>20586.303</v>
      </c>
      <c r="AH307" s="281">
        <f t="shared" si="1797"/>
        <v>21923</v>
      </c>
      <c r="AI307" s="281">
        <v>21647.894500000002</v>
      </c>
      <c r="AJ307" s="302">
        <v>40452.303</v>
      </c>
      <c r="AK307" s="302">
        <v>62375.303</v>
      </c>
      <c r="AL307" s="505">
        <v>83956.303</v>
      </c>
      <c r="AM307" s="302">
        <v>19953</v>
      </c>
      <c r="AN307" s="302">
        <f t="shared" si="1774"/>
        <v>19495.947500000002</v>
      </c>
      <c r="AO307" s="302">
        <f t="shared" si="1798"/>
        <v>22079.05951977097</v>
      </c>
      <c r="AP307" s="302">
        <f t="shared" si="1798"/>
        <v>21270.96404761904</v>
      </c>
      <c r="AQ307" s="302">
        <v>39448.947500000002</v>
      </c>
      <c r="AR307" s="302">
        <v>61528.007019770972</v>
      </c>
      <c r="AS307" s="505">
        <v>82798.971067390012</v>
      </c>
      <c r="AT307" s="302">
        <v>20085.982499999998</v>
      </c>
      <c r="AU307" s="302">
        <f t="shared" si="1802"/>
        <v>20714.851090909091</v>
      </c>
      <c r="AV307" s="302">
        <f t="shared" si="1803"/>
        <v>22737.546999999999</v>
      </c>
      <c r="AW307" s="302">
        <f t="shared" si="1803"/>
        <v>22322.708491525438</v>
      </c>
      <c r="AX307" s="302">
        <v>40800.833590909089</v>
      </c>
      <c r="AY307" s="302">
        <v>63538.380590909088</v>
      </c>
      <c r="AZ307" s="302">
        <v>85861.089082434526</v>
      </c>
      <c r="BA307" s="302">
        <v>20203.436000000002</v>
      </c>
      <c r="BB307" s="302">
        <f t="shared" si="1804"/>
        <v>38706.607819499346</v>
      </c>
      <c r="BC307" s="302">
        <f t="shared" si="1805"/>
        <v>22873.348527223236</v>
      </c>
      <c r="BD307" s="302">
        <f t="shared" si="1806"/>
        <v>23948.300881387782</v>
      </c>
      <c r="BE307" s="302">
        <v>38706.607819499346</v>
      </c>
      <c r="BF307" s="302">
        <v>61579.956346722582</v>
      </c>
      <c r="BG307" s="302">
        <v>85528.257228110364</v>
      </c>
      <c r="BH307" s="302">
        <v>21582.490299999998</v>
      </c>
      <c r="BI307" s="302">
        <f t="shared" si="1807"/>
        <v>22755.922099999996</v>
      </c>
      <c r="BJ307" s="302">
        <f t="shared" si="1808"/>
        <v>24508.765500000001</v>
      </c>
      <c r="BK307" s="302">
        <f t="shared" si="1809"/>
        <v>23666.044499999989</v>
      </c>
      <c r="BL307" s="302">
        <v>44338.412399999994</v>
      </c>
      <c r="BM307" s="302">
        <v>68847.177899999995</v>
      </c>
      <c r="BN307" s="302">
        <v>92513.222399999984</v>
      </c>
      <c r="BO307" s="302">
        <v>21552.450100000002</v>
      </c>
      <c r="BP307" s="302">
        <f t="shared" si="1810"/>
        <v>22624.026399999995</v>
      </c>
      <c r="BQ307" s="302">
        <f t="shared" si="1811"/>
        <v>23956.352599999991</v>
      </c>
      <c r="BR307" s="302">
        <f t="shared" si="1812"/>
        <v>22797.571299999996</v>
      </c>
      <c r="BS307" s="302">
        <v>44176.476499999997</v>
      </c>
      <c r="BT307" s="302">
        <v>68132.829099999988</v>
      </c>
      <c r="BU307" s="302">
        <v>90930.400399999984</v>
      </c>
      <c r="BV307" s="302">
        <v>21976.705999999998</v>
      </c>
      <c r="BW307" s="302">
        <f t="shared" si="1813"/>
        <v>22918.883600000001</v>
      </c>
      <c r="BX307" s="302">
        <f t="shared" si="1814"/>
        <v>24931.392</v>
      </c>
      <c r="BY307" s="302">
        <f t="shared" si="1815"/>
        <v>23835.974199999997</v>
      </c>
      <c r="BZ307" s="302">
        <v>44895.589599999999</v>
      </c>
      <c r="CA307" s="302">
        <v>69826.981599999999</v>
      </c>
      <c r="CB307" s="302">
        <v>93662.955799999996</v>
      </c>
      <c r="CC307" s="302">
        <v>22604.290499999999</v>
      </c>
      <c r="CD307" s="302">
        <f t="shared" si="1816"/>
        <v>10753.439900000001</v>
      </c>
      <c r="CE307" s="302">
        <f t="shared" si="1817"/>
        <v>38124.428699999989</v>
      </c>
      <c r="CF307" s="302"/>
      <c r="CG307" s="302">
        <v>33357.7304</v>
      </c>
      <c r="CH307" s="302">
        <v>71482.15909999999</v>
      </c>
      <c r="CI307" s="302">
        <v>95888.075099999987</v>
      </c>
      <c r="CJ307" s="302">
        <v>22518.333599999998</v>
      </c>
      <c r="CK307" s="302">
        <f t="shared" si="1818"/>
        <v>12245.905900000005</v>
      </c>
      <c r="CL307" s="302"/>
      <c r="CM307" s="302"/>
      <c r="CN307" s="302">
        <v>34764.239500000003</v>
      </c>
      <c r="CO307" s="302"/>
    </row>
    <row r="308" spans="1:93" s="289" customFormat="1" x14ac:dyDescent="0.25">
      <c r="A308" s="543" t="str">
        <f>Language!C233</f>
        <v>Transbrasiliana</v>
      </c>
      <c r="B308" s="280">
        <v>0</v>
      </c>
      <c r="C308" s="280">
        <v>0</v>
      </c>
      <c r="D308" s="280">
        <v>0</v>
      </c>
      <c r="E308" s="280">
        <v>0</v>
      </c>
      <c r="F308" s="279">
        <v>0</v>
      </c>
      <c r="G308" s="280">
        <v>0</v>
      </c>
      <c r="H308" s="280">
        <v>0</v>
      </c>
      <c r="I308" s="280">
        <v>0</v>
      </c>
      <c r="J308" s="279">
        <v>0</v>
      </c>
      <c r="K308" s="280">
        <v>0</v>
      </c>
      <c r="L308" s="280">
        <v>0</v>
      </c>
      <c r="M308" s="280">
        <v>0</v>
      </c>
      <c r="N308" s="279">
        <v>6587.0025000000005</v>
      </c>
      <c r="O308" s="280">
        <v>6766.5549999999994</v>
      </c>
      <c r="P308" s="280">
        <v>7067.6125000000002</v>
      </c>
      <c r="Q308" s="280">
        <v>7136.5659999999989</v>
      </c>
      <c r="R308" s="457">
        <v>6278.348</v>
      </c>
      <c r="S308" s="456">
        <v>6166.7040270270263</v>
      </c>
      <c r="T308" s="458">
        <v>6329.7939999999999</v>
      </c>
      <c r="U308" s="458">
        <v>6296.0380000000005</v>
      </c>
      <c r="V308" s="458">
        <f t="shared" si="1799"/>
        <v>12445.052027027026</v>
      </c>
      <c r="W308" s="458">
        <f t="shared" si="1800"/>
        <v>18774.846027027026</v>
      </c>
      <c r="X308" s="544">
        <f t="shared" si="1801"/>
        <v>25070.884027027027</v>
      </c>
      <c r="Y308" s="545">
        <v>5882.6850000000004</v>
      </c>
      <c r="Z308" s="546">
        <f>AC308-Y308</f>
        <v>6070.3609999999999</v>
      </c>
      <c r="AA308" s="458">
        <f t="shared" si="1796"/>
        <v>6087.788499999996</v>
      </c>
      <c r="AB308" s="458">
        <v>6296.0380000000005</v>
      </c>
      <c r="AC308" s="546">
        <v>11953.046</v>
      </c>
      <c r="AD308" s="546">
        <v>18040.834499999997</v>
      </c>
      <c r="AE308" s="544">
        <v>24014</v>
      </c>
      <c r="AF308" s="546">
        <v>5568</v>
      </c>
      <c r="AG308" s="546">
        <f>AJ308-AF308</f>
        <v>5689.2690000000002</v>
      </c>
      <c r="AH308" s="458">
        <f t="shared" si="1797"/>
        <v>6094</v>
      </c>
      <c r="AI308" s="458">
        <v>6296.0380000000005</v>
      </c>
      <c r="AJ308" s="546">
        <v>11257.269</v>
      </c>
      <c r="AK308" s="546">
        <v>17351.269</v>
      </c>
      <c r="AL308" s="544">
        <v>23279.269</v>
      </c>
      <c r="AM308" s="546">
        <v>5514</v>
      </c>
      <c r="AN308" s="546">
        <f t="shared" si="1774"/>
        <v>5386.6124999999993</v>
      </c>
      <c r="AO308" s="546">
        <f t="shared" si="1798"/>
        <v>6085.0319999999992</v>
      </c>
      <c r="AP308" s="546">
        <f t="shared" si="1798"/>
        <v>5716.1064999999981</v>
      </c>
      <c r="AQ308" s="546">
        <v>10900.612499999999</v>
      </c>
      <c r="AR308" s="546">
        <v>16985.644499999999</v>
      </c>
      <c r="AS308" s="544">
        <v>22701.750999999997</v>
      </c>
      <c r="AT308" s="302">
        <v>5489.9234999999999</v>
      </c>
      <c r="AU308" s="302">
        <f t="shared" si="1802"/>
        <v>5702.9589999999998</v>
      </c>
      <c r="AV308" s="302">
        <f t="shared" si="1803"/>
        <v>6373.3130000000019</v>
      </c>
      <c r="AW308" s="302">
        <f t="shared" si="1803"/>
        <v>6085.2554999999993</v>
      </c>
      <c r="AX308" s="302">
        <v>11192.8825</v>
      </c>
      <c r="AY308" s="302">
        <v>17566.195500000002</v>
      </c>
      <c r="AZ308" s="302">
        <v>23651.451000000001</v>
      </c>
      <c r="BA308" s="302">
        <v>5653.3364999999994</v>
      </c>
      <c r="BB308" s="302">
        <f t="shared" si="1804"/>
        <v>10879.389499999999</v>
      </c>
      <c r="BC308" s="302">
        <f t="shared" si="1805"/>
        <v>6263.009</v>
      </c>
      <c r="BD308" s="302">
        <f t="shared" si="1806"/>
        <v>6413.6574999999975</v>
      </c>
      <c r="BE308" s="302">
        <v>10879.389499999999</v>
      </c>
      <c r="BF308" s="302">
        <v>17142.398499999999</v>
      </c>
      <c r="BG308" s="302">
        <v>23556.055999999997</v>
      </c>
      <c r="BH308" s="302">
        <v>5731.9285</v>
      </c>
      <c r="BI308" s="302">
        <f t="shared" si="1807"/>
        <v>5774.3189870129881</v>
      </c>
      <c r="BJ308" s="302">
        <f t="shared" si="1808"/>
        <v>6223.7245000000003</v>
      </c>
      <c r="BK308" s="302">
        <f t="shared" si="1809"/>
        <v>6273.5370000000003</v>
      </c>
      <c r="BL308" s="302">
        <v>11506.247487012988</v>
      </c>
      <c r="BM308" s="302">
        <v>17729.971987012988</v>
      </c>
      <c r="BN308" s="302">
        <v>24003.508987012989</v>
      </c>
      <c r="BO308" s="302">
        <v>5986.684507792208</v>
      </c>
      <c r="BP308" s="302">
        <f t="shared" si="1810"/>
        <v>6122.2534999999989</v>
      </c>
      <c r="BQ308" s="302">
        <f t="shared" si="1811"/>
        <v>6577.1660000000011</v>
      </c>
      <c r="BR308" s="302">
        <f t="shared" si="1812"/>
        <v>6290.8339999999989</v>
      </c>
      <c r="BS308" s="302">
        <v>12108.938007792207</v>
      </c>
      <c r="BT308" s="302">
        <v>18686.104007792208</v>
      </c>
      <c r="BU308" s="302">
        <v>24976.938007792207</v>
      </c>
      <c r="BV308" s="302">
        <v>5980.9540000000006</v>
      </c>
      <c r="BW308" s="302">
        <f t="shared" si="1813"/>
        <v>5956.8630000000003</v>
      </c>
      <c r="BX308" s="302">
        <f t="shared" si="1814"/>
        <v>6643.4979999999978</v>
      </c>
      <c r="BY308" s="302">
        <f t="shared" si="1815"/>
        <v>6234.1284999999989</v>
      </c>
      <c r="BZ308" s="302">
        <v>11937.817000000001</v>
      </c>
      <c r="CA308" s="302">
        <v>18581.314999999999</v>
      </c>
      <c r="CB308" s="302">
        <v>24815.443499999998</v>
      </c>
      <c r="CC308" s="302">
        <v>5909.8279999999995</v>
      </c>
      <c r="CD308" s="302">
        <f t="shared" si="1816"/>
        <v>6230.709499999999</v>
      </c>
      <c r="CE308" s="302">
        <f t="shared" si="1817"/>
        <v>6495.9565000000002</v>
      </c>
      <c r="CF308" s="302"/>
      <c r="CG308" s="302">
        <v>12140.537499999999</v>
      </c>
      <c r="CH308" s="302">
        <v>18636.493999999999</v>
      </c>
      <c r="CI308" s="302">
        <v>24653.135499999997</v>
      </c>
      <c r="CJ308" s="302">
        <v>6062.1845000000003</v>
      </c>
      <c r="CK308" s="302">
        <f t="shared" si="1818"/>
        <v>5982.4165000000003</v>
      </c>
      <c r="CL308" s="302"/>
      <c r="CM308" s="302"/>
      <c r="CN308" s="302">
        <v>12044.601000000001</v>
      </c>
      <c r="CO308" s="302"/>
    </row>
    <row r="309" spans="1:93" s="289" customFormat="1" ht="13" x14ac:dyDescent="0.3">
      <c r="A309" s="525" t="str">
        <f>Language!C234</f>
        <v>Participação Societária</v>
      </c>
      <c r="B309" s="547"/>
      <c r="C309" s="547"/>
      <c r="D309" s="547"/>
      <c r="E309" s="547"/>
      <c r="F309" s="548"/>
      <c r="G309" s="547"/>
      <c r="H309" s="547"/>
      <c r="I309" s="547"/>
      <c r="J309" s="548"/>
      <c r="K309" s="547"/>
      <c r="L309" s="547"/>
      <c r="M309" s="547"/>
      <c r="N309" s="548"/>
      <c r="O309" s="547"/>
      <c r="P309" s="547"/>
      <c r="Q309" s="547"/>
      <c r="R309" s="548"/>
      <c r="S309" s="547"/>
      <c r="T309" s="547"/>
      <c r="U309" s="547"/>
      <c r="V309" s="547"/>
      <c r="W309" s="549"/>
      <c r="X309" s="550"/>
      <c r="Y309" s="551"/>
      <c r="Z309" s="549"/>
      <c r="AA309" s="547"/>
      <c r="AB309" s="547"/>
      <c r="AC309" s="549"/>
      <c r="AD309" s="549"/>
      <c r="AE309" s="550"/>
      <c r="AF309" s="549"/>
      <c r="AG309" s="549"/>
      <c r="AH309" s="547"/>
      <c r="AI309" s="547"/>
      <c r="AJ309" s="549"/>
      <c r="AK309" s="549"/>
      <c r="AL309" s="550"/>
      <c r="AM309" s="549"/>
      <c r="AN309" s="549"/>
      <c r="AO309" s="549"/>
      <c r="AP309" s="549"/>
      <c r="AQ309" s="549"/>
      <c r="AR309" s="549"/>
      <c r="AS309" s="550"/>
      <c r="AT309" s="549"/>
      <c r="AU309" s="549"/>
      <c r="AV309" s="549"/>
      <c r="AW309" s="549"/>
      <c r="AX309" s="549"/>
      <c r="AY309" s="549"/>
      <c r="AZ309" s="549"/>
      <c r="BA309" s="549"/>
      <c r="BB309" s="549"/>
      <c r="BC309" s="549"/>
      <c r="BD309" s="549"/>
      <c r="BE309" s="549"/>
      <c r="BF309" s="549"/>
      <c r="BG309" s="549"/>
      <c r="BH309" s="549"/>
      <c r="BI309" s="549"/>
      <c r="BJ309" s="549"/>
      <c r="BK309" s="549"/>
      <c r="BL309" s="549"/>
      <c r="BM309" s="549"/>
      <c r="BN309" s="549"/>
      <c r="BO309" s="549"/>
      <c r="BP309" s="549"/>
      <c r="BQ309" s="549"/>
      <c r="BR309" s="549"/>
      <c r="BS309" s="549"/>
      <c r="BT309" s="549"/>
      <c r="BU309" s="549"/>
      <c r="BV309" s="549"/>
      <c r="BW309" s="549"/>
      <c r="BX309" s="549"/>
      <c r="BY309" s="549"/>
      <c r="BZ309" s="549"/>
      <c r="CA309" s="549"/>
      <c r="CB309" s="549"/>
      <c r="CC309" s="549"/>
      <c r="CD309" s="549"/>
      <c r="CE309" s="549"/>
      <c r="CF309" s="549"/>
      <c r="CG309" s="549"/>
      <c r="CH309" s="549"/>
      <c r="CI309" s="549"/>
      <c r="CJ309" s="549"/>
      <c r="CK309" s="549"/>
      <c r="CL309" s="549"/>
      <c r="CM309" s="549"/>
      <c r="CN309" s="549"/>
      <c r="CO309" s="549"/>
    </row>
    <row r="310" spans="1:93" s="289" customFormat="1" x14ac:dyDescent="0.25">
      <c r="A310" s="455" t="str">
        <f>Language!C235</f>
        <v>Concepa</v>
      </c>
      <c r="B310" s="552">
        <v>1</v>
      </c>
      <c r="C310" s="552">
        <v>1</v>
      </c>
      <c r="D310" s="552">
        <v>1</v>
      </c>
      <c r="E310" s="552">
        <v>1</v>
      </c>
      <c r="F310" s="553">
        <v>1</v>
      </c>
      <c r="G310" s="552">
        <v>1</v>
      </c>
      <c r="H310" s="552">
        <v>1</v>
      </c>
      <c r="I310" s="552">
        <v>1</v>
      </c>
      <c r="J310" s="553">
        <v>1</v>
      </c>
      <c r="K310" s="552">
        <v>1</v>
      </c>
      <c r="L310" s="552">
        <v>1</v>
      </c>
      <c r="M310" s="552">
        <v>1</v>
      </c>
      <c r="N310" s="553">
        <v>1</v>
      </c>
      <c r="O310" s="552">
        <v>1</v>
      </c>
      <c r="P310" s="552">
        <v>1</v>
      </c>
      <c r="Q310" s="552">
        <v>1</v>
      </c>
      <c r="R310" s="553">
        <v>1</v>
      </c>
      <c r="S310" s="552">
        <v>1</v>
      </c>
      <c r="T310" s="552">
        <v>1</v>
      </c>
      <c r="U310" s="552">
        <v>1</v>
      </c>
      <c r="V310" s="552">
        <v>1</v>
      </c>
      <c r="W310" s="554">
        <v>1</v>
      </c>
      <c r="X310" s="555">
        <v>1</v>
      </c>
      <c r="Y310" s="556">
        <v>1</v>
      </c>
      <c r="Z310" s="554">
        <v>1</v>
      </c>
      <c r="AA310" s="552">
        <v>1</v>
      </c>
      <c r="AB310" s="552">
        <v>1</v>
      </c>
      <c r="AC310" s="554">
        <v>1</v>
      </c>
      <c r="AD310" s="554">
        <v>1</v>
      </c>
      <c r="AE310" s="555">
        <v>1</v>
      </c>
      <c r="AF310" s="554">
        <v>1</v>
      </c>
      <c r="AG310" s="554">
        <v>1</v>
      </c>
      <c r="AH310" s="552">
        <v>1</v>
      </c>
      <c r="AI310" s="552">
        <v>1</v>
      </c>
      <c r="AJ310" s="554">
        <v>1</v>
      </c>
      <c r="AK310" s="554">
        <v>1</v>
      </c>
      <c r="AL310" s="555">
        <v>1</v>
      </c>
      <c r="AM310" s="554">
        <v>1</v>
      </c>
      <c r="AN310" s="554">
        <f>AQ310</f>
        <v>1</v>
      </c>
      <c r="AO310" s="554">
        <f>AR310</f>
        <v>1</v>
      </c>
      <c r="AP310" s="554">
        <f>AS310</f>
        <v>1</v>
      </c>
      <c r="AQ310" s="554">
        <v>1</v>
      </c>
      <c r="AR310" s="554">
        <v>1</v>
      </c>
      <c r="AS310" s="555">
        <v>1</v>
      </c>
      <c r="AT310" s="554">
        <v>1</v>
      </c>
      <c r="AU310" s="554">
        <v>1</v>
      </c>
      <c r="AV310" s="554">
        <v>1</v>
      </c>
      <c r="AW310" s="554">
        <v>1</v>
      </c>
      <c r="AX310" s="554">
        <v>1</v>
      </c>
      <c r="AY310" s="554">
        <v>1</v>
      </c>
      <c r="AZ310" s="554">
        <v>1</v>
      </c>
      <c r="BA310" s="554">
        <v>1</v>
      </c>
      <c r="BB310" s="554">
        <v>1</v>
      </c>
      <c r="BC310" s="554">
        <v>1</v>
      </c>
      <c r="BD310" s="554">
        <v>1</v>
      </c>
      <c r="BE310" s="554">
        <v>1</v>
      </c>
      <c r="BF310" s="554">
        <v>1</v>
      </c>
      <c r="BG310" s="554">
        <v>1</v>
      </c>
      <c r="BH310" s="554">
        <v>1</v>
      </c>
      <c r="BI310" s="554">
        <v>1</v>
      </c>
      <c r="BJ310" s="554">
        <v>1</v>
      </c>
      <c r="BK310" s="554">
        <v>1</v>
      </c>
      <c r="BL310" s="554">
        <v>1</v>
      </c>
      <c r="BM310" s="554">
        <v>1</v>
      </c>
      <c r="BN310" s="554">
        <v>1</v>
      </c>
      <c r="BO310" s="554">
        <v>1</v>
      </c>
      <c r="BP310" s="554">
        <v>1</v>
      </c>
      <c r="BQ310" s="554">
        <v>1</v>
      </c>
      <c r="BR310" s="554">
        <v>1</v>
      </c>
      <c r="BS310" s="554">
        <v>1</v>
      </c>
      <c r="BT310" s="554">
        <v>1</v>
      </c>
      <c r="BU310" s="554">
        <v>1</v>
      </c>
      <c r="BV310" s="554">
        <v>1</v>
      </c>
      <c r="BW310" s="554">
        <v>1</v>
      </c>
      <c r="BX310" s="554">
        <v>1</v>
      </c>
      <c r="BY310" s="554">
        <v>1</v>
      </c>
      <c r="BZ310" s="554">
        <v>1</v>
      </c>
      <c r="CA310" s="554">
        <v>1</v>
      </c>
      <c r="CB310" s="554">
        <v>1</v>
      </c>
      <c r="CC310" s="554">
        <v>1</v>
      </c>
      <c r="CD310" s="554">
        <v>1</v>
      </c>
      <c r="CE310" s="554">
        <v>1</v>
      </c>
      <c r="CF310" s="554">
        <v>1</v>
      </c>
      <c r="CG310" s="554">
        <v>1</v>
      </c>
      <c r="CH310" s="554">
        <v>1</v>
      </c>
      <c r="CI310" s="554">
        <v>1</v>
      </c>
      <c r="CJ310" s="554">
        <v>1</v>
      </c>
      <c r="CK310" s="554">
        <v>1</v>
      </c>
      <c r="CL310" s="554">
        <v>1</v>
      </c>
      <c r="CM310" s="554">
        <v>1</v>
      </c>
      <c r="CN310" s="554">
        <v>1</v>
      </c>
      <c r="CO310" s="554">
        <v>1</v>
      </c>
    </row>
    <row r="311" spans="1:93" s="289" customFormat="1" x14ac:dyDescent="0.25">
      <c r="A311" s="455" t="str">
        <f>Language!C236</f>
        <v>Concer</v>
      </c>
      <c r="B311" s="552">
        <v>0.625</v>
      </c>
      <c r="C311" s="552">
        <v>0.625</v>
      </c>
      <c r="D311" s="552">
        <v>0.625</v>
      </c>
      <c r="E311" s="552">
        <v>0.625</v>
      </c>
      <c r="F311" s="553">
        <v>0.625</v>
      </c>
      <c r="G311" s="552">
        <v>0.625</v>
      </c>
      <c r="H311" s="552">
        <v>0.625</v>
      </c>
      <c r="I311" s="552">
        <v>0.625</v>
      </c>
      <c r="J311" s="553">
        <v>0.625</v>
      </c>
      <c r="K311" s="552">
        <v>0.625</v>
      </c>
      <c r="L311" s="552">
        <v>0.625</v>
      </c>
      <c r="M311" s="552">
        <v>0.625</v>
      </c>
      <c r="N311" s="553">
        <v>0.625</v>
      </c>
      <c r="O311" s="552">
        <v>0.625</v>
      </c>
      <c r="P311" s="552">
        <v>0.625</v>
      </c>
      <c r="Q311" s="552">
        <v>0.625</v>
      </c>
      <c r="R311" s="553">
        <v>0.625</v>
      </c>
      <c r="S311" s="552">
        <v>0.625</v>
      </c>
      <c r="T311" s="552">
        <v>0.625</v>
      </c>
      <c r="U311" s="552">
        <v>0.63759999999999994</v>
      </c>
      <c r="V311" s="552">
        <v>0.625</v>
      </c>
      <c r="W311" s="554">
        <v>0.625</v>
      </c>
      <c r="X311" s="555">
        <v>0.63759999999999994</v>
      </c>
      <c r="Y311" s="556">
        <v>0.63759999999999994</v>
      </c>
      <c r="Z311" s="554">
        <v>0.63759999999999994</v>
      </c>
      <c r="AA311" s="552">
        <v>0.625</v>
      </c>
      <c r="AB311" s="552">
        <f>AE311</f>
        <v>0.64980000000000004</v>
      </c>
      <c r="AC311" s="554">
        <v>0.63759999999999994</v>
      </c>
      <c r="AD311" s="554">
        <v>0.63759999999999994</v>
      </c>
      <c r="AE311" s="555">
        <v>0.64980000000000004</v>
      </c>
      <c r="AF311" s="554">
        <v>0.64980000000000004</v>
      </c>
      <c r="AG311" s="554">
        <v>0.64980000000000004</v>
      </c>
      <c r="AH311" s="552">
        <v>0.625</v>
      </c>
      <c r="AI311" s="552">
        <f>AL311</f>
        <v>0.64980000000000004</v>
      </c>
      <c r="AJ311" s="555">
        <v>0.64980000000000004</v>
      </c>
      <c r="AK311" s="555">
        <v>0.64980000000000004</v>
      </c>
      <c r="AL311" s="555">
        <v>0.64980000000000004</v>
      </c>
      <c r="AM311" s="554">
        <v>0.64980000000000004</v>
      </c>
      <c r="AN311" s="554">
        <f t="shared" ref="AN311:AN314" si="1819">AQ311</f>
        <v>0.64980000000000004</v>
      </c>
      <c r="AO311" s="554">
        <f t="shared" ref="AO311:AP314" si="1820">AR311</f>
        <v>0.7319</v>
      </c>
      <c r="AP311" s="554">
        <f t="shared" si="1820"/>
        <v>0.74870000000000003</v>
      </c>
      <c r="AQ311" s="555">
        <v>0.64980000000000004</v>
      </c>
      <c r="AR311" s="555">
        <v>0.7319</v>
      </c>
      <c r="AS311" s="555">
        <v>0.74870000000000003</v>
      </c>
      <c r="AT311" s="554">
        <v>0.79049999999999998</v>
      </c>
      <c r="AU311" s="554">
        <v>0.79049999999999998</v>
      </c>
      <c r="AV311" s="554">
        <v>0.81840000000000002</v>
      </c>
      <c r="AW311" s="554">
        <v>0.81840000000000002</v>
      </c>
      <c r="AX311" s="554">
        <v>0.79049999999999998</v>
      </c>
      <c r="AY311" s="554">
        <v>0.81840000000000002</v>
      </c>
      <c r="AZ311" s="554">
        <v>0.81840000000000002</v>
      </c>
      <c r="BA311" s="554">
        <v>0.81840000000000002</v>
      </c>
      <c r="BB311" s="554">
        <v>0.81840000000000002</v>
      </c>
      <c r="BC311" s="554">
        <v>0.81840000000000002</v>
      </c>
      <c r="BD311" s="554">
        <v>0.81840000000000002</v>
      </c>
      <c r="BE311" s="554">
        <v>0.81840000000000002</v>
      </c>
      <c r="BF311" s="554">
        <v>0.81840000000000002</v>
      </c>
      <c r="BG311" s="554">
        <v>0.81840000000000002</v>
      </c>
      <c r="BH311" s="554">
        <v>0.81840000000000002</v>
      </c>
      <c r="BI311" s="554">
        <v>0.81840000000000002</v>
      </c>
      <c r="BJ311" s="554">
        <v>0.81840000000000002</v>
      </c>
      <c r="BK311" s="554">
        <v>0.81840000000000002</v>
      </c>
      <c r="BL311" s="554">
        <v>0.81840000000000002</v>
      </c>
      <c r="BM311" s="554">
        <v>0.81840000000000002</v>
      </c>
      <c r="BN311" s="554">
        <v>0.81840000000000002</v>
      </c>
      <c r="BO311" s="554">
        <v>0.81840000000000002</v>
      </c>
      <c r="BP311" s="554">
        <v>0.81840000000000002</v>
      </c>
      <c r="BQ311" s="554">
        <v>0.81840000000000002</v>
      </c>
      <c r="BR311" s="554">
        <v>0.81840000000000002</v>
      </c>
      <c r="BS311" s="554">
        <v>0.81840000000000002</v>
      </c>
      <c r="BT311" s="554">
        <v>0.81840000000000002</v>
      </c>
      <c r="BU311" s="554">
        <v>0.81840000000000002</v>
      </c>
      <c r="BV311" s="554">
        <v>0.81840000000000002</v>
      </c>
      <c r="BW311" s="554">
        <v>0.81840000000000002</v>
      </c>
      <c r="BX311" s="554">
        <v>0.81840000000000002</v>
      </c>
      <c r="BY311" s="554">
        <v>0.81840000000000002</v>
      </c>
      <c r="BZ311" s="554">
        <v>0.81840000000000002</v>
      </c>
      <c r="CA311" s="554">
        <v>0.81840000000000002</v>
      </c>
      <c r="CB311" s="554">
        <v>0.81840000000000002</v>
      </c>
      <c r="CC311" s="554">
        <v>0.81840000000000002</v>
      </c>
      <c r="CD311" s="554">
        <v>0.81840000000000002</v>
      </c>
      <c r="CE311" s="554">
        <v>0.81840000000000002</v>
      </c>
      <c r="CF311" s="554">
        <v>0.81840000000000002</v>
      </c>
      <c r="CG311" s="554">
        <v>0.81840000000000002</v>
      </c>
      <c r="CH311" s="554">
        <v>0.81840000000000002</v>
      </c>
      <c r="CI311" s="554">
        <v>0.81840000000000002</v>
      </c>
      <c r="CJ311" s="554">
        <v>0.81840000000000002</v>
      </c>
      <c r="CK311" s="554">
        <v>0.81840000000000002</v>
      </c>
      <c r="CL311" s="554">
        <v>0.81840000000000002</v>
      </c>
      <c r="CM311" s="554">
        <v>0.81840000000000002</v>
      </c>
      <c r="CN311" s="554">
        <v>0.81840000000000002</v>
      </c>
      <c r="CO311" s="554">
        <v>0.81840000000000002</v>
      </c>
    </row>
    <row r="312" spans="1:93" s="289" customFormat="1" x14ac:dyDescent="0.25">
      <c r="A312" s="455" t="str">
        <f>Language!C237</f>
        <v>Econorte</v>
      </c>
      <c r="B312" s="552">
        <v>1</v>
      </c>
      <c r="C312" s="552">
        <v>1</v>
      </c>
      <c r="D312" s="552">
        <v>1</v>
      </c>
      <c r="E312" s="552">
        <v>1</v>
      </c>
      <c r="F312" s="553">
        <v>1</v>
      </c>
      <c r="G312" s="552">
        <v>1</v>
      </c>
      <c r="H312" s="552">
        <v>1</v>
      </c>
      <c r="I312" s="552">
        <v>1</v>
      </c>
      <c r="J312" s="553">
        <v>1</v>
      </c>
      <c r="K312" s="552">
        <v>1</v>
      </c>
      <c r="L312" s="552">
        <v>1</v>
      </c>
      <c r="M312" s="552">
        <v>1</v>
      </c>
      <c r="N312" s="553">
        <v>1</v>
      </c>
      <c r="O312" s="552">
        <v>1</v>
      </c>
      <c r="P312" s="552">
        <v>1</v>
      </c>
      <c r="Q312" s="552">
        <v>1</v>
      </c>
      <c r="R312" s="553">
        <v>1</v>
      </c>
      <c r="S312" s="552">
        <v>1</v>
      </c>
      <c r="T312" s="552">
        <v>1</v>
      </c>
      <c r="U312" s="552">
        <v>1</v>
      </c>
      <c r="V312" s="552">
        <v>1</v>
      </c>
      <c r="W312" s="554">
        <v>1</v>
      </c>
      <c r="X312" s="555">
        <v>1</v>
      </c>
      <c r="Y312" s="556">
        <v>1</v>
      </c>
      <c r="Z312" s="554">
        <v>1</v>
      </c>
      <c r="AA312" s="552">
        <v>1</v>
      </c>
      <c r="AB312" s="552">
        <v>1</v>
      </c>
      <c r="AC312" s="554">
        <v>1</v>
      </c>
      <c r="AD312" s="554">
        <v>1</v>
      </c>
      <c r="AE312" s="555">
        <v>1</v>
      </c>
      <c r="AF312" s="554">
        <v>1</v>
      </c>
      <c r="AG312" s="554">
        <v>1</v>
      </c>
      <c r="AH312" s="552">
        <v>1</v>
      </c>
      <c r="AI312" s="552">
        <v>1</v>
      </c>
      <c r="AJ312" s="554">
        <v>1</v>
      </c>
      <c r="AK312" s="554">
        <v>1</v>
      </c>
      <c r="AL312" s="555">
        <v>1</v>
      </c>
      <c r="AM312" s="554">
        <v>1</v>
      </c>
      <c r="AN312" s="554">
        <f t="shared" si="1819"/>
        <v>1</v>
      </c>
      <c r="AO312" s="554">
        <f t="shared" si="1820"/>
        <v>1</v>
      </c>
      <c r="AP312" s="554">
        <f t="shared" si="1820"/>
        <v>1</v>
      </c>
      <c r="AQ312" s="554">
        <v>1</v>
      </c>
      <c r="AR312" s="554">
        <v>1</v>
      </c>
      <c r="AS312" s="555">
        <v>1</v>
      </c>
      <c r="AT312" s="554">
        <v>1</v>
      </c>
      <c r="AU312" s="554">
        <v>1</v>
      </c>
      <c r="AV312" s="554">
        <v>1</v>
      </c>
      <c r="AW312" s="554">
        <v>1</v>
      </c>
      <c r="AX312" s="554">
        <v>1</v>
      </c>
      <c r="AY312" s="554">
        <v>1</v>
      </c>
      <c r="AZ312" s="554">
        <v>1</v>
      </c>
      <c r="BA312" s="554">
        <v>1</v>
      </c>
      <c r="BB312" s="554">
        <v>1</v>
      </c>
      <c r="BC312" s="554">
        <v>1</v>
      </c>
      <c r="BD312" s="554">
        <v>1</v>
      </c>
      <c r="BE312" s="554">
        <v>1</v>
      </c>
      <c r="BF312" s="554">
        <v>1</v>
      </c>
      <c r="BG312" s="554">
        <v>1</v>
      </c>
      <c r="BH312" s="554">
        <v>1</v>
      </c>
      <c r="BI312" s="554">
        <v>1</v>
      </c>
      <c r="BJ312" s="554">
        <v>1</v>
      </c>
      <c r="BK312" s="554">
        <v>1</v>
      </c>
      <c r="BL312" s="554">
        <v>1</v>
      </c>
      <c r="BM312" s="554">
        <v>1</v>
      </c>
      <c r="BN312" s="554">
        <v>1</v>
      </c>
      <c r="BO312" s="554">
        <v>1</v>
      </c>
      <c r="BP312" s="554">
        <v>1</v>
      </c>
      <c r="BQ312" s="554">
        <v>1</v>
      </c>
      <c r="BR312" s="554">
        <v>1</v>
      </c>
      <c r="BS312" s="554">
        <v>1</v>
      </c>
      <c r="BT312" s="554">
        <v>1</v>
      </c>
      <c r="BU312" s="554">
        <v>1</v>
      </c>
      <c r="BV312" s="554">
        <v>1</v>
      </c>
      <c r="BW312" s="554">
        <v>1</v>
      </c>
      <c r="BX312" s="554">
        <v>1</v>
      </c>
      <c r="BY312" s="554">
        <v>1</v>
      </c>
      <c r="BZ312" s="554">
        <v>1</v>
      </c>
      <c r="CA312" s="554">
        <v>1</v>
      </c>
      <c r="CB312" s="554">
        <v>1</v>
      </c>
      <c r="CC312" s="554">
        <v>1</v>
      </c>
      <c r="CD312" s="554">
        <v>1</v>
      </c>
      <c r="CE312" s="554">
        <v>1</v>
      </c>
      <c r="CF312" s="554">
        <v>1</v>
      </c>
      <c r="CG312" s="554">
        <v>1</v>
      </c>
      <c r="CH312" s="554">
        <v>1</v>
      </c>
      <c r="CI312" s="554">
        <v>1</v>
      </c>
      <c r="CJ312" s="554">
        <v>1</v>
      </c>
      <c r="CK312" s="554">
        <v>1</v>
      </c>
      <c r="CL312" s="554">
        <v>1</v>
      </c>
      <c r="CM312" s="554">
        <v>1</v>
      </c>
      <c r="CN312" s="554">
        <v>1</v>
      </c>
      <c r="CO312" s="554">
        <v>1</v>
      </c>
    </row>
    <row r="313" spans="1:93" s="289" customFormat="1" x14ac:dyDescent="0.25">
      <c r="A313" s="455" t="str">
        <f>Language!C238</f>
        <v>Concebra</v>
      </c>
      <c r="B313" s="552">
        <v>0</v>
      </c>
      <c r="C313" s="552">
        <v>0</v>
      </c>
      <c r="D313" s="552">
        <v>0</v>
      </c>
      <c r="E313" s="552">
        <v>0</v>
      </c>
      <c r="F313" s="553">
        <v>0</v>
      </c>
      <c r="G313" s="552">
        <v>0</v>
      </c>
      <c r="H313" s="552">
        <v>0</v>
      </c>
      <c r="I313" s="552">
        <v>0</v>
      </c>
      <c r="J313" s="553">
        <v>0</v>
      </c>
      <c r="K313" s="552">
        <v>0</v>
      </c>
      <c r="L313" s="552">
        <v>0</v>
      </c>
      <c r="M313" s="552">
        <v>1</v>
      </c>
      <c r="N313" s="553">
        <v>1</v>
      </c>
      <c r="O313" s="552">
        <v>1</v>
      </c>
      <c r="P313" s="552">
        <v>1</v>
      </c>
      <c r="Q313" s="552">
        <v>1</v>
      </c>
      <c r="R313" s="553">
        <v>1</v>
      </c>
      <c r="S313" s="552">
        <v>1</v>
      </c>
      <c r="T313" s="552">
        <v>1</v>
      </c>
      <c r="U313" s="552">
        <v>1</v>
      </c>
      <c r="V313" s="552">
        <v>1</v>
      </c>
      <c r="W313" s="554">
        <v>1</v>
      </c>
      <c r="X313" s="555">
        <v>1</v>
      </c>
      <c r="Y313" s="556">
        <v>1</v>
      </c>
      <c r="Z313" s="554">
        <v>1</v>
      </c>
      <c r="AA313" s="552">
        <v>1</v>
      </c>
      <c r="AB313" s="552">
        <v>1</v>
      </c>
      <c r="AC313" s="554">
        <v>1</v>
      </c>
      <c r="AD313" s="554">
        <v>1</v>
      </c>
      <c r="AE313" s="555">
        <v>1</v>
      </c>
      <c r="AF313" s="554">
        <v>1</v>
      </c>
      <c r="AG313" s="554">
        <v>1</v>
      </c>
      <c r="AH313" s="552">
        <v>1</v>
      </c>
      <c r="AI313" s="552">
        <v>1</v>
      </c>
      <c r="AJ313" s="554">
        <v>1</v>
      </c>
      <c r="AK313" s="554">
        <v>1</v>
      </c>
      <c r="AL313" s="555">
        <v>1</v>
      </c>
      <c r="AM313" s="554">
        <v>1</v>
      </c>
      <c r="AN313" s="554">
        <f t="shared" si="1819"/>
        <v>1</v>
      </c>
      <c r="AO313" s="554">
        <f t="shared" si="1820"/>
        <v>1</v>
      </c>
      <c r="AP313" s="554">
        <f t="shared" si="1820"/>
        <v>1</v>
      </c>
      <c r="AQ313" s="554">
        <v>1</v>
      </c>
      <c r="AR313" s="554">
        <v>1</v>
      </c>
      <c r="AS313" s="555">
        <v>1</v>
      </c>
      <c r="AT313" s="554">
        <v>1</v>
      </c>
      <c r="AU313" s="554">
        <v>1</v>
      </c>
      <c r="AV313" s="554">
        <v>1</v>
      </c>
      <c r="AW313" s="554">
        <v>1</v>
      </c>
      <c r="AX313" s="554">
        <v>1</v>
      </c>
      <c r="AY313" s="554">
        <v>1</v>
      </c>
      <c r="AZ313" s="554">
        <v>1</v>
      </c>
      <c r="BA313" s="554">
        <v>1</v>
      </c>
      <c r="BB313" s="554">
        <v>1</v>
      </c>
      <c r="BC313" s="554">
        <v>1</v>
      </c>
      <c r="BD313" s="554">
        <v>1</v>
      </c>
      <c r="BE313" s="554">
        <v>1</v>
      </c>
      <c r="BF313" s="554">
        <v>1</v>
      </c>
      <c r="BG313" s="554">
        <v>1</v>
      </c>
      <c r="BH313" s="554">
        <v>1</v>
      </c>
      <c r="BI313" s="554">
        <v>1</v>
      </c>
      <c r="BJ313" s="554">
        <v>1</v>
      </c>
      <c r="BK313" s="554">
        <v>1</v>
      </c>
      <c r="BL313" s="554">
        <v>1</v>
      </c>
      <c r="BM313" s="554">
        <v>1</v>
      </c>
      <c r="BN313" s="554">
        <v>1</v>
      </c>
      <c r="BO313" s="554">
        <v>1</v>
      </c>
      <c r="BP313" s="554">
        <v>1</v>
      </c>
      <c r="BQ313" s="554">
        <v>1</v>
      </c>
      <c r="BR313" s="554">
        <v>1</v>
      </c>
      <c r="BS313" s="554">
        <v>1</v>
      </c>
      <c r="BT313" s="554">
        <v>1</v>
      </c>
      <c r="BU313" s="554">
        <v>1</v>
      </c>
      <c r="BV313" s="554">
        <v>1</v>
      </c>
      <c r="BW313" s="554">
        <v>1</v>
      </c>
      <c r="BX313" s="554">
        <v>1</v>
      </c>
      <c r="BY313" s="554">
        <v>1</v>
      </c>
      <c r="BZ313" s="554">
        <v>1</v>
      </c>
      <c r="CA313" s="554">
        <v>1</v>
      </c>
      <c r="CB313" s="554">
        <v>1</v>
      </c>
      <c r="CC313" s="554">
        <v>1</v>
      </c>
      <c r="CD313" s="554">
        <v>1</v>
      </c>
      <c r="CE313" s="554">
        <v>1</v>
      </c>
      <c r="CF313" s="554">
        <v>1</v>
      </c>
      <c r="CG313" s="554">
        <v>1</v>
      </c>
      <c r="CH313" s="554">
        <v>1</v>
      </c>
      <c r="CI313" s="554">
        <v>1</v>
      </c>
      <c r="CJ313" s="554">
        <v>1</v>
      </c>
      <c r="CK313" s="554">
        <v>1</v>
      </c>
      <c r="CL313" s="554">
        <v>1</v>
      </c>
      <c r="CM313" s="554">
        <v>1</v>
      </c>
      <c r="CN313" s="554">
        <v>1</v>
      </c>
      <c r="CO313" s="554">
        <v>1</v>
      </c>
    </row>
    <row r="314" spans="1:93" s="289" customFormat="1" x14ac:dyDescent="0.25">
      <c r="A314" s="455" t="str">
        <f>Language!C239</f>
        <v>Transbrasiliana</v>
      </c>
      <c r="B314" s="552">
        <v>0</v>
      </c>
      <c r="C314" s="552">
        <v>0</v>
      </c>
      <c r="D314" s="552">
        <v>0</v>
      </c>
      <c r="E314" s="552">
        <v>0</v>
      </c>
      <c r="F314" s="553">
        <v>0</v>
      </c>
      <c r="G314" s="552">
        <v>0</v>
      </c>
      <c r="H314" s="552">
        <v>0</v>
      </c>
      <c r="I314" s="552">
        <v>0</v>
      </c>
      <c r="J314" s="553">
        <v>0</v>
      </c>
      <c r="K314" s="552">
        <v>0</v>
      </c>
      <c r="L314" s="552">
        <v>0</v>
      </c>
      <c r="M314" s="552">
        <v>0</v>
      </c>
      <c r="N314" s="553">
        <v>0</v>
      </c>
      <c r="O314" s="552">
        <v>0</v>
      </c>
      <c r="P314" s="552">
        <v>0</v>
      </c>
      <c r="Q314" s="552">
        <v>0</v>
      </c>
      <c r="R314" s="553">
        <v>1</v>
      </c>
      <c r="S314" s="552">
        <v>1</v>
      </c>
      <c r="T314" s="552">
        <v>1</v>
      </c>
      <c r="U314" s="552">
        <v>1</v>
      </c>
      <c r="V314" s="552">
        <v>1</v>
      </c>
      <c r="W314" s="554">
        <v>1</v>
      </c>
      <c r="X314" s="555">
        <v>1</v>
      </c>
      <c r="Y314" s="556">
        <v>1</v>
      </c>
      <c r="Z314" s="554">
        <v>1</v>
      </c>
      <c r="AA314" s="552">
        <v>1</v>
      </c>
      <c r="AB314" s="552">
        <v>1</v>
      </c>
      <c r="AC314" s="554">
        <v>1</v>
      </c>
      <c r="AD314" s="554">
        <v>1</v>
      </c>
      <c r="AE314" s="555">
        <v>1</v>
      </c>
      <c r="AF314" s="554">
        <v>1</v>
      </c>
      <c r="AG314" s="554">
        <v>1</v>
      </c>
      <c r="AH314" s="552">
        <v>1</v>
      </c>
      <c r="AI314" s="552">
        <v>1</v>
      </c>
      <c r="AJ314" s="554">
        <v>1</v>
      </c>
      <c r="AK314" s="554">
        <v>1</v>
      </c>
      <c r="AL314" s="555">
        <v>1</v>
      </c>
      <c r="AM314" s="554">
        <v>1</v>
      </c>
      <c r="AN314" s="554">
        <f t="shared" si="1819"/>
        <v>1</v>
      </c>
      <c r="AO314" s="554">
        <f t="shared" si="1820"/>
        <v>1</v>
      </c>
      <c r="AP314" s="554">
        <f t="shared" si="1820"/>
        <v>1</v>
      </c>
      <c r="AQ314" s="554">
        <v>1</v>
      </c>
      <c r="AR314" s="554">
        <v>1</v>
      </c>
      <c r="AS314" s="555">
        <v>1</v>
      </c>
      <c r="AT314" s="554">
        <v>1</v>
      </c>
      <c r="AU314" s="554">
        <v>1</v>
      </c>
      <c r="AV314" s="554">
        <v>1</v>
      </c>
      <c r="AW314" s="554">
        <v>1</v>
      </c>
      <c r="AX314" s="554">
        <v>1</v>
      </c>
      <c r="AY314" s="554">
        <v>1</v>
      </c>
      <c r="AZ314" s="554">
        <v>1</v>
      </c>
      <c r="BA314" s="554">
        <v>1</v>
      </c>
      <c r="BB314" s="554">
        <v>1</v>
      </c>
      <c r="BC314" s="554">
        <v>1</v>
      </c>
      <c r="BD314" s="554">
        <v>1</v>
      </c>
      <c r="BE314" s="554">
        <v>1</v>
      </c>
      <c r="BF314" s="554">
        <v>1</v>
      </c>
      <c r="BG314" s="554">
        <v>1</v>
      </c>
      <c r="BH314" s="554">
        <v>1</v>
      </c>
      <c r="BI314" s="554">
        <v>1</v>
      </c>
      <c r="BJ314" s="554">
        <v>1</v>
      </c>
      <c r="BK314" s="554">
        <v>1</v>
      </c>
      <c r="BL314" s="554">
        <v>1</v>
      </c>
      <c r="BM314" s="554">
        <v>1</v>
      </c>
      <c r="BN314" s="554">
        <v>1</v>
      </c>
      <c r="BO314" s="554">
        <v>1</v>
      </c>
      <c r="BP314" s="554">
        <v>1</v>
      </c>
      <c r="BQ314" s="554">
        <v>1</v>
      </c>
      <c r="BR314" s="554">
        <v>1</v>
      </c>
      <c r="BS314" s="554">
        <v>1</v>
      </c>
      <c r="BT314" s="554">
        <v>1</v>
      </c>
      <c r="BU314" s="554">
        <v>1</v>
      </c>
      <c r="BV314" s="554">
        <v>1</v>
      </c>
      <c r="BW314" s="554">
        <v>1</v>
      </c>
      <c r="BX314" s="554">
        <v>1</v>
      </c>
      <c r="BY314" s="554">
        <v>1</v>
      </c>
      <c r="BZ314" s="554">
        <v>1</v>
      </c>
      <c r="CA314" s="554">
        <v>1</v>
      </c>
      <c r="CB314" s="554">
        <v>1</v>
      </c>
      <c r="CC314" s="554">
        <v>1</v>
      </c>
      <c r="CD314" s="554">
        <v>1</v>
      </c>
      <c r="CE314" s="554">
        <v>1</v>
      </c>
      <c r="CF314" s="554">
        <v>1</v>
      </c>
      <c r="CG314" s="554">
        <v>1</v>
      </c>
      <c r="CH314" s="554">
        <v>1</v>
      </c>
      <c r="CI314" s="554">
        <v>1</v>
      </c>
      <c r="CJ314" s="554">
        <v>1</v>
      </c>
      <c r="CK314" s="554">
        <v>1</v>
      </c>
      <c r="CL314" s="554">
        <v>1</v>
      </c>
      <c r="CM314" s="554">
        <v>1</v>
      </c>
      <c r="CN314" s="554">
        <v>1</v>
      </c>
      <c r="CO314" s="554">
        <v>1</v>
      </c>
    </row>
    <row r="315" spans="1:93" s="289" customFormat="1" ht="13" x14ac:dyDescent="0.3">
      <c r="A315" s="525" t="str">
        <f>Language!C240</f>
        <v>Capex</v>
      </c>
      <c r="B315" s="526">
        <f t="shared" ref="B315:P315" si="1821">SUM(B316,B317,B318,B319,B320)</f>
        <v>28536</v>
      </c>
      <c r="C315" s="526">
        <f t="shared" si="1821"/>
        <v>5469</v>
      </c>
      <c r="D315" s="526">
        <f t="shared" si="1821"/>
        <v>23849</v>
      </c>
      <c r="E315" s="526">
        <f t="shared" si="1821"/>
        <v>36801</v>
      </c>
      <c r="F315" s="527">
        <f t="shared" si="1821"/>
        <v>29015</v>
      </c>
      <c r="G315" s="526">
        <f t="shared" si="1821"/>
        <v>34961</v>
      </c>
      <c r="H315" s="526">
        <f t="shared" si="1821"/>
        <v>33083</v>
      </c>
      <c r="I315" s="526">
        <f t="shared" si="1821"/>
        <v>53174</v>
      </c>
      <c r="J315" s="527">
        <f t="shared" si="1821"/>
        <v>32799</v>
      </c>
      <c r="K315" s="526">
        <f t="shared" si="1821"/>
        <v>33479</v>
      </c>
      <c r="L315" s="526">
        <f t="shared" si="1821"/>
        <v>34051</v>
      </c>
      <c r="M315" s="526">
        <f t="shared" si="1821"/>
        <v>46110</v>
      </c>
      <c r="N315" s="527">
        <f t="shared" si="1821"/>
        <v>110669</v>
      </c>
      <c r="O315" s="526">
        <f t="shared" si="1821"/>
        <v>226111</v>
      </c>
      <c r="P315" s="526">
        <f t="shared" si="1821"/>
        <v>269125</v>
      </c>
      <c r="Q315" s="526">
        <f t="shared" ref="Q315:X315" si="1822">SUM(Q316,Q317,Q318,Q319,Q320)</f>
        <v>362220</v>
      </c>
      <c r="R315" s="527">
        <f t="shared" si="1822"/>
        <v>321756</v>
      </c>
      <c r="S315" s="526">
        <f t="shared" si="1822"/>
        <v>378010</v>
      </c>
      <c r="T315" s="526">
        <f t="shared" si="1822"/>
        <v>133062</v>
      </c>
      <c r="U315" s="526">
        <f t="shared" si="1822"/>
        <v>225322</v>
      </c>
      <c r="V315" s="526">
        <f t="shared" si="1822"/>
        <v>699766</v>
      </c>
      <c r="W315" s="528">
        <f t="shared" si="1822"/>
        <v>832828</v>
      </c>
      <c r="X315" s="529">
        <f t="shared" si="1822"/>
        <v>1058150</v>
      </c>
      <c r="Y315" s="530">
        <f>SUM(Y316,Y317,Y318,Y319,Y320)</f>
        <v>102220</v>
      </c>
      <c r="Z315" s="528">
        <f t="shared" ref="Z315:AC315" si="1823">SUM(Z316,Z317,Z318,Z319,Z320)</f>
        <v>95510.125599999999</v>
      </c>
      <c r="AA315" s="526">
        <f t="shared" si="1823"/>
        <v>45078.992799999993</v>
      </c>
      <c r="AB315" s="526">
        <f t="shared" si="1823"/>
        <v>72247.967000000004</v>
      </c>
      <c r="AC315" s="528">
        <f t="shared" si="1823"/>
        <v>197730.1256</v>
      </c>
      <c r="AD315" s="528">
        <f t="shared" ref="AD315:AE315" si="1824">SUM(AD316,AD317,AD318,AD319,AD320)</f>
        <v>242809.11839999998</v>
      </c>
      <c r="AE315" s="529">
        <f t="shared" si="1824"/>
        <v>315057.08539999998</v>
      </c>
      <c r="AF315" s="528">
        <f t="shared" ref="AF315:AJ315" si="1825">SUM(AF316,AF317,AF318,AF319,AF320)</f>
        <v>32025.216400000001</v>
      </c>
      <c r="AG315" s="528">
        <f t="shared" si="1825"/>
        <v>89170.783599999995</v>
      </c>
      <c r="AH315" s="526">
        <f t="shared" si="1825"/>
        <v>53164</v>
      </c>
      <c r="AI315" s="526" t="e">
        <f t="shared" si="1825"/>
        <v>#REF!</v>
      </c>
      <c r="AJ315" s="528">
        <f t="shared" si="1825"/>
        <v>121196</v>
      </c>
      <c r="AK315" s="528">
        <f t="shared" ref="AK315" si="1826">SUM(AK316,AK317,AK318,AK319,AK320)</f>
        <v>174360</v>
      </c>
      <c r="AL315" s="529" t="e">
        <f t="shared" ref="AL315:AQ315" si="1827">SUM(AL316,AL317,AL318,AL319,AL320)</f>
        <v>#REF!</v>
      </c>
      <c r="AM315" s="528">
        <f t="shared" si="1827"/>
        <v>25781</v>
      </c>
      <c r="AN315" s="528">
        <f>AQ315-AM315</f>
        <v>7626</v>
      </c>
      <c r="AO315" s="528">
        <f>AR315-AQ315</f>
        <v>71248</v>
      </c>
      <c r="AP315" s="528">
        <f>AS315-AR315</f>
        <v>49300</v>
      </c>
      <c r="AQ315" s="528">
        <f t="shared" si="1827"/>
        <v>33407</v>
      </c>
      <c r="AR315" s="528">
        <f t="shared" ref="AR315:AS315" si="1828">SUM(AR316,AR317,AR318,AR319,AR320)</f>
        <v>104655</v>
      </c>
      <c r="AS315" s="529">
        <f t="shared" si="1828"/>
        <v>153955</v>
      </c>
      <c r="AT315" s="528">
        <f t="shared" ref="AT315" si="1829">SUM(AT316,AT317,AT318,AT319,AT320)</f>
        <v>20255</v>
      </c>
      <c r="AU315" s="528">
        <v>15609</v>
      </c>
      <c r="AV315" s="528">
        <f t="shared" ref="AV315:AZ315" si="1830">SUM(AV316,AV317,AV318,AV319,AV320)</f>
        <v>26848</v>
      </c>
      <c r="AW315" s="528">
        <f t="shared" ref="AW315" si="1831">SUM(AW316,AW317,AW318,AW319,AW320)</f>
        <v>42510</v>
      </c>
      <c r="AX315" s="528">
        <f>AU315+AT315</f>
        <v>35864</v>
      </c>
      <c r="AY315" s="528">
        <f t="shared" si="1830"/>
        <v>62712</v>
      </c>
      <c r="AZ315" s="528">
        <f t="shared" si="1830"/>
        <v>105222</v>
      </c>
      <c r="BA315" s="528">
        <f t="shared" ref="BA315:BB315" si="1832">SUM(BA316,BA317,BA318,BA319,BA320)</f>
        <v>34521.491999999998</v>
      </c>
      <c r="BB315" s="528">
        <f t="shared" si="1832"/>
        <v>50948</v>
      </c>
      <c r="BC315" s="528">
        <f t="shared" ref="BC315:BE315" si="1833">SUM(BC316,BC317,BC318,BC319,BC320)</f>
        <v>29566</v>
      </c>
      <c r="BD315" s="528">
        <f t="shared" ref="BD315" si="1834">SUM(BD316,BD317,BD318,BD319,BD320)</f>
        <v>35431</v>
      </c>
      <c r="BE315" s="528">
        <f t="shared" si="1833"/>
        <v>50948</v>
      </c>
      <c r="BF315" s="528">
        <f t="shared" ref="BF315:BG315" si="1835">SUM(BF316,BF317,BF318,BF319,BF320)</f>
        <v>80514</v>
      </c>
      <c r="BG315" s="528">
        <f t="shared" si="1835"/>
        <v>115945</v>
      </c>
      <c r="BH315" s="528">
        <f t="shared" ref="BH315:BL315" si="1836">SUM(BH316,BH317,BH318,BH319,BH320)</f>
        <v>36465</v>
      </c>
      <c r="BI315" s="528">
        <f t="shared" si="1836"/>
        <v>42215</v>
      </c>
      <c r="BJ315" s="528">
        <f t="shared" si="1836"/>
        <v>45703</v>
      </c>
      <c r="BK315" s="528">
        <f t="shared" si="1836"/>
        <v>43243</v>
      </c>
      <c r="BL315" s="528">
        <f t="shared" si="1836"/>
        <v>78680</v>
      </c>
      <c r="BM315" s="528">
        <f t="shared" ref="BM315:BN315" si="1837">SUM(BM316,BM317,BM318,BM319,BM320)</f>
        <v>124383</v>
      </c>
      <c r="BN315" s="528">
        <f t="shared" si="1837"/>
        <v>167626</v>
      </c>
      <c r="BO315" s="528" t="e">
        <f t="shared" ref="BO315:BS315" si="1838">SUM(BO316,BO317,BO318,BO319,BO320)</f>
        <v>#REF!</v>
      </c>
      <c r="BP315" s="528" t="e">
        <f t="shared" si="1838"/>
        <v>#REF!</v>
      </c>
      <c r="BQ315" s="528">
        <f t="shared" si="1838"/>
        <v>41001</v>
      </c>
      <c r="BR315" s="528">
        <f t="shared" si="1838"/>
        <v>63054</v>
      </c>
      <c r="BS315" s="528">
        <f t="shared" si="1838"/>
        <v>55297</v>
      </c>
      <c r="BT315" s="528">
        <f>SUM(BT316,BT317,BT318,BT319,BT320)</f>
        <v>96298</v>
      </c>
      <c r="BU315" s="528">
        <f>SUM(BU316,BU317,BU318,BU319,BU320)</f>
        <v>159352</v>
      </c>
      <c r="BV315" s="528">
        <f>SUM(BV316,BV317,BV318,BV319,BV320)</f>
        <v>26622</v>
      </c>
      <c r="BW315" s="528">
        <f t="shared" ref="BW315:BZ315" si="1839">SUM(BW316,BW317,BW318,BW319,BW320)</f>
        <v>40587</v>
      </c>
      <c r="BX315" s="528">
        <f t="shared" si="1839"/>
        <v>113380</v>
      </c>
      <c r="BY315" s="528">
        <f t="shared" si="1839"/>
        <v>47414</v>
      </c>
      <c r="BZ315" s="528">
        <f t="shared" si="1839"/>
        <v>67209</v>
      </c>
      <c r="CA315" s="528">
        <f t="shared" ref="CA315:CB315" si="1840">SUM(CA316,CA317,CA318,CA319,CA320)</f>
        <v>180589</v>
      </c>
      <c r="CB315" s="528">
        <f t="shared" si="1840"/>
        <v>228003</v>
      </c>
      <c r="CC315" s="528">
        <f t="shared" ref="CC315:CD315" si="1841">SUM(CC316,CC317,CC318,CC319,CC320)</f>
        <v>23654</v>
      </c>
      <c r="CD315" s="528">
        <f t="shared" si="1841"/>
        <v>76705</v>
      </c>
      <c r="CE315" s="528">
        <f t="shared" ref="CE315:CG315" si="1842">SUM(CE316,CE317,CE318,CE319,CE320)</f>
        <v>43147</v>
      </c>
      <c r="CF315" s="528">
        <f t="shared" si="1842"/>
        <v>0</v>
      </c>
      <c r="CG315" s="528">
        <f t="shared" si="1842"/>
        <v>100359</v>
      </c>
      <c r="CH315" s="528">
        <f t="shared" ref="CH315:CI315" si="1843">SUM(CH316,CH317,CH318,CH319,CH320)</f>
        <v>143506</v>
      </c>
      <c r="CI315" s="528">
        <f t="shared" si="1843"/>
        <v>172883</v>
      </c>
      <c r="CJ315" s="528">
        <v>20623</v>
      </c>
      <c r="CK315" s="528">
        <f t="shared" ref="CK315" si="1844">SUM(CK316,CK317,CK318,CK319,CK320)</f>
        <v>28952</v>
      </c>
      <c r="CL315" s="528">
        <f t="shared" ref="CL315:CO315" si="1845">SUM(CL316,CL317,CL318,CL319,CL320)</f>
        <v>0</v>
      </c>
      <c r="CM315" s="528">
        <f t="shared" si="1845"/>
        <v>0</v>
      </c>
      <c r="CN315" s="528">
        <f t="shared" si="1845"/>
        <v>49575</v>
      </c>
      <c r="CO315" s="528">
        <f t="shared" si="1845"/>
        <v>0</v>
      </c>
    </row>
    <row r="316" spans="1:93" s="289" customFormat="1" x14ac:dyDescent="0.25">
      <c r="A316" s="455" t="str">
        <f>Language!C241</f>
        <v>Concepa</v>
      </c>
      <c r="B316" s="280">
        <v>21796</v>
      </c>
      <c r="C316" s="280">
        <v>1900</v>
      </c>
      <c r="D316" s="280">
        <v>3959</v>
      </c>
      <c r="E316" s="280">
        <v>16740</v>
      </c>
      <c r="F316" s="279">
        <v>16265</v>
      </c>
      <c r="G316" s="280">
        <v>15569</v>
      </c>
      <c r="H316" s="280">
        <v>13486</v>
      </c>
      <c r="I316" s="280">
        <v>18943</v>
      </c>
      <c r="J316" s="279">
        <v>11328</v>
      </c>
      <c r="K316" s="280">
        <v>10356</v>
      </c>
      <c r="L316" s="280">
        <v>4411</v>
      </c>
      <c r="M316" s="280">
        <v>12272</v>
      </c>
      <c r="N316" s="279">
        <v>11422</v>
      </c>
      <c r="O316" s="280">
        <v>14169</v>
      </c>
      <c r="P316" s="280">
        <v>27639</v>
      </c>
      <c r="Q316" s="280">
        <v>44592</v>
      </c>
      <c r="R316" s="279">
        <v>33325</v>
      </c>
      <c r="S316" s="280">
        <v>33775</v>
      </c>
      <c r="T316" s="281">
        <f t="shared" ref="T316:T320" si="1846">W316-S316-R316</f>
        <v>26260</v>
      </c>
      <c r="U316" s="281">
        <f>X316-W316</f>
        <v>45412</v>
      </c>
      <c r="V316" s="281">
        <f>R316+S316</f>
        <v>67100</v>
      </c>
      <c r="W316" s="281">
        <v>93360</v>
      </c>
      <c r="X316" s="282">
        <v>138772</v>
      </c>
      <c r="Y316" s="283">
        <v>6040</v>
      </c>
      <c r="Z316" s="281">
        <f>AC316-Y316</f>
        <v>9324</v>
      </c>
      <c r="AA316" s="281">
        <f t="shared" ref="AA316:AA320" si="1847">AD316-Z316-Y316</f>
        <v>3874</v>
      </c>
      <c r="AB316" s="281">
        <f>AE316-AD316</f>
        <v>1187</v>
      </c>
      <c r="AC316" s="281">
        <v>15364</v>
      </c>
      <c r="AD316" s="281">
        <v>19238</v>
      </c>
      <c r="AE316" s="282">
        <v>20425</v>
      </c>
      <c r="AF316" s="281">
        <v>11024</v>
      </c>
      <c r="AG316" s="281">
        <f>AJ316-AF316</f>
        <v>26202</v>
      </c>
      <c r="AH316" s="281">
        <v>244</v>
      </c>
      <c r="AI316" s="281" t="e">
        <f>AL316-AK316</f>
        <v>#REF!</v>
      </c>
      <c r="AJ316" s="281">
        <v>37226</v>
      </c>
      <c r="AK316" s="281">
        <v>37470</v>
      </c>
      <c r="AL316" s="282" t="e">
        <f>#REF!</f>
        <v>#REF!</v>
      </c>
      <c r="AM316" s="281">
        <v>389</v>
      </c>
      <c r="AN316" s="281">
        <f t="shared" ref="AN316:AN370" si="1848">AQ316-AM316</f>
        <v>-366</v>
      </c>
      <c r="AO316" s="281">
        <f t="shared" ref="AO316:AP370" si="1849">AR316-AQ316</f>
        <v>389</v>
      </c>
      <c r="AP316" s="281">
        <f t="shared" si="1849"/>
        <v>-1</v>
      </c>
      <c r="AQ316" s="281">
        <v>23</v>
      </c>
      <c r="AR316" s="281">
        <v>412</v>
      </c>
      <c r="AS316" s="282">
        <v>411</v>
      </c>
      <c r="AT316" s="302"/>
      <c r="AU316" s="302"/>
      <c r="AV316" s="302"/>
      <c r="AW316" s="302"/>
      <c r="AX316" s="302"/>
      <c r="AY316" s="302"/>
      <c r="AZ316" s="302"/>
      <c r="BA316" s="302"/>
      <c r="BB316" s="302"/>
      <c r="BC316" s="302"/>
      <c r="BD316" s="302"/>
      <c r="BE316" s="302"/>
      <c r="BF316" s="302"/>
      <c r="BG316" s="302"/>
      <c r="BH316" s="302"/>
      <c r="BI316" s="302"/>
      <c r="BJ316" s="302"/>
      <c r="BK316" s="302"/>
      <c r="BL316" s="302"/>
      <c r="BM316" s="302"/>
      <c r="BN316" s="302"/>
      <c r="BO316" s="302"/>
      <c r="BP316" s="302"/>
      <c r="BQ316" s="302"/>
      <c r="BR316" s="302"/>
      <c r="BS316" s="302"/>
      <c r="BT316" s="302"/>
      <c r="BU316" s="302"/>
      <c r="BV316" s="302"/>
    </row>
    <row r="317" spans="1:93" s="289" customFormat="1" x14ac:dyDescent="0.25">
      <c r="A317" s="455" t="str">
        <f>Language!C242</f>
        <v>Concer</v>
      </c>
      <c r="B317" s="280">
        <v>5220</v>
      </c>
      <c r="C317" s="280">
        <v>1812</v>
      </c>
      <c r="D317" s="280">
        <v>12925</v>
      </c>
      <c r="E317" s="280">
        <v>15078</v>
      </c>
      <c r="F317" s="279">
        <v>7228</v>
      </c>
      <c r="G317" s="280">
        <v>7453</v>
      </c>
      <c r="H317" s="280">
        <v>10961</v>
      </c>
      <c r="I317" s="280">
        <v>17155</v>
      </c>
      <c r="J317" s="279">
        <v>13444</v>
      </c>
      <c r="K317" s="280">
        <v>13165</v>
      </c>
      <c r="L317" s="280">
        <v>13075</v>
      </c>
      <c r="M317" s="280">
        <v>547</v>
      </c>
      <c r="N317" s="279">
        <v>34560</v>
      </c>
      <c r="O317" s="280">
        <v>26863</v>
      </c>
      <c r="P317" s="280">
        <v>66989</v>
      </c>
      <c r="Q317" s="280">
        <v>76624</v>
      </c>
      <c r="R317" s="279">
        <v>73385</v>
      </c>
      <c r="S317" s="280">
        <v>37629</v>
      </c>
      <c r="T317" s="281">
        <f t="shared" si="1846"/>
        <v>24388</v>
      </c>
      <c r="U317" s="281">
        <f>X317-W317</f>
        <v>22871</v>
      </c>
      <c r="V317" s="281">
        <f t="shared" ref="V317:V320" si="1850">R317+S317</f>
        <v>111014</v>
      </c>
      <c r="W317" s="281">
        <v>135402</v>
      </c>
      <c r="X317" s="282">
        <v>158273</v>
      </c>
      <c r="Y317" s="283">
        <v>23183</v>
      </c>
      <c r="Z317" s="281">
        <f>AC317-Y317</f>
        <v>19779.125599999999</v>
      </c>
      <c r="AA317" s="281">
        <f t="shared" si="1847"/>
        <v>6887.9927999999927</v>
      </c>
      <c r="AB317" s="281">
        <f>AE317-AD317</f>
        <v>7788.9670000000115</v>
      </c>
      <c r="AC317" s="281">
        <v>42962.125599999999</v>
      </c>
      <c r="AD317" s="281">
        <v>49850.118399999992</v>
      </c>
      <c r="AE317" s="282">
        <v>57639.085400000004</v>
      </c>
      <c r="AF317" s="281">
        <v>4820.2164000000002</v>
      </c>
      <c r="AG317" s="281">
        <f>AJ317-AF317</f>
        <v>41563.783600000002</v>
      </c>
      <c r="AH317" s="281">
        <v>4411</v>
      </c>
      <c r="AI317" s="281" t="e">
        <f>AL317-AK317</f>
        <v>#REF!</v>
      </c>
      <c r="AJ317" s="281">
        <v>46384</v>
      </c>
      <c r="AK317" s="281">
        <v>50795</v>
      </c>
      <c r="AL317" s="282" t="e">
        <f>#REF!</f>
        <v>#REF!</v>
      </c>
      <c r="AM317" s="281">
        <v>1944</v>
      </c>
      <c r="AN317" s="281">
        <f t="shared" si="1848"/>
        <v>-278</v>
      </c>
      <c r="AO317" s="281">
        <f t="shared" si="1849"/>
        <v>3768</v>
      </c>
      <c r="AP317" s="281">
        <f t="shared" si="1849"/>
        <v>2141</v>
      </c>
      <c r="AQ317" s="281">
        <v>1666</v>
      </c>
      <c r="AR317" s="281">
        <v>5434</v>
      </c>
      <c r="AS317" s="282">
        <v>7575</v>
      </c>
      <c r="AT317" s="302">
        <v>1862</v>
      </c>
      <c r="AU317" s="302">
        <v>908</v>
      </c>
      <c r="AV317" s="302">
        <f>AY317-AX317</f>
        <v>1744</v>
      </c>
      <c r="AW317" s="302">
        <f>AZ317-AY317</f>
        <v>2317</v>
      </c>
      <c r="AX317" s="302">
        <f>AU317+AT317</f>
        <v>2770</v>
      </c>
      <c r="AY317" s="302">
        <v>4514</v>
      </c>
      <c r="AZ317" s="302">
        <v>6831</v>
      </c>
      <c r="BA317" s="302">
        <v>5550.7195000000002</v>
      </c>
      <c r="BB317" s="302">
        <f>BE317</f>
        <v>2298</v>
      </c>
      <c r="BC317" s="302">
        <f>BF317-BE317</f>
        <v>769</v>
      </c>
      <c r="BD317" s="302">
        <f>BG317-BF317</f>
        <v>806</v>
      </c>
      <c r="BE317" s="302">
        <v>2298</v>
      </c>
      <c r="BF317" s="302">
        <v>3067</v>
      </c>
      <c r="BG317" s="302">
        <v>3873</v>
      </c>
      <c r="BH317" s="302">
        <v>982</v>
      </c>
      <c r="BI317" s="302">
        <f>BL317-BH317</f>
        <v>497</v>
      </c>
      <c r="BJ317" s="302">
        <f>BM317-BL317</f>
        <v>564</v>
      </c>
      <c r="BK317" s="302">
        <f>BN317-BM317</f>
        <v>1021</v>
      </c>
      <c r="BL317" s="302">
        <v>1479</v>
      </c>
      <c r="BM317" s="302">
        <v>2043</v>
      </c>
      <c r="BN317" s="302">
        <v>3064</v>
      </c>
      <c r="BO317" s="302" t="e">
        <f>#REF!</f>
        <v>#REF!</v>
      </c>
      <c r="BP317" s="302" t="e">
        <f>BS317-BO317</f>
        <v>#REF!</v>
      </c>
      <c r="BQ317" s="302">
        <f>BT317-BS317</f>
        <v>207</v>
      </c>
      <c r="BR317" s="302">
        <f>BU317-BT317</f>
        <v>116</v>
      </c>
      <c r="BS317" s="302">
        <v>174</v>
      </c>
      <c r="BT317" s="302">
        <v>381</v>
      </c>
      <c r="BU317" s="302">
        <v>497</v>
      </c>
      <c r="BV317" s="302">
        <v>127</v>
      </c>
      <c r="BW317" s="289">
        <f>BZ317-BV317</f>
        <v>212</v>
      </c>
      <c r="BX317" s="289">
        <f>CA317-BZ317</f>
        <v>129</v>
      </c>
      <c r="BY317" s="289">
        <f>CB317-CA317</f>
        <v>1387</v>
      </c>
      <c r="BZ317" s="302">
        <v>339</v>
      </c>
      <c r="CA317" s="302">
        <v>468</v>
      </c>
      <c r="CB317" s="302">
        <v>1855</v>
      </c>
      <c r="CC317" s="302">
        <v>4177</v>
      </c>
      <c r="CD317" s="302">
        <f>CG317-CC317</f>
        <v>8053</v>
      </c>
      <c r="CE317" s="302">
        <f>CH317-CG317</f>
        <v>6079</v>
      </c>
      <c r="CF317" s="302"/>
      <c r="CG317" s="302">
        <v>12230</v>
      </c>
      <c r="CH317" s="302">
        <v>18309</v>
      </c>
      <c r="CI317" s="302">
        <v>23223</v>
      </c>
      <c r="CJ317" s="302">
        <v>2182</v>
      </c>
      <c r="CK317" s="302">
        <f>CN317-CJ317</f>
        <v>292</v>
      </c>
      <c r="CL317" s="302"/>
      <c r="CM317" s="302"/>
      <c r="CN317" s="302">
        <v>2474</v>
      </c>
      <c r="CO317" s="302"/>
    </row>
    <row r="318" spans="1:93" s="289" customFormat="1" x14ac:dyDescent="0.25">
      <c r="A318" s="455" t="str">
        <f>Language!C243</f>
        <v>Econorte</v>
      </c>
      <c r="B318" s="280">
        <v>1520</v>
      </c>
      <c r="C318" s="280">
        <v>1757</v>
      </c>
      <c r="D318" s="280">
        <v>6965</v>
      </c>
      <c r="E318" s="280">
        <v>4983</v>
      </c>
      <c r="F318" s="279">
        <v>5522</v>
      </c>
      <c r="G318" s="280">
        <v>11939</v>
      </c>
      <c r="H318" s="280">
        <v>8636</v>
      </c>
      <c r="I318" s="280">
        <v>17076</v>
      </c>
      <c r="J318" s="279">
        <v>8027</v>
      </c>
      <c r="K318" s="280">
        <v>9958</v>
      </c>
      <c r="L318" s="280">
        <v>16565</v>
      </c>
      <c r="M318" s="280">
        <v>33291</v>
      </c>
      <c r="N318" s="279">
        <v>26822</v>
      </c>
      <c r="O318" s="280">
        <v>24378</v>
      </c>
      <c r="P318" s="280">
        <v>23694</v>
      </c>
      <c r="Q318" s="280">
        <v>19472</v>
      </c>
      <c r="R318" s="279">
        <v>4565</v>
      </c>
      <c r="S318" s="280">
        <v>8465</v>
      </c>
      <c r="T318" s="281">
        <f t="shared" si="1846"/>
        <v>9516</v>
      </c>
      <c r="U318" s="281">
        <f>X318-W318</f>
        <v>12452</v>
      </c>
      <c r="V318" s="281">
        <f t="shared" si="1850"/>
        <v>13030</v>
      </c>
      <c r="W318" s="281">
        <v>22546</v>
      </c>
      <c r="X318" s="282">
        <v>34998</v>
      </c>
      <c r="Y318" s="283">
        <v>5605</v>
      </c>
      <c r="Z318" s="281">
        <f>AC318-Y318</f>
        <v>6311</v>
      </c>
      <c r="AA318" s="281">
        <f t="shared" si="1847"/>
        <v>9604</v>
      </c>
      <c r="AB318" s="281">
        <f>AE318-AD318</f>
        <v>6738</v>
      </c>
      <c r="AC318" s="281">
        <v>11916</v>
      </c>
      <c r="AD318" s="281">
        <v>21520</v>
      </c>
      <c r="AE318" s="282">
        <v>28258</v>
      </c>
      <c r="AF318" s="281">
        <v>6895</v>
      </c>
      <c r="AG318" s="281">
        <f>AJ318-AF318</f>
        <v>8446</v>
      </c>
      <c r="AH318" s="281">
        <v>17488</v>
      </c>
      <c r="AI318" s="281" t="e">
        <f>AL318-AK318</f>
        <v>#REF!</v>
      </c>
      <c r="AJ318" s="281">
        <v>15341</v>
      </c>
      <c r="AK318" s="281">
        <v>32829</v>
      </c>
      <c r="AL318" s="282" t="e">
        <f>#REF!</f>
        <v>#REF!</v>
      </c>
      <c r="AM318" s="281">
        <v>1003</v>
      </c>
      <c r="AN318" s="281">
        <f t="shared" si="1848"/>
        <v>-123</v>
      </c>
      <c r="AO318" s="281">
        <f t="shared" si="1849"/>
        <v>8667</v>
      </c>
      <c r="AP318" s="281">
        <f t="shared" si="1849"/>
        <v>16533</v>
      </c>
      <c r="AQ318" s="281">
        <v>880</v>
      </c>
      <c r="AR318" s="281">
        <v>9547</v>
      </c>
      <c r="AS318" s="282">
        <v>26080</v>
      </c>
      <c r="AT318" s="302">
        <v>9089</v>
      </c>
      <c r="AU318" s="302">
        <v>5710</v>
      </c>
      <c r="AV318" s="302">
        <f t="shared" ref="AV318:AW320" si="1851">AY318-AX318</f>
        <v>9358</v>
      </c>
      <c r="AW318" s="302">
        <f t="shared" si="1851"/>
        <v>19135</v>
      </c>
      <c r="AX318" s="302">
        <f>AU318+AT318</f>
        <v>14799</v>
      </c>
      <c r="AY318" s="302">
        <v>24157</v>
      </c>
      <c r="AZ318" s="302">
        <v>43292</v>
      </c>
      <c r="BA318" s="302">
        <v>3114</v>
      </c>
      <c r="BB318" s="302">
        <f t="shared" ref="BB318:BB320" si="1852">BE318</f>
        <v>32896</v>
      </c>
      <c r="BC318" s="302">
        <f t="shared" ref="BC318:BC320" si="1853">BF318-BE318</f>
        <v>13670</v>
      </c>
      <c r="BD318" s="302">
        <f t="shared" ref="BD318:BD320" si="1854">BG318-BF318</f>
        <v>21510</v>
      </c>
      <c r="BE318" s="302">
        <v>32896</v>
      </c>
      <c r="BF318" s="302">
        <v>46566</v>
      </c>
      <c r="BG318" s="302">
        <v>68076</v>
      </c>
      <c r="BH318" s="302">
        <v>24662</v>
      </c>
      <c r="BI318" s="302">
        <f t="shared" ref="BI318:BI320" si="1855">BL318-BH318</f>
        <v>30560</v>
      </c>
      <c r="BJ318" s="302">
        <f t="shared" ref="BJ318:BJ320" si="1856">BM318-BL318</f>
        <v>29496</v>
      </c>
      <c r="BK318" s="302">
        <f t="shared" ref="BK318:BK320" si="1857">BN318-BM318</f>
        <v>21951</v>
      </c>
      <c r="BL318" s="302">
        <v>55222</v>
      </c>
      <c r="BM318" s="302">
        <v>84718</v>
      </c>
      <c r="BN318" s="302">
        <v>106669</v>
      </c>
      <c r="BO318" s="302">
        <v>3316</v>
      </c>
      <c r="BP318" s="302">
        <f t="shared" ref="BP318:BP320" si="1858">BS318-BO318</f>
        <v>133</v>
      </c>
      <c r="BQ318" s="302">
        <f>BT318-BS318</f>
        <v>50</v>
      </c>
      <c r="BR318" s="302">
        <f t="shared" ref="BR318:BR320" si="1859">BU318-BT318</f>
        <v>75</v>
      </c>
      <c r="BS318" s="302">
        <v>3449</v>
      </c>
      <c r="BT318" s="302">
        <v>3499</v>
      </c>
      <c r="BU318" s="302">
        <v>3574</v>
      </c>
      <c r="BV318" s="302">
        <v>0</v>
      </c>
      <c r="BW318" s="289">
        <f t="shared" ref="BW318:BW320" si="1860">BZ318-BV318</f>
        <v>0</v>
      </c>
      <c r="BX318" s="289">
        <f t="shared" ref="BX318:BX320" si="1861">CA318-BZ318</f>
        <v>0</v>
      </c>
      <c r="BY318" s="289">
        <f t="shared" ref="BY318:BY320" si="1862">CB318-CA318</f>
        <v>0</v>
      </c>
      <c r="BZ318" s="302">
        <v>0</v>
      </c>
      <c r="CA318" s="302">
        <v>0</v>
      </c>
      <c r="CB318" s="302">
        <v>0</v>
      </c>
      <c r="CC318" s="302">
        <v>0</v>
      </c>
      <c r="CD318" s="302">
        <f t="shared" ref="CD318:CD320" si="1863">CG318-CC318</f>
        <v>0</v>
      </c>
      <c r="CE318" s="302">
        <f t="shared" ref="CE318:CE320" si="1864">CH318-CG318</f>
        <v>0</v>
      </c>
      <c r="CF318" s="302"/>
      <c r="CG318" s="302">
        <v>0</v>
      </c>
      <c r="CH318" s="302">
        <v>0</v>
      </c>
      <c r="CI318" s="302">
        <v>0</v>
      </c>
      <c r="CJ318" s="302">
        <v>0</v>
      </c>
      <c r="CK318" s="302">
        <f t="shared" ref="CK318:CK320" si="1865">CN318-CJ318</f>
        <v>0</v>
      </c>
      <c r="CL318" s="302"/>
      <c r="CM318" s="302"/>
      <c r="CN318" s="302">
        <v>0</v>
      </c>
      <c r="CO318" s="302"/>
    </row>
    <row r="319" spans="1:93" s="289" customFormat="1" x14ac:dyDescent="0.25">
      <c r="A319" s="455" t="str">
        <f>Language!C244</f>
        <v>Concebra</v>
      </c>
      <c r="B319" s="280">
        <v>0</v>
      </c>
      <c r="C319" s="280">
        <v>0</v>
      </c>
      <c r="D319" s="280">
        <v>0</v>
      </c>
      <c r="E319" s="280">
        <v>0</v>
      </c>
      <c r="F319" s="279">
        <v>0</v>
      </c>
      <c r="G319" s="280">
        <v>0</v>
      </c>
      <c r="H319" s="280">
        <v>0</v>
      </c>
      <c r="I319" s="280">
        <v>0</v>
      </c>
      <c r="J319" s="279">
        <v>0</v>
      </c>
      <c r="K319" s="280">
        <v>0</v>
      </c>
      <c r="L319" s="280">
        <v>0</v>
      </c>
      <c r="M319" s="280">
        <v>0</v>
      </c>
      <c r="N319" s="279">
        <v>37865</v>
      </c>
      <c r="O319" s="280">
        <v>160701</v>
      </c>
      <c r="P319" s="280">
        <v>150803</v>
      </c>
      <c r="Q319" s="280">
        <v>221532</v>
      </c>
      <c r="R319" s="279">
        <v>185313</v>
      </c>
      <c r="S319" s="280">
        <v>282615</v>
      </c>
      <c r="T319" s="281">
        <f t="shared" si="1846"/>
        <v>56910</v>
      </c>
      <c r="U319" s="281">
        <f>X319-W319</f>
        <v>104024</v>
      </c>
      <c r="V319" s="281">
        <f t="shared" si="1850"/>
        <v>467928</v>
      </c>
      <c r="W319" s="281">
        <v>524838</v>
      </c>
      <c r="X319" s="282">
        <v>628862</v>
      </c>
      <c r="Y319" s="283">
        <v>49648</v>
      </c>
      <c r="Z319" s="281">
        <f>AC319-Y319</f>
        <v>45655</v>
      </c>
      <c r="AA319" s="281">
        <f t="shared" si="1847"/>
        <v>19614</v>
      </c>
      <c r="AB319" s="281">
        <f>AE319-AD319</f>
        <v>53148</v>
      </c>
      <c r="AC319" s="281">
        <v>95303</v>
      </c>
      <c r="AD319" s="281">
        <v>114917</v>
      </c>
      <c r="AE319" s="282">
        <v>168065</v>
      </c>
      <c r="AF319" s="281">
        <v>6460</v>
      </c>
      <c r="AG319" s="281">
        <f>AJ319-AF319</f>
        <v>6701</v>
      </c>
      <c r="AH319" s="281">
        <v>25327</v>
      </c>
      <c r="AI319" s="281" t="e">
        <f>AL319-AK319</f>
        <v>#REF!</v>
      </c>
      <c r="AJ319" s="281">
        <v>13161</v>
      </c>
      <c r="AK319" s="281">
        <v>38488</v>
      </c>
      <c r="AL319" s="282" t="e">
        <f>#REF!</f>
        <v>#REF!</v>
      </c>
      <c r="AM319" s="281">
        <v>13305</v>
      </c>
      <c r="AN319" s="281">
        <f t="shared" si="1848"/>
        <v>4219</v>
      </c>
      <c r="AO319" s="281">
        <f t="shared" si="1849"/>
        <v>37525</v>
      </c>
      <c r="AP319" s="281">
        <f t="shared" si="1849"/>
        <v>16252</v>
      </c>
      <c r="AQ319" s="281">
        <v>17524</v>
      </c>
      <c r="AR319" s="281">
        <v>55049</v>
      </c>
      <c r="AS319" s="282">
        <v>71301</v>
      </c>
      <c r="AT319" s="302">
        <v>3240</v>
      </c>
      <c r="AU319" s="302">
        <v>2152</v>
      </c>
      <c r="AV319" s="302">
        <f t="shared" si="1851"/>
        <v>8490</v>
      </c>
      <c r="AW319" s="302">
        <f t="shared" si="1851"/>
        <v>13122</v>
      </c>
      <c r="AX319" s="302">
        <f>AU319+AT319</f>
        <v>5392</v>
      </c>
      <c r="AY319" s="302">
        <v>13882</v>
      </c>
      <c r="AZ319" s="302">
        <v>27004</v>
      </c>
      <c r="BA319" s="302">
        <v>20203.436000000002</v>
      </c>
      <c r="BB319" s="302">
        <f t="shared" si="1852"/>
        <v>7426</v>
      </c>
      <c r="BC319" s="302">
        <f t="shared" si="1853"/>
        <v>8978</v>
      </c>
      <c r="BD319" s="302">
        <f t="shared" si="1854"/>
        <v>6924</v>
      </c>
      <c r="BE319" s="302">
        <v>7426</v>
      </c>
      <c r="BF319" s="302">
        <v>16404</v>
      </c>
      <c r="BG319" s="302">
        <v>23328</v>
      </c>
      <c r="BH319" s="302">
        <v>5918</v>
      </c>
      <c r="BI319" s="302">
        <f t="shared" si="1855"/>
        <v>4986</v>
      </c>
      <c r="BJ319" s="302">
        <f t="shared" si="1856"/>
        <v>-2053</v>
      </c>
      <c r="BK319" s="302">
        <f t="shared" si="1857"/>
        <v>1092</v>
      </c>
      <c r="BL319" s="302">
        <v>10904</v>
      </c>
      <c r="BM319" s="302">
        <v>8851</v>
      </c>
      <c r="BN319" s="302">
        <v>9943</v>
      </c>
      <c r="BO319" s="302">
        <v>6716</v>
      </c>
      <c r="BP319" s="302">
        <f t="shared" si="1858"/>
        <v>7374</v>
      </c>
      <c r="BQ319" s="302">
        <f t="shared" ref="BQ319:BQ320" si="1866">BT319-BS319</f>
        <v>12539</v>
      </c>
      <c r="BR319" s="302">
        <f t="shared" si="1859"/>
        <v>12408</v>
      </c>
      <c r="BS319" s="302">
        <v>14090</v>
      </c>
      <c r="BT319" s="302">
        <v>26629</v>
      </c>
      <c r="BU319" s="302">
        <v>39037</v>
      </c>
      <c r="BV319" s="302">
        <v>7709</v>
      </c>
      <c r="BW319" s="289">
        <f t="shared" si="1860"/>
        <v>17182</v>
      </c>
      <c r="BX319" s="289">
        <f t="shared" si="1861"/>
        <v>85664</v>
      </c>
      <c r="BY319" s="289">
        <f t="shared" si="1862"/>
        <v>20170</v>
      </c>
      <c r="BZ319" s="302">
        <v>24891</v>
      </c>
      <c r="CA319" s="302">
        <v>110555</v>
      </c>
      <c r="CB319" s="302">
        <v>130725</v>
      </c>
      <c r="CC319" s="302">
        <v>5825</v>
      </c>
      <c r="CD319" s="302">
        <f t="shared" si="1863"/>
        <v>53061</v>
      </c>
      <c r="CE319" s="302">
        <f t="shared" si="1864"/>
        <v>24117</v>
      </c>
      <c r="CF319" s="302"/>
      <c r="CG319" s="302">
        <v>58886</v>
      </c>
      <c r="CH319" s="302">
        <v>83003</v>
      </c>
      <c r="CI319" s="302">
        <v>96288</v>
      </c>
      <c r="CJ319" s="302">
        <v>4246</v>
      </c>
      <c r="CK319" s="302">
        <f t="shared" si="1865"/>
        <v>3754</v>
      </c>
      <c r="CL319" s="302"/>
      <c r="CM319" s="302"/>
      <c r="CN319" s="302">
        <v>8000</v>
      </c>
      <c r="CO319" s="302"/>
    </row>
    <row r="320" spans="1:93" s="289" customFormat="1" x14ac:dyDescent="0.25">
      <c r="A320" s="455" t="str">
        <f>Language!C245</f>
        <v>Transbrasiliana</v>
      </c>
      <c r="B320" s="280">
        <v>0</v>
      </c>
      <c r="C320" s="280">
        <v>0</v>
      </c>
      <c r="D320" s="280">
        <v>0</v>
      </c>
      <c r="E320" s="280">
        <v>0</v>
      </c>
      <c r="F320" s="279">
        <v>0</v>
      </c>
      <c r="G320" s="280">
        <v>0</v>
      </c>
      <c r="H320" s="280">
        <v>0</v>
      </c>
      <c r="I320" s="280">
        <v>0</v>
      </c>
      <c r="J320" s="279">
        <v>0</v>
      </c>
      <c r="K320" s="280">
        <v>0</v>
      </c>
      <c r="L320" s="280">
        <v>0</v>
      </c>
      <c r="M320" s="280">
        <v>0</v>
      </c>
      <c r="N320" s="279">
        <v>0</v>
      </c>
      <c r="O320" s="280">
        <v>0</v>
      </c>
      <c r="P320" s="280">
        <v>0</v>
      </c>
      <c r="Q320" s="280">
        <v>0</v>
      </c>
      <c r="R320" s="279">
        <v>25168</v>
      </c>
      <c r="S320" s="280">
        <v>15526</v>
      </c>
      <c r="T320" s="281">
        <f t="shared" si="1846"/>
        <v>15988</v>
      </c>
      <c r="U320" s="281">
        <f>X320-W320</f>
        <v>40563</v>
      </c>
      <c r="V320" s="281">
        <f t="shared" si="1850"/>
        <v>40694</v>
      </c>
      <c r="W320" s="281">
        <v>56682</v>
      </c>
      <c r="X320" s="282">
        <v>97245</v>
      </c>
      <c r="Y320" s="283">
        <v>17744</v>
      </c>
      <c r="Z320" s="281">
        <f>AC320-Y320</f>
        <v>14441</v>
      </c>
      <c r="AA320" s="281">
        <f t="shared" si="1847"/>
        <v>5099</v>
      </c>
      <c r="AB320" s="281">
        <f>AE320-AD320</f>
        <v>3386</v>
      </c>
      <c r="AC320" s="281">
        <v>32185</v>
      </c>
      <c r="AD320" s="281">
        <v>37284</v>
      </c>
      <c r="AE320" s="282">
        <v>40670</v>
      </c>
      <c r="AF320" s="281">
        <v>2826</v>
      </c>
      <c r="AG320" s="281">
        <f>AJ320-AF320</f>
        <v>6258</v>
      </c>
      <c r="AH320" s="281">
        <v>5694</v>
      </c>
      <c r="AI320" s="281" t="e">
        <f>AL320-AK320</f>
        <v>#REF!</v>
      </c>
      <c r="AJ320" s="281">
        <v>9084</v>
      </c>
      <c r="AK320" s="281">
        <v>14778</v>
      </c>
      <c r="AL320" s="282" t="e">
        <f>#REF!</f>
        <v>#REF!</v>
      </c>
      <c r="AM320" s="281">
        <v>9140</v>
      </c>
      <c r="AN320" s="281">
        <f t="shared" si="1848"/>
        <v>4174</v>
      </c>
      <c r="AO320" s="281">
        <f t="shared" si="1849"/>
        <v>20899</v>
      </c>
      <c r="AP320" s="281">
        <f t="shared" si="1849"/>
        <v>14375</v>
      </c>
      <c r="AQ320" s="281">
        <v>13314</v>
      </c>
      <c r="AR320" s="281">
        <v>34213</v>
      </c>
      <c r="AS320" s="282">
        <v>48588</v>
      </c>
      <c r="AT320" s="302">
        <v>6064</v>
      </c>
      <c r="AU320" s="302">
        <v>6839</v>
      </c>
      <c r="AV320" s="302">
        <f t="shared" si="1851"/>
        <v>7256</v>
      </c>
      <c r="AW320" s="302">
        <f t="shared" si="1851"/>
        <v>7936</v>
      </c>
      <c r="AX320" s="302">
        <f>AU320+AT320</f>
        <v>12903</v>
      </c>
      <c r="AY320" s="302">
        <v>20159</v>
      </c>
      <c r="AZ320" s="302">
        <v>28095</v>
      </c>
      <c r="BA320" s="302">
        <v>5653.3364999999994</v>
      </c>
      <c r="BB320" s="302">
        <f t="shared" si="1852"/>
        <v>8328</v>
      </c>
      <c r="BC320" s="302">
        <f t="shared" si="1853"/>
        <v>6149</v>
      </c>
      <c r="BD320" s="302">
        <f t="shared" si="1854"/>
        <v>6191</v>
      </c>
      <c r="BE320" s="302">
        <v>8328</v>
      </c>
      <c r="BF320" s="302">
        <v>14477</v>
      </c>
      <c r="BG320" s="302">
        <v>20668</v>
      </c>
      <c r="BH320" s="302">
        <v>4903</v>
      </c>
      <c r="BI320" s="302">
        <f t="shared" si="1855"/>
        <v>6172</v>
      </c>
      <c r="BJ320" s="302">
        <f t="shared" si="1856"/>
        <v>17696</v>
      </c>
      <c r="BK320" s="302">
        <f t="shared" si="1857"/>
        <v>19179</v>
      </c>
      <c r="BL320" s="302">
        <v>11075</v>
      </c>
      <c r="BM320" s="302">
        <v>28771</v>
      </c>
      <c r="BN320" s="302">
        <v>47950</v>
      </c>
      <c r="BO320" s="302">
        <v>16488</v>
      </c>
      <c r="BP320" s="302">
        <f t="shared" si="1858"/>
        <v>21096</v>
      </c>
      <c r="BQ320" s="302">
        <f t="shared" si="1866"/>
        <v>28205</v>
      </c>
      <c r="BR320" s="302">
        <f t="shared" si="1859"/>
        <v>50455</v>
      </c>
      <c r="BS320" s="302">
        <v>37584</v>
      </c>
      <c r="BT320" s="302">
        <v>65789</v>
      </c>
      <c r="BU320" s="302">
        <v>116244</v>
      </c>
      <c r="BV320" s="302">
        <v>18786</v>
      </c>
      <c r="BW320" s="289">
        <f t="shared" si="1860"/>
        <v>23193</v>
      </c>
      <c r="BX320" s="289">
        <f t="shared" si="1861"/>
        <v>27587</v>
      </c>
      <c r="BY320" s="289">
        <f t="shared" si="1862"/>
        <v>25857</v>
      </c>
      <c r="BZ320" s="302">
        <v>41979</v>
      </c>
      <c r="CA320" s="302">
        <v>69566</v>
      </c>
      <c r="CB320" s="302">
        <v>95423</v>
      </c>
      <c r="CC320" s="302">
        <v>13652</v>
      </c>
      <c r="CD320" s="302">
        <f t="shared" si="1863"/>
        <v>15591</v>
      </c>
      <c r="CE320" s="302">
        <f t="shared" si="1864"/>
        <v>12951</v>
      </c>
      <c r="CF320" s="302"/>
      <c r="CG320" s="302">
        <v>29243</v>
      </c>
      <c r="CH320" s="302">
        <v>42194</v>
      </c>
      <c r="CI320" s="302">
        <v>53372</v>
      </c>
      <c r="CJ320" s="302">
        <v>14195</v>
      </c>
      <c r="CK320" s="302">
        <f t="shared" si="1865"/>
        <v>24906</v>
      </c>
      <c r="CL320" s="302"/>
      <c r="CM320" s="302"/>
      <c r="CN320" s="302">
        <v>39101</v>
      </c>
      <c r="CO320" s="302"/>
    </row>
    <row r="321" spans="1:93" s="289" customFormat="1" ht="13" x14ac:dyDescent="0.3">
      <c r="A321" s="525" t="str">
        <f>Language!C246</f>
        <v>Depreciação e Amortização</v>
      </c>
      <c r="B321" s="526">
        <f>SUM(B322,B323)</f>
        <v>-25324</v>
      </c>
      <c r="C321" s="526">
        <f t="shared" ref="C321:M321" si="1867">SUM(C322,C323)</f>
        <v>-26994</v>
      </c>
      <c r="D321" s="526">
        <f t="shared" si="1867"/>
        <v>-23654</v>
      </c>
      <c r="E321" s="526">
        <f t="shared" si="1867"/>
        <v>-26352</v>
      </c>
      <c r="F321" s="527">
        <f t="shared" si="1867"/>
        <v>-28960</v>
      </c>
      <c r="G321" s="526">
        <f t="shared" si="1867"/>
        <v>-33713</v>
      </c>
      <c r="H321" s="526">
        <f t="shared" si="1867"/>
        <v>-27727</v>
      </c>
      <c r="I321" s="526">
        <f t="shared" si="1867"/>
        <v>-32814</v>
      </c>
      <c r="J321" s="527">
        <f t="shared" si="1867"/>
        <v>-34535</v>
      </c>
      <c r="K321" s="526">
        <f t="shared" si="1867"/>
        <v>-35372</v>
      </c>
      <c r="L321" s="526">
        <f t="shared" si="1867"/>
        <v>-36580</v>
      </c>
      <c r="M321" s="526">
        <f t="shared" si="1867"/>
        <v>-37379</v>
      </c>
      <c r="N321" s="527">
        <f>SUM(N322,N323)</f>
        <v>-41062</v>
      </c>
      <c r="O321" s="526">
        <f t="shared" ref="O321:R321" si="1868">SUM(O322,O323)</f>
        <v>-43380</v>
      </c>
      <c r="P321" s="526">
        <f t="shared" si="1868"/>
        <v>-42532</v>
      </c>
      <c r="Q321" s="526">
        <f t="shared" si="1868"/>
        <v>-45048</v>
      </c>
      <c r="R321" s="527">
        <f t="shared" si="1868"/>
        <v>-52614</v>
      </c>
      <c r="S321" s="526">
        <f t="shared" ref="S321:X321" si="1869">SUM(S322,S323)</f>
        <v>-52781</v>
      </c>
      <c r="T321" s="526">
        <f t="shared" si="1869"/>
        <v>-55588</v>
      </c>
      <c r="U321" s="526">
        <f t="shared" si="1869"/>
        <v>-52090</v>
      </c>
      <c r="V321" s="526">
        <f t="shared" si="1869"/>
        <v>-105395</v>
      </c>
      <c r="W321" s="528">
        <f t="shared" si="1869"/>
        <v>-160983</v>
      </c>
      <c r="X321" s="529">
        <f t="shared" si="1869"/>
        <v>-213073</v>
      </c>
      <c r="Y321" s="530">
        <f>SUM(Y324,Y327,Y330,Y333,Y336)</f>
        <v>-70077</v>
      </c>
      <c r="Z321" s="528">
        <f t="shared" ref="Z321" si="1870">SUM(Z324,Z327,Z330,Z333,Z336)</f>
        <v>-63456</v>
      </c>
      <c r="AA321" s="526">
        <f t="shared" ref="AA321:AB321" si="1871">SUM(AA322,AA323)</f>
        <v>-72296</v>
      </c>
      <c r="AB321" s="526">
        <f t="shared" si="1871"/>
        <v>-72225</v>
      </c>
      <c r="AC321" s="528">
        <f>SUM(AC324,AC327,AC330,AC333,AC336)</f>
        <v>-133533</v>
      </c>
      <c r="AD321" s="528">
        <f>SUM(AD324,AD327,AD330,AD333,AD336)</f>
        <v>-205829</v>
      </c>
      <c r="AE321" s="529">
        <f>SUM(AE324,AE327,AE330,AE333,AE336)</f>
        <v>-278054</v>
      </c>
      <c r="AF321" s="528">
        <f>SUM(AF324,AF327,AF330,AF333,AF336)</f>
        <v>95302.999999999985</v>
      </c>
      <c r="AG321" s="528">
        <f t="shared" ref="AG321" si="1872">SUM(AG324,AG327,AG330,AG333,AG336)</f>
        <v>293017.00000000006</v>
      </c>
      <c r="AH321" s="526">
        <f t="shared" ref="AH321" si="1873">SUM(AH322,AH323)</f>
        <v>44745.999999999985</v>
      </c>
      <c r="AI321" s="526">
        <f t="shared" ref="AI321" si="1874">SUM(AI322,AI323)</f>
        <v>47353.000000000015</v>
      </c>
      <c r="AJ321" s="528">
        <f>SUM(AJ324,AJ327,AJ330,AJ333,AJ336)</f>
        <v>197714.00000000003</v>
      </c>
      <c r="AK321" s="528">
        <f t="shared" ref="AK321:AL323" si="1875">(SUM(AK324,AK327,AK330,AK333,AK336))</f>
        <v>242459.99999999997</v>
      </c>
      <c r="AL321" s="529">
        <f t="shared" si="1875"/>
        <v>289813</v>
      </c>
      <c r="AM321" s="528">
        <f>SUM(AM324,AM327,AM330,AM333,AM336)</f>
        <v>-52014</v>
      </c>
      <c r="AN321" s="528">
        <f t="shared" si="1848"/>
        <v>-50194</v>
      </c>
      <c r="AO321" s="528">
        <f t="shared" si="1849"/>
        <v>-59066</v>
      </c>
      <c r="AP321" s="528">
        <f t="shared" si="1849"/>
        <v>-74206</v>
      </c>
      <c r="AQ321" s="528">
        <f>SUM(AQ324,AQ327,AQ330,AQ333,AQ336)</f>
        <v>-102208</v>
      </c>
      <c r="AR321" s="528">
        <f>SUM(AR324,AR327,AR330,AR333,AR336)</f>
        <v>-161274</v>
      </c>
      <c r="AS321" s="529">
        <f>SUM(AS324,AS327,AS330,AS333,AS336)</f>
        <v>-235480</v>
      </c>
      <c r="AT321" s="528">
        <f>SUM(AT324,AT327,AT330,AT333,AT336)</f>
        <v>-76900.904999999999</v>
      </c>
      <c r="AU321" s="528">
        <f>AX321-AT321</f>
        <v>-82318.657000000007</v>
      </c>
      <c r="AV321" s="528">
        <f>SUM(AV324,AV327,AV330,AV333,AV336)</f>
        <v>-83245.140799999979</v>
      </c>
      <c r="AW321" s="528">
        <f>SUM(AW324,AW327,AW330,AW333,AW336)</f>
        <v>-108274.71120000002</v>
      </c>
      <c r="AX321" s="528">
        <f>SUM(AX324,AX327,AX330,AX333,AX336)</f>
        <v>-159219.56200000001</v>
      </c>
      <c r="AY321" s="528">
        <f>SUM(AY324,AY327,AY330,AY333,AY336)</f>
        <v>-242464.7028</v>
      </c>
      <c r="AZ321" s="509">
        <f>SUM(AZ324,AZ327,AZ330,AZ333,AZ336)</f>
        <v>-350739.41399999999</v>
      </c>
      <c r="BA321" s="528">
        <f t="shared" ref="AX321:BE322" si="1876">SUM(BA324,BA327,BA330,BA333,BA336)</f>
        <v>-84567</v>
      </c>
      <c r="BB321" s="528">
        <f t="shared" si="1876"/>
        <v>-157499</v>
      </c>
      <c r="BC321" s="528">
        <f t="shared" si="1876"/>
        <v>-100559</v>
      </c>
      <c r="BD321" s="528">
        <f t="shared" si="1876"/>
        <v>-116571</v>
      </c>
      <c r="BE321" s="528">
        <f t="shared" si="1876"/>
        <v>-157499</v>
      </c>
      <c r="BF321" s="528">
        <f t="shared" ref="BF321:BG321" si="1877">SUM(BF324,BF327,BF330,BF333,BF336)</f>
        <v>-258058</v>
      </c>
      <c r="BG321" s="528">
        <f t="shared" si="1877"/>
        <v>-374629</v>
      </c>
      <c r="BH321" s="528">
        <f t="shared" ref="BH321:BL321" si="1878">SUM(BH324,BH327,BH330,BH333,BH336)</f>
        <v>-110724</v>
      </c>
      <c r="BI321" s="528">
        <f t="shared" si="1878"/>
        <v>-116367</v>
      </c>
      <c r="BJ321" s="528">
        <f t="shared" si="1878"/>
        <v>-56248</v>
      </c>
      <c r="BK321" s="528">
        <f t="shared" si="1878"/>
        <v>-90055</v>
      </c>
      <c r="BL321" s="528">
        <f t="shared" si="1878"/>
        <v>-227091</v>
      </c>
      <c r="BM321" s="528">
        <f t="shared" ref="BM321:BN321" si="1879">SUM(BM324,BM327,BM330,BM333,BM336)</f>
        <v>-283339</v>
      </c>
      <c r="BN321" s="528">
        <f t="shared" si="1879"/>
        <v>-373394</v>
      </c>
      <c r="BO321" s="528">
        <f>SUM(BO324,BO327,BO330,BO333,BO336)</f>
        <v>-43621</v>
      </c>
      <c r="BP321" s="528">
        <f t="shared" ref="BP321:BR321" si="1880">SUM(BP324,BP327,BP330,BP333,BP336)</f>
        <v>-40738.484666496952</v>
      </c>
      <c r="BQ321" s="528">
        <f t="shared" si="1880"/>
        <v>-41336.242333248476</v>
      </c>
      <c r="BR321" s="528">
        <f t="shared" si="1880"/>
        <v>-23788.242333248476</v>
      </c>
      <c r="BS321" s="528">
        <f>SUM(BS324,BS327,BS330,BS333,BS336)</f>
        <v>-84359.484666496952</v>
      </c>
      <c r="BT321" s="528">
        <f>SUM(BT324,BT327,BT330,BT333,BT336)</f>
        <v>-128707.72699974544</v>
      </c>
      <c r="BU321" s="509">
        <f>SUM(BU324,BU327,BU330,BU333,BU336)</f>
        <v>-152495.9693329939</v>
      </c>
      <c r="BV321" s="509">
        <f>SUM(BV324,BV327,BV330,BV333,BV336)</f>
        <v>-35757.9014207453</v>
      </c>
      <c r="BW321" s="509">
        <f t="shared" ref="BW321:BZ321" si="1881">SUM(BW324,BW327,BW330,BW333,BW336)</f>
        <v>-35601.456043027007</v>
      </c>
      <c r="BX321" s="509">
        <f t="shared" si="1881"/>
        <v>-39816.678731886153</v>
      </c>
      <c r="BY321" s="509">
        <f t="shared" si="1881"/>
        <v>-44418.678731886153</v>
      </c>
      <c r="BZ321" s="509">
        <f t="shared" si="1881"/>
        <v>-71359.357463772307</v>
      </c>
      <c r="CA321" s="509">
        <f t="shared" ref="CA321:CB321" si="1882">SUM(CA324,CA327,CA330,CA333,CA336)</f>
        <v>-111176.03619565847</v>
      </c>
      <c r="CB321" s="509">
        <f t="shared" si="1882"/>
        <v>-155755.71492754461</v>
      </c>
      <c r="CC321" s="509">
        <f t="shared" ref="CC321:CD321" si="1883">SUM(CC324,CC327,CC330,CC333,CC336)</f>
        <v>-38116.682523697826</v>
      </c>
      <c r="CD321" s="509">
        <f t="shared" si="1883"/>
        <v>-41356.560834805699</v>
      </c>
      <c r="CE321" s="509">
        <f t="shared" ref="CE321:CG321" si="1884">SUM(CE324,CE327,CE330,CE333,CE336)</f>
        <v>-45565.756641496468</v>
      </c>
      <c r="CF321" s="509">
        <f t="shared" si="1884"/>
        <v>0</v>
      </c>
      <c r="CG321" s="509">
        <f t="shared" si="1884"/>
        <v>-79473.243358503532</v>
      </c>
      <c r="CH321" s="509">
        <f t="shared" ref="CH321:CI321" si="1885">SUM(CH324,CH327,CH330,CH333,CH336)</f>
        <v>-125039</v>
      </c>
      <c r="CI321" s="509">
        <f t="shared" si="1885"/>
        <v>-161830</v>
      </c>
      <c r="CJ321" s="509">
        <v>-42116</v>
      </c>
      <c r="CK321" s="509">
        <f t="shared" ref="CK321" si="1886">SUM(CK324,CK327,CK330,CK333,CK336)</f>
        <v>-71584</v>
      </c>
      <c r="CL321" s="509">
        <f t="shared" ref="CL321:CO321" si="1887">SUM(CL324,CL327,CL330,CL333,CL336)</f>
        <v>0</v>
      </c>
      <c r="CM321" s="509">
        <f t="shared" si="1887"/>
        <v>0</v>
      </c>
      <c r="CN321" s="509">
        <f t="shared" si="1887"/>
        <v>-113700</v>
      </c>
      <c r="CO321" s="509">
        <f t="shared" si="1887"/>
        <v>0</v>
      </c>
    </row>
    <row r="322" spans="1:93" s="483" customFormat="1" x14ac:dyDescent="0.25">
      <c r="A322" s="557" t="str">
        <f>Language!C247</f>
        <v>D&amp;A</v>
      </c>
      <c r="B322" s="513">
        <f t="shared" ref="B322:L322" si="1888">SUM(B325,B328,B331,B334,B337)</f>
        <v>-25324</v>
      </c>
      <c r="C322" s="513">
        <f t="shared" si="1888"/>
        <v>-26994</v>
      </c>
      <c r="D322" s="513">
        <f t="shared" si="1888"/>
        <v>-23654</v>
      </c>
      <c r="E322" s="513">
        <f t="shared" si="1888"/>
        <v>24565</v>
      </c>
      <c r="F322" s="514">
        <f t="shared" si="1888"/>
        <v>-16036</v>
      </c>
      <c r="G322" s="513">
        <f t="shared" si="1888"/>
        <v>-18976</v>
      </c>
      <c r="H322" s="513">
        <f t="shared" si="1888"/>
        <v>-15375</v>
      </c>
      <c r="I322" s="513">
        <f t="shared" si="1888"/>
        <v>-12609</v>
      </c>
      <c r="J322" s="514">
        <f t="shared" si="1888"/>
        <v>-20483</v>
      </c>
      <c r="K322" s="513">
        <f t="shared" si="1888"/>
        <v>-21040</v>
      </c>
      <c r="L322" s="513">
        <f t="shared" si="1888"/>
        <v>-22430</v>
      </c>
      <c r="M322" s="513">
        <f>SUM(M325,M328,M331,M334,M337)</f>
        <v>-23810</v>
      </c>
      <c r="N322" s="514">
        <f t="shared" ref="N322" si="1889">SUM(N325,N328,N331,N334,N337)</f>
        <v>-25583</v>
      </c>
      <c r="O322" s="513">
        <f t="shared" ref="O322:R322" si="1890">SUM(O325,O328,O331,O334,O337)</f>
        <v>-36560</v>
      </c>
      <c r="P322" s="513">
        <f t="shared" si="1890"/>
        <v>-32500</v>
      </c>
      <c r="Q322" s="513">
        <f t="shared" si="1890"/>
        <v>-34601</v>
      </c>
      <c r="R322" s="514">
        <f t="shared" si="1890"/>
        <v>-41740</v>
      </c>
      <c r="S322" s="513">
        <f t="shared" ref="S322" si="1891">SUM(S325,S328,S331,S334,S337)</f>
        <v>-42827</v>
      </c>
      <c r="T322" s="513">
        <f t="shared" ref="T322:U322" si="1892">SUM(T325,T328,T331,T334,T337)</f>
        <v>-46446</v>
      </c>
      <c r="U322" s="513">
        <f t="shared" si="1892"/>
        <v>-44700</v>
      </c>
      <c r="V322" s="513">
        <f t="shared" ref="V322" si="1893">SUM(V325,V328,V331,V334,V337)</f>
        <v>-84567</v>
      </c>
      <c r="W322" s="515">
        <f>SUM(W325,W328,W331,W334,W337)</f>
        <v>-131013</v>
      </c>
      <c r="X322" s="516">
        <f>SUM(X325,X328,X331,X334,X337)</f>
        <v>-175713</v>
      </c>
      <c r="Y322" s="517">
        <f>SUM(Y325,Y328,Y331,Y334,Y337)</f>
        <v>-60613</v>
      </c>
      <c r="Z322" s="515">
        <f t="shared" ref="Z322:AC322" si="1894">SUM(Z325,Z328,Z331,Z334,Z337)</f>
        <v>-55683</v>
      </c>
      <c r="AA322" s="513">
        <f t="shared" si="1894"/>
        <v>-63249</v>
      </c>
      <c r="AB322" s="513">
        <f t="shared" si="1894"/>
        <v>-63209</v>
      </c>
      <c r="AC322" s="515">
        <f t="shared" si="1894"/>
        <v>-116296</v>
      </c>
      <c r="AD322" s="515">
        <f t="shared" ref="AD322:AE322" si="1895">SUM(AD325,AD328,AD331,AD334,AD337)</f>
        <v>-179545</v>
      </c>
      <c r="AE322" s="516">
        <f t="shared" si="1895"/>
        <v>-242754</v>
      </c>
      <c r="AF322" s="515">
        <f t="shared" ref="AF322:AJ322" si="1896">SUM(AF325,AF328,AF331,AF334,AF337)</f>
        <v>-81319.999999999985</v>
      </c>
      <c r="AG322" s="515">
        <f t="shared" si="1896"/>
        <v>258841.99999999997</v>
      </c>
      <c r="AH322" s="513">
        <f t="shared" si="1896"/>
        <v>25024.796958133036</v>
      </c>
      <c r="AI322" s="513">
        <f t="shared" si="1896"/>
        <v>54440.20304186696</v>
      </c>
      <c r="AJ322" s="515">
        <f t="shared" si="1896"/>
        <v>177522.00000000003</v>
      </c>
      <c r="AK322" s="515">
        <f t="shared" si="1875"/>
        <v>216115.99999999997</v>
      </c>
      <c r="AL322" s="516">
        <f t="shared" si="1875"/>
        <v>256987</v>
      </c>
      <c r="AM322" s="515">
        <f t="shared" ref="AM322" si="1897">SUM(AM325,AM328,AM331,AM334,AM337)</f>
        <v>-45818</v>
      </c>
      <c r="AN322" s="515">
        <f t="shared" si="1848"/>
        <v>-43695</v>
      </c>
      <c r="AO322" s="515">
        <f t="shared" si="1849"/>
        <v>-51653</v>
      </c>
      <c r="AP322" s="515">
        <f t="shared" si="1849"/>
        <v>-66487</v>
      </c>
      <c r="AQ322" s="515">
        <f t="shared" ref="AQ322:AR322" si="1898">SUM(AQ325,AQ328,AQ331,AQ334,AQ337)</f>
        <v>-89513</v>
      </c>
      <c r="AR322" s="515">
        <f t="shared" si="1898"/>
        <v>-141166</v>
      </c>
      <c r="AS322" s="516">
        <f t="shared" ref="AS322:AT322" si="1899">SUM(AS325,AS328,AS331,AS334,AS337)</f>
        <v>-207653</v>
      </c>
      <c r="AT322" s="515">
        <f t="shared" si="1899"/>
        <v>-69193.219299999997</v>
      </c>
      <c r="AU322" s="515">
        <f>AX322-AT322</f>
        <v>-71712.573800000013</v>
      </c>
      <c r="AV322" s="515">
        <f t="shared" ref="AV322:AY322" si="1900">SUM(AV325,AV328,AV331,AV334,AV337)</f>
        <v>-76639.94319999998</v>
      </c>
      <c r="AW322" s="515">
        <f t="shared" ref="AW322" si="1901">SUM(AW325,AW328,AW331,AW334,AW337)</f>
        <v>-99386.267200000031</v>
      </c>
      <c r="AX322" s="515">
        <f t="shared" si="1876"/>
        <v>-140905.79310000001</v>
      </c>
      <c r="AY322" s="515">
        <f t="shared" si="1900"/>
        <v>-217545.73629999999</v>
      </c>
      <c r="AZ322" s="515">
        <f t="shared" ref="AZ322:BA322" si="1902">SUM(AZ325,AZ328,AZ331,AZ334,AZ337)</f>
        <v>-316932.00349999999</v>
      </c>
      <c r="BA322" s="515">
        <f t="shared" si="1902"/>
        <v>-79475</v>
      </c>
      <c r="BB322" s="515">
        <f t="shared" ref="BB322:BC322" si="1903">SUM(BB325,BB328,BB331,BB334,BB337)</f>
        <v>-149181</v>
      </c>
      <c r="BC322" s="515">
        <f t="shared" si="1903"/>
        <v>-93378</v>
      </c>
      <c r="BD322" s="515">
        <f t="shared" ref="BD322" si="1904">SUM(BD325,BD328,BD331,BD334,BD337)</f>
        <v>-110798</v>
      </c>
      <c r="BE322" s="515">
        <f t="shared" ref="BE322:BF322" si="1905">SUM(BE325,BE328,BE331,BE334,BE337)</f>
        <v>-149181</v>
      </c>
      <c r="BF322" s="515">
        <f t="shared" si="1905"/>
        <v>-242559</v>
      </c>
      <c r="BG322" s="515">
        <f t="shared" ref="BG322:BH322" si="1906">SUM(BG325,BG328,BG331,BG334,BG337)</f>
        <v>-353357</v>
      </c>
      <c r="BH322" s="515">
        <f t="shared" si="1906"/>
        <v>-105696</v>
      </c>
      <c r="BI322" s="515">
        <f t="shared" ref="BI322:BL322" si="1907">SUM(BI325,BI328,BI331,BI334,BI337)</f>
        <v>-117174</v>
      </c>
      <c r="BJ322" s="515">
        <f t="shared" si="1907"/>
        <v>-54267</v>
      </c>
      <c r="BK322" s="515">
        <f t="shared" si="1907"/>
        <v>-90907</v>
      </c>
      <c r="BL322" s="515">
        <f t="shared" si="1907"/>
        <v>-222870</v>
      </c>
      <c r="BM322" s="515">
        <f t="shared" ref="BM322:BN322" si="1908">SUM(BM325,BM328,BM331,BM334,BM337)</f>
        <v>-277137</v>
      </c>
      <c r="BN322" s="515">
        <f t="shared" si="1908"/>
        <v>-368044</v>
      </c>
      <c r="BO322" s="515">
        <f t="shared" ref="BO322:BS322" si="1909">SUM(BO325,BO328,BO331,BO334,BO337)</f>
        <v>-43392</v>
      </c>
      <c r="BP322" s="515">
        <f t="shared" si="1909"/>
        <v>-40509.484666496952</v>
      </c>
      <c r="BQ322" s="515">
        <f t="shared" si="1909"/>
        <v>-41106.242333248476</v>
      </c>
      <c r="BR322" s="515">
        <f t="shared" si="1909"/>
        <v>-26571.242333248476</v>
      </c>
      <c r="BS322" s="515">
        <f t="shared" si="1909"/>
        <v>-83901.484666496952</v>
      </c>
      <c r="BT322" s="515">
        <f t="shared" ref="BT322:BU322" si="1910">SUM(BT325,BT328,BT331,BT334,BT337)</f>
        <v>-125007.72699974544</v>
      </c>
      <c r="BU322" s="515">
        <f t="shared" si="1910"/>
        <v>-151578.9693329939</v>
      </c>
      <c r="BV322" s="515">
        <f t="shared" ref="BV322:BZ322" si="1911">SUM(BV325,BV328,BV331,BV334,BV337)</f>
        <v>-35519.9014207453</v>
      </c>
      <c r="BW322" s="515">
        <f t="shared" si="1911"/>
        <v>-35363.456043027007</v>
      </c>
      <c r="BX322" s="515">
        <f t="shared" si="1911"/>
        <v>-39578.678731886153</v>
      </c>
      <c r="BY322" s="515">
        <f t="shared" si="1911"/>
        <v>-44180.678731886153</v>
      </c>
      <c r="BZ322" s="515">
        <f t="shared" si="1911"/>
        <v>-70883.357463772307</v>
      </c>
      <c r="CA322" s="515">
        <f t="shared" ref="CA322:CB322" si="1912">SUM(CA325,CA328,CA331,CA334,CA337)</f>
        <v>-110462.03619565847</v>
      </c>
      <c r="CB322" s="515">
        <f t="shared" si="1912"/>
        <v>-154642.71492754461</v>
      </c>
      <c r="CC322" s="515">
        <f t="shared" ref="CC322:CD322" si="1913">SUM(CC325,CC328,CC331,CC334,CC337)</f>
        <v>-37869.682523697826</v>
      </c>
      <c r="CD322" s="515">
        <f t="shared" si="1913"/>
        <v>-41109.560834805699</v>
      </c>
      <c r="CE322" s="515">
        <f t="shared" ref="CE322:CG322" si="1914">SUM(CE325,CE328,CE331,CE334,CE337)</f>
        <v>-45318.756641496468</v>
      </c>
      <c r="CF322" s="515">
        <f t="shared" si="1914"/>
        <v>0</v>
      </c>
      <c r="CG322" s="515">
        <f t="shared" si="1914"/>
        <v>-78979.243358503532</v>
      </c>
      <c r="CH322" s="515">
        <f t="shared" ref="CH322:CI322" si="1915">SUM(CH325,CH328,CH331,CH334,CH337)</f>
        <v>-124298</v>
      </c>
      <c r="CI322" s="515">
        <f t="shared" si="1915"/>
        <v>-160842</v>
      </c>
      <c r="CJ322" s="515">
        <v>-41860</v>
      </c>
      <c r="CK322" s="515">
        <f t="shared" ref="CK322" si="1916">SUM(CK325,CK328,CK331,CK334,CK337)</f>
        <v>-71327</v>
      </c>
      <c r="CL322" s="515">
        <f t="shared" ref="CL322:CO322" si="1917">SUM(CL325,CL328,CL331,CL334,CL337)</f>
        <v>0</v>
      </c>
      <c r="CM322" s="515">
        <f t="shared" si="1917"/>
        <v>0</v>
      </c>
      <c r="CN322" s="515">
        <f t="shared" si="1917"/>
        <v>-113187</v>
      </c>
      <c r="CO322" s="515">
        <f t="shared" si="1917"/>
        <v>0</v>
      </c>
    </row>
    <row r="323" spans="1:93" s="483" customFormat="1" x14ac:dyDescent="0.25">
      <c r="A323" s="557" t="str">
        <f>Language!C248</f>
        <v>Reavaliação</v>
      </c>
      <c r="B323" s="513">
        <f t="shared" ref="B323:L323" si="1918">SUM(B326,B329,B332,B335,B338)</f>
        <v>0</v>
      </c>
      <c r="C323" s="513">
        <f t="shared" si="1918"/>
        <v>0</v>
      </c>
      <c r="D323" s="513">
        <f t="shared" si="1918"/>
        <v>0</v>
      </c>
      <c r="E323" s="513">
        <f t="shared" si="1918"/>
        <v>-50917</v>
      </c>
      <c r="F323" s="514">
        <f t="shared" si="1918"/>
        <v>-12924</v>
      </c>
      <c r="G323" s="513">
        <f t="shared" si="1918"/>
        <v>-14737</v>
      </c>
      <c r="H323" s="513">
        <f t="shared" si="1918"/>
        <v>-12352</v>
      </c>
      <c r="I323" s="513">
        <f t="shared" si="1918"/>
        <v>-20205</v>
      </c>
      <c r="J323" s="514">
        <f t="shared" si="1918"/>
        <v>-14052</v>
      </c>
      <c r="K323" s="513">
        <f t="shared" si="1918"/>
        <v>-14332</v>
      </c>
      <c r="L323" s="513">
        <f t="shared" si="1918"/>
        <v>-14150</v>
      </c>
      <c r="M323" s="513">
        <f>SUM(M326,M329,M332,M335,M338)</f>
        <v>-13569</v>
      </c>
      <c r="N323" s="514">
        <f t="shared" ref="N323" si="1919">SUM(N326,N329,N332,N335,N338)</f>
        <v>-15479</v>
      </c>
      <c r="O323" s="513">
        <f t="shared" ref="O323:R323" si="1920">SUM(O326,O329,O332,O335,O338)</f>
        <v>-6820</v>
      </c>
      <c r="P323" s="513">
        <f t="shared" si="1920"/>
        <v>-10032</v>
      </c>
      <c r="Q323" s="513">
        <f t="shared" si="1920"/>
        <v>-10447</v>
      </c>
      <c r="R323" s="514">
        <f t="shared" si="1920"/>
        <v>-10874</v>
      </c>
      <c r="S323" s="513">
        <f t="shared" ref="S323" si="1921">SUM(S326,S329,S332,S335,S338)</f>
        <v>-9954</v>
      </c>
      <c r="T323" s="513">
        <f t="shared" ref="T323:U323" si="1922">SUM(T326,T329,T332,T335,T338)</f>
        <v>-9142</v>
      </c>
      <c r="U323" s="513">
        <f t="shared" si="1922"/>
        <v>-7390</v>
      </c>
      <c r="V323" s="513">
        <f t="shared" ref="V323" si="1923">SUM(V326,V329,V332,V335,V338)</f>
        <v>-20828</v>
      </c>
      <c r="W323" s="515">
        <f>SUM(W326,W329,W332,W335,W338)</f>
        <v>-29970</v>
      </c>
      <c r="X323" s="516">
        <f>SUM(X326,X329,X332,X335,X338)</f>
        <v>-37360</v>
      </c>
      <c r="Y323" s="517">
        <f>SUM(Y326,Y329,Y332,Y335,Y338)</f>
        <v>-9464</v>
      </c>
      <c r="Z323" s="515">
        <f t="shared" ref="Z323:AC323" si="1924">SUM(Z326,Z329,Z332,Z335,Z338)</f>
        <v>-7773</v>
      </c>
      <c r="AA323" s="513">
        <f t="shared" si="1924"/>
        <v>-9047</v>
      </c>
      <c r="AB323" s="513">
        <f t="shared" si="1924"/>
        <v>-9016</v>
      </c>
      <c r="AC323" s="515">
        <f t="shared" si="1924"/>
        <v>-17237</v>
      </c>
      <c r="AD323" s="515">
        <f t="shared" ref="AD323:AE323" si="1925">SUM(AD326,AD329,AD332,AD335,AD338)</f>
        <v>-26284</v>
      </c>
      <c r="AE323" s="516">
        <f t="shared" si="1925"/>
        <v>-35300</v>
      </c>
      <c r="AF323" s="515">
        <f t="shared" ref="AF323:AJ323" si="1926">SUM(AF326,AF329,AF332,AF335,AF338)</f>
        <v>-13983.000000000002</v>
      </c>
      <c r="AG323" s="515">
        <f t="shared" si="1926"/>
        <v>34175</v>
      </c>
      <c r="AH323" s="513">
        <f t="shared" si="1926"/>
        <v>19721.203041866946</v>
      </c>
      <c r="AI323" s="513">
        <f t="shared" si="1926"/>
        <v>-7087.2030418669474</v>
      </c>
      <c r="AJ323" s="515">
        <f t="shared" si="1926"/>
        <v>20192</v>
      </c>
      <c r="AK323" s="515">
        <f t="shared" si="1875"/>
        <v>26344</v>
      </c>
      <c r="AL323" s="516">
        <f t="shared" si="1875"/>
        <v>32826</v>
      </c>
      <c r="AM323" s="515">
        <f t="shared" ref="AM323" si="1927">SUM(AM326,AM329,AM332,AM335,AM338)</f>
        <v>-6196</v>
      </c>
      <c r="AN323" s="515">
        <f t="shared" si="1848"/>
        <v>-6499</v>
      </c>
      <c r="AO323" s="515">
        <f t="shared" si="1849"/>
        <v>-7412.9999999999964</v>
      </c>
      <c r="AP323" s="515">
        <f t="shared" si="1849"/>
        <v>-7719.0000000000036</v>
      </c>
      <c r="AQ323" s="515">
        <f t="shared" ref="AQ323:AR323" si="1928">SUM(AQ326,AQ329,AQ332,AQ335,AQ338)</f>
        <v>-12695</v>
      </c>
      <c r="AR323" s="515">
        <f t="shared" si="1928"/>
        <v>-20107.999999999996</v>
      </c>
      <c r="AS323" s="516">
        <f t="shared" ref="AS323" si="1929">SUM(AS326,AS329,AS332,AS335,AS338)</f>
        <v>-27827</v>
      </c>
      <c r="AT323" s="515">
        <f>(SUM(AT326,AT329,AT332,AT335,AT338))</f>
        <v>-7707.6857</v>
      </c>
      <c r="AU323" s="515">
        <f>AX323-AT323</f>
        <v>-10606.083199999999</v>
      </c>
      <c r="AV323" s="515">
        <f>(SUM(AV326,AV329,AV332,AV335,AV338))</f>
        <v>-6605.1976000000031</v>
      </c>
      <c r="AW323" s="515">
        <f>(SUM(AW326,AW329,AW332,AW335,AW338))</f>
        <v>-8888.4439999999959</v>
      </c>
      <c r="AX323" s="515">
        <f t="shared" ref="AX323:BD323" si="1930">(SUM(AX326,AX329,AX332,AX335,AX338))</f>
        <v>-18313.768899999999</v>
      </c>
      <c r="AY323" s="515">
        <f t="shared" si="1930"/>
        <v>-24918.966500000002</v>
      </c>
      <c r="AZ323" s="515">
        <f t="shared" si="1930"/>
        <v>-33807.410499999998</v>
      </c>
      <c r="BA323" s="515">
        <f t="shared" si="1930"/>
        <v>-5092</v>
      </c>
      <c r="BB323" s="515">
        <f t="shared" si="1930"/>
        <v>-8318</v>
      </c>
      <c r="BC323" s="515">
        <f t="shared" si="1930"/>
        <v>-7181</v>
      </c>
      <c r="BD323" s="515">
        <f t="shared" si="1930"/>
        <v>-5773</v>
      </c>
      <c r="BE323" s="515">
        <f>(SUM(BE326,BE329,BE332,BE335,BE338))</f>
        <v>-8318</v>
      </c>
      <c r="BF323" s="515">
        <f t="shared" ref="BF323:BG323" si="1931">(SUM(BF326,BF329,BF332,BF335,BF338))</f>
        <v>-15499</v>
      </c>
      <c r="BG323" s="515">
        <f t="shared" si="1931"/>
        <v>-21272</v>
      </c>
      <c r="BH323" s="515">
        <f t="shared" ref="BH323:BL323" si="1932">(SUM(BH326,BH329,BH332,BH335,BH338))</f>
        <v>-5028</v>
      </c>
      <c r="BI323" s="515">
        <f t="shared" si="1932"/>
        <v>807</v>
      </c>
      <c r="BJ323" s="515">
        <f t="shared" si="1932"/>
        <v>-1981</v>
      </c>
      <c r="BK323" s="515">
        <f t="shared" si="1932"/>
        <v>852</v>
      </c>
      <c r="BL323" s="515">
        <f t="shared" si="1932"/>
        <v>-4221</v>
      </c>
      <c r="BM323" s="515">
        <f t="shared" ref="BM323:BN323" si="1933">(SUM(BM326,BM329,BM332,BM335,BM338))</f>
        <v>-6202</v>
      </c>
      <c r="BN323" s="515">
        <f t="shared" si="1933"/>
        <v>-5350</v>
      </c>
      <c r="BO323" s="515">
        <f t="shared" ref="BO323:BS323" si="1934">(SUM(BO326,BO329,BO332,BO335,BO338))</f>
        <v>-229</v>
      </c>
      <c r="BP323" s="515">
        <f t="shared" si="1934"/>
        <v>-229</v>
      </c>
      <c r="BQ323" s="515">
        <f t="shared" si="1934"/>
        <v>-230</v>
      </c>
      <c r="BR323" s="515">
        <f t="shared" si="1934"/>
        <v>2783</v>
      </c>
      <c r="BS323" s="515">
        <f t="shared" si="1934"/>
        <v>-458</v>
      </c>
      <c r="BT323" s="515">
        <f t="shared" ref="BT323:BU323" si="1935">(SUM(BT326,BT329,BT332,BT335,BT338))</f>
        <v>-3700</v>
      </c>
      <c r="BU323" s="515">
        <f t="shared" si="1935"/>
        <v>-917</v>
      </c>
      <c r="BV323" s="515">
        <f t="shared" ref="BV323:BZ323" si="1936">(SUM(BV326,BV329,BV332,BV335,BV338))</f>
        <v>-238</v>
      </c>
      <c r="BW323" s="515">
        <f t="shared" si="1936"/>
        <v>-238</v>
      </c>
      <c r="BX323" s="515">
        <f t="shared" si="1936"/>
        <v>-238</v>
      </c>
      <c r="BY323" s="515">
        <f t="shared" si="1936"/>
        <v>-238</v>
      </c>
      <c r="BZ323" s="515">
        <f t="shared" si="1936"/>
        <v>-476</v>
      </c>
      <c r="CA323" s="515">
        <f t="shared" ref="CA323:CB323" si="1937">(SUM(CA326,CA329,CA332,CA335,CA338))</f>
        <v>-714</v>
      </c>
      <c r="CB323" s="515">
        <f t="shared" si="1937"/>
        <v>-1113</v>
      </c>
      <c r="CC323" s="515">
        <f t="shared" ref="CC323:CD323" si="1938">(SUM(CC326,CC329,CC332,CC335,CC338))</f>
        <v>-247</v>
      </c>
      <c r="CD323" s="515">
        <f t="shared" si="1938"/>
        <v>-247</v>
      </c>
      <c r="CE323" s="515">
        <f t="shared" ref="CE323:CG323" si="1939">(SUM(CE326,CE329,CE332,CE335,CE338))</f>
        <v>-247</v>
      </c>
      <c r="CF323" s="515">
        <f t="shared" si="1939"/>
        <v>0</v>
      </c>
      <c r="CG323" s="515">
        <f t="shared" si="1939"/>
        <v>-494</v>
      </c>
      <c r="CH323" s="515">
        <f t="shared" ref="CH323:CI323" si="1940">(SUM(CH326,CH329,CH332,CH335,CH338))</f>
        <v>-741</v>
      </c>
      <c r="CI323" s="515">
        <f t="shared" si="1940"/>
        <v>-988</v>
      </c>
      <c r="CJ323" s="515">
        <v>-256</v>
      </c>
      <c r="CK323" s="515">
        <f t="shared" ref="CK323" si="1941">(SUM(CK326,CK329,CK332,CK335,CK338))</f>
        <v>-257</v>
      </c>
      <c r="CL323" s="515">
        <f t="shared" ref="CL323:CO323" si="1942">(SUM(CL326,CL329,CL332,CL335,CL338))</f>
        <v>0</v>
      </c>
      <c r="CM323" s="515">
        <f t="shared" si="1942"/>
        <v>0</v>
      </c>
      <c r="CN323" s="515">
        <f t="shared" si="1942"/>
        <v>-513</v>
      </c>
      <c r="CO323" s="515">
        <f t="shared" si="1942"/>
        <v>0</v>
      </c>
    </row>
    <row r="324" spans="1:93" s="483" customFormat="1" x14ac:dyDescent="0.25">
      <c r="A324" s="512" t="str">
        <f>Language!C249</f>
        <v>Concepa</v>
      </c>
      <c r="B324" s="513">
        <f>SUM(B325,B326)</f>
        <v>-11691</v>
      </c>
      <c r="C324" s="513">
        <f t="shared" ref="C324:M324" si="1943">SUM(C325,C326)</f>
        <v>-13038</v>
      </c>
      <c r="D324" s="513">
        <f t="shared" si="1943"/>
        <v>-9748</v>
      </c>
      <c r="E324" s="513">
        <f t="shared" si="1943"/>
        <v>-12042</v>
      </c>
      <c r="F324" s="514">
        <f t="shared" si="1943"/>
        <v>-13583</v>
      </c>
      <c r="G324" s="513">
        <f t="shared" si="1943"/>
        <v>-18139</v>
      </c>
      <c r="H324" s="513">
        <f t="shared" si="1943"/>
        <v>-11519</v>
      </c>
      <c r="I324" s="513">
        <f t="shared" si="1943"/>
        <v>-15984</v>
      </c>
      <c r="J324" s="514">
        <f t="shared" si="1943"/>
        <v>-16547</v>
      </c>
      <c r="K324" s="513">
        <f t="shared" si="1943"/>
        <v>-17082</v>
      </c>
      <c r="L324" s="513">
        <f t="shared" si="1943"/>
        <v>-17531</v>
      </c>
      <c r="M324" s="513">
        <f t="shared" si="1943"/>
        <v>-17824</v>
      </c>
      <c r="N324" s="514">
        <f t="shared" ref="N324:R324" si="1944">SUM(N325,N326)</f>
        <v>-19914</v>
      </c>
      <c r="O324" s="513">
        <f t="shared" si="1944"/>
        <v>-20707</v>
      </c>
      <c r="P324" s="513">
        <f t="shared" si="1944"/>
        <v>-21844</v>
      </c>
      <c r="Q324" s="513">
        <f t="shared" si="1944"/>
        <v>-23038</v>
      </c>
      <c r="R324" s="514">
        <f t="shared" si="1944"/>
        <v>-24570</v>
      </c>
      <c r="S324" s="513">
        <f t="shared" ref="S324:Y324" si="1945">SUM(S325,S326)</f>
        <v>-24743</v>
      </c>
      <c r="T324" s="513">
        <f t="shared" si="1945"/>
        <v>-24487</v>
      </c>
      <c r="U324" s="513">
        <f t="shared" si="1945"/>
        <v>-23669</v>
      </c>
      <c r="V324" s="513">
        <f t="shared" si="1945"/>
        <v>-49313</v>
      </c>
      <c r="W324" s="515">
        <f t="shared" si="1945"/>
        <v>-73800</v>
      </c>
      <c r="X324" s="516">
        <f t="shared" si="1945"/>
        <v>-97469</v>
      </c>
      <c r="Y324" s="517">
        <f t="shared" si="1945"/>
        <v>-32346</v>
      </c>
      <c r="Z324" s="515">
        <f t="shared" ref="Z324:AC324" si="1946">SUM(Z325,Z326)</f>
        <v>-25893</v>
      </c>
      <c r="AA324" s="513">
        <f t="shared" si="1946"/>
        <v>-34593</v>
      </c>
      <c r="AB324" s="513">
        <f t="shared" si="1946"/>
        <v>-34036</v>
      </c>
      <c r="AC324" s="515">
        <f t="shared" si="1946"/>
        <v>-58239</v>
      </c>
      <c r="AD324" s="515">
        <f t="shared" ref="AD324:AE324" si="1947">SUM(AD325,AD326)</f>
        <v>-92832</v>
      </c>
      <c r="AE324" s="516">
        <f t="shared" si="1947"/>
        <v>-126868</v>
      </c>
      <c r="AF324" s="515">
        <f>-SUM(AF325,AF326)</f>
        <v>51673.530165561497</v>
      </c>
      <c r="AG324" s="515">
        <f t="shared" ref="AG324:AJ324" si="1948">SUM(AG325,AG326)</f>
        <v>162110.31960353718</v>
      </c>
      <c r="AH324" s="513">
        <f t="shared" si="1948"/>
        <v>-232.33289893194706</v>
      </c>
      <c r="AI324" s="513">
        <f t="shared" si="1948"/>
        <v>152.38707531098589</v>
      </c>
      <c r="AJ324" s="515">
        <f t="shared" si="1948"/>
        <v>110436.78943797569</v>
      </c>
      <c r="AK324" s="515">
        <f>(SUM(AK325,AK326))</f>
        <v>110204.45653904373</v>
      </c>
      <c r="AL324" s="516">
        <f>(SUM(AL325,AL326))</f>
        <v>110356.84361435473</v>
      </c>
      <c r="AM324" s="515">
        <f t="shared" ref="AM324" si="1949">SUM(AM325,AM326)</f>
        <v>-199</v>
      </c>
      <c r="AN324" s="515">
        <f t="shared" si="1848"/>
        <v>-206</v>
      </c>
      <c r="AO324" s="515">
        <f t="shared" si="1849"/>
        <v>-143.45811655344937</v>
      </c>
      <c r="AP324" s="515">
        <f t="shared" si="1849"/>
        <v>-73.507328422627211</v>
      </c>
      <c r="AQ324" s="515">
        <f t="shared" ref="AQ324:AR324" si="1950">SUM(AQ325,AQ326)</f>
        <v>-405</v>
      </c>
      <c r="AR324" s="515">
        <f t="shared" si="1950"/>
        <v>-548.45811655344937</v>
      </c>
      <c r="AS324" s="516">
        <f t="shared" ref="AS324" si="1951">SUM(AS325,AS326)</f>
        <v>-621.96544497607658</v>
      </c>
      <c r="AT324" s="515">
        <f>SUM(AT325,AT326)</f>
        <v>0</v>
      </c>
      <c r="AU324" s="515">
        <f>AX324-AT324</f>
        <v>-158</v>
      </c>
      <c r="AV324" s="515">
        <f>SUM(AV325,AV326)</f>
        <v>14</v>
      </c>
      <c r="AW324" s="515">
        <f>SUM(AW325,AW326)</f>
        <v>144</v>
      </c>
      <c r="AX324" s="515">
        <f t="shared" ref="AX324:BE324" si="1952">SUM(AX325,AX326)</f>
        <v>-158</v>
      </c>
      <c r="AY324" s="515">
        <f t="shared" si="1952"/>
        <v>-144</v>
      </c>
      <c r="AZ324" s="515">
        <f t="shared" si="1952"/>
        <v>0</v>
      </c>
      <c r="BA324" s="515">
        <f t="shared" si="1952"/>
        <v>0</v>
      </c>
      <c r="BB324" s="515">
        <f t="shared" si="1952"/>
        <v>0</v>
      </c>
      <c r="BC324" s="515">
        <f t="shared" si="1952"/>
        <v>0</v>
      </c>
      <c r="BD324" s="515">
        <f t="shared" si="1952"/>
        <v>0</v>
      </c>
      <c r="BE324" s="515">
        <f t="shared" si="1952"/>
        <v>0</v>
      </c>
      <c r="BF324" s="515">
        <f t="shared" ref="BF324:BG324" si="1953">SUM(BF325,BF326)</f>
        <v>0</v>
      </c>
      <c r="BG324" s="515">
        <f t="shared" si="1953"/>
        <v>0</v>
      </c>
      <c r="BH324" s="515">
        <f t="shared" ref="BH324:BL324" si="1954">SUM(BH325,BH326)</f>
        <v>0</v>
      </c>
      <c r="BI324" s="515">
        <f t="shared" si="1954"/>
        <v>0</v>
      </c>
      <c r="BJ324" s="515">
        <f t="shared" si="1954"/>
        <v>0</v>
      </c>
      <c r="BK324" s="515">
        <f t="shared" si="1954"/>
        <v>0</v>
      </c>
      <c r="BL324" s="515">
        <f t="shared" si="1954"/>
        <v>0</v>
      </c>
      <c r="BM324" s="515">
        <f t="shared" ref="BM324:BN324" si="1955">SUM(BM325,BM326)</f>
        <v>0</v>
      </c>
      <c r="BN324" s="515">
        <f t="shared" si="1955"/>
        <v>0</v>
      </c>
      <c r="BO324" s="515">
        <f t="shared" ref="BO324:BS324" si="1956">SUM(BO325,BO326)</f>
        <v>0</v>
      </c>
      <c r="BP324" s="515">
        <f t="shared" si="1956"/>
        <v>0</v>
      </c>
      <c r="BQ324" s="515">
        <f t="shared" si="1956"/>
        <v>0</v>
      </c>
      <c r="BR324" s="515">
        <f t="shared" si="1956"/>
        <v>0</v>
      </c>
      <c r="BS324" s="515">
        <f t="shared" si="1956"/>
        <v>0</v>
      </c>
      <c r="BT324" s="515">
        <f t="shared" ref="BT324:BU324" si="1957">SUM(BT325,BT326)</f>
        <v>0</v>
      </c>
      <c r="BU324" s="515">
        <f t="shared" si="1957"/>
        <v>0</v>
      </c>
      <c r="BV324" s="515">
        <f t="shared" ref="BV324:BZ324" si="1958">SUM(BV325,BV326)</f>
        <v>0</v>
      </c>
      <c r="BW324" s="515">
        <f t="shared" si="1958"/>
        <v>0</v>
      </c>
      <c r="BX324" s="515">
        <f t="shared" si="1958"/>
        <v>0</v>
      </c>
      <c r="BY324" s="515">
        <f t="shared" si="1958"/>
        <v>0</v>
      </c>
      <c r="BZ324" s="515">
        <f t="shared" si="1958"/>
        <v>0</v>
      </c>
      <c r="CA324" s="515">
        <f t="shared" ref="CA324:CB324" si="1959">SUM(CA325,CA326)</f>
        <v>0</v>
      </c>
      <c r="CB324" s="515">
        <f t="shared" si="1959"/>
        <v>0</v>
      </c>
      <c r="CC324" s="515">
        <f t="shared" ref="CC324:CD324" si="1960">SUM(CC325,CC326)</f>
        <v>0</v>
      </c>
      <c r="CD324" s="515">
        <f t="shared" si="1960"/>
        <v>0</v>
      </c>
      <c r="CE324" s="515">
        <f t="shared" ref="CE324:CG324" si="1961">SUM(CE325,CE326)</f>
        <v>0</v>
      </c>
      <c r="CF324" s="515">
        <f t="shared" si="1961"/>
        <v>0</v>
      </c>
      <c r="CG324" s="515">
        <f t="shared" si="1961"/>
        <v>0</v>
      </c>
      <c r="CH324" s="515">
        <f t="shared" ref="CH324:CI324" si="1962">SUM(CH325,CH326)</f>
        <v>0</v>
      </c>
      <c r="CI324" s="515">
        <f t="shared" si="1962"/>
        <v>0</v>
      </c>
      <c r="CJ324" s="515">
        <v>0</v>
      </c>
      <c r="CK324" s="515">
        <f t="shared" ref="CK324" si="1963">SUM(CK325,CK326)</f>
        <v>0</v>
      </c>
      <c r="CL324" s="515">
        <f t="shared" ref="CL324:CO324" si="1964">SUM(CL325,CL326)</f>
        <v>0</v>
      </c>
      <c r="CM324" s="515">
        <f t="shared" si="1964"/>
        <v>0</v>
      </c>
      <c r="CN324" s="515">
        <f t="shared" si="1964"/>
        <v>0</v>
      </c>
      <c r="CO324" s="515">
        <f t="shared" si="1964"/>
        <v>0</v>
      </c>
    </row>
    <row r="325" spans="1:93" s="483" customFormat="1" x14ac:dyDescent="0.25">
      <c r="A325" s="557" t="str">
        <f>Language!C250</f>
        <v>D&amp;A</v>
      </c>
      <c r="B325" s="558">
        <v>-11691</v>
      </c>
      <c r="C325" s="558">
        <v>-13038</v>
      </c>
      <c r="D325" s="558">
        <v>-9748</v>
      </c>
      <c r="E325" s="558">
        <v>7033</v>
      </c>
      <c r="F325" s="559">
        <v>-8363</v>
      </c>
      <c r="G325" s="558">
        <v>-11112</v>
      </c>
      <c r="H325" s="558">
        <v>-7074</v>
      </c>
      <c r="I325" s="558">
        <v>-10716</v>
      </c>
      <c r="J325" s="559">
        <v>-11406</v>
      </c>
      <c r="K325" s="558">
        <v>-11660</v>
      </c>
      <c r="L325" s="558">
        <v>-12291</v>
      </c>
      <c r="M325" s="558">
        <v>-12672</v>
      </c>
      <c r="N325" s="559">
        <v>-14130</v>
      </c>
      <c r="O325" s="558">
        <v>-14858</v>
      </c>
      <c r="P325" s="558">
        <v>-16228</v>
      </c>
      <c r="Q325" s="558">
        <v>-17431</v>
      </c>
      <c r="R325" s="559">
        <v>-18011</v>
      </c>
      <c r="S325" s="558">
        <v>-18924</v>
      </c>
      <c r="T325" s="558">
        <f t="shared" ref="T325:T326" si="1965">W325-S325-R325</f>
        <v>-19253</v>
      </c>
      <c r="U325" s="558">
        <f>X325-W325</f>
        <v>-20641</v>
      </c>
      <c r="V325" s="558">
        <f t="shared" ref="V325:V326" si="1966">R325+S325</f>
        <v>-36935</v>
      </c>
      <c r="W325" s="302">
        <v>-56188</v>
      </c>
      <c r="X325" s="505">
        <v>-76829</v>
      </c>
      <c r="Y325" s="506">
        <v>-28648</v>
      </c>
      <c r="Z325" s="302">
        <f t="shared" ref="Z325:Z326" si="1967">AC325-Y325</f>
        <v>-23115</v>
      </c>
      <c r="AA325" s="558">
        <f t="shared" ref="AA325:AA326" si="1968">AD325-Z325-Y325</f>
        <v>-31380</v>
      </c>
      <c r="AB325" s="558">
        <f>AE325-AD325</f>
        <v>-30583</v>
      </c>
      <c r="AC325" s="302">
        <v>-51763</v>
      </c>
      <c r="AD325" s="302">
        <v>-83143</v>
      </c>
      <c r="AE325" s="505">
        <v>-113726</v>
      </c>
      <c r="AF325" s="302">
        <v>-45579.960589321003</v>
      </c>
      <c r="AG325" s="302">
        <f>AJ325-AF325</f>
        <v>147472.38244006652</v>
      </c>
      <c r="AH325" s="558">
        <f t="shared" ref="AH325:AH326" si="1969">AK325-AG325-AF325</f>
        <v>602.69061393726588</v>
      </c>
      <c r="AI325" s="558">
        <f>AL325-AF325-AG325-AH325</f>
        <v>141.33223287299188</v>
      </c>
      <c r="AJ325" s="302">
        <v>101892.42185074552</v>
      </c>
      <c r="AK325" s="302">
        <v>102495.11246468278</v>
      </c>
      <c r="AL325" s="505">
        <v>102636.44469755578</v>
      </c>
      <c r="AM325" s="302">
        <v>-199</v>
      </c>
      <c r="AN325" s="302">
        <f t="shared" si="1848"/>
        <v>39</v>
      </c>
      <c r="AO325" s="302">
        <f t="shared" si="1849"/>
        <v>-15.763630864032535</v>
      </c>
      <c r="AP325" s="302">
        <f t="shared" si="1849"/>
        <v>-446.20181411204408</v>
      </c>
      <c r="AQ325" s="302">
        <v>-160</v>
      </c>
      <c r="AR325" s="302">
        <v>-175.76363086403254</v>
      </c>
      <c r="AS325" s="505">
        <v>-621.96544497607658</v>
      </c>
      <c r="AT325" s="302">
        <v>0</v>
      </c>
      <c r="AU325" s="302">
        <f>AX325-AT325</f>
        <v>-158</v>
      </c>
      <c r="AV325" s="302">
        <f>AY325-AX325</f>
        <v>14</v>
      </c>
      <c r="AW325" s="302">
        <f>AZ325-AY325</f>
        <v>144</v>
      </c>
      <c r="AX325" s="302">
        <v>-158</v>
      </c>
      <c r="AY325" s="302">
        <v>-144</v>
      </c>
      <c r="AZ325" s="302">
        <v>0</v>
      </c>
      <c r="BA325" s="302">
        <v>0</v>
      </c>
      <c r="BB325" s="302">
        <f>BE325</f>
        <v>0</v>
      </c>
      <c r="BC325" s="302"/>
      <c r="BD325" s="302"/>
      <c r="BE325" s="302">
        <v>0</v>
      </c>
      <c r="BF325" s="302">
        <v>0</v>
      </c>
      <c r="BG325" s="302">
        <v>0</v>
      </c>
      <c r="BH325" s="302"/>
      <c r="BI325" s="302"/>
      <c r="BJ325" s="302"/>
      <c r="BK325" s="302"/>
      <c r="BL325" s="302"/>
      <c r="BM325" s="302"/>
      <c r="BN325" s="302"/>
      <c r="BO325" s="302"/>
      <c r="BP325" s="302"/>
      <c r="BQ325" s="302"/>
      <c r="BR325" s="302"/>
      <c r="BS325" s="302"/>
      <c r="BT325" s="302"/>
      <c r="BU325" s="302"/>
      <c r="BV325" s="302"/>
      <c r="BW325" s="302"/>
      <c r="BX325" s="302"/>
      <c r="BY325" s="302"/>
      <c r="BZ325" s="302"/>
      <c r="CA325" s="302"/>
      <c r="CB325" s="302"/>
      <c r="CC325" s="302"/>
      <c r="CD325" s="302"/>
      <c r="CE325" s="302"/>
      <c r="CF325" s="302"/>
      <c r="CG325" s="302"/>
      <c r="CH325" s="302"/>
      <c r="CI325" s="302"/>
      <c r="CJ325" s="302"/>
      <c r="CK325" s="302"/>
      <c r="CL325" s="302"/>
      <c r="CM325" s="302"/>
      <c r="CN325" s="302"/>
      <c r="CO325" s="302"/>
    </row>
    <row r="326" spans="1:93" s="483" customFormat="1" x14ac:dyDescent="0.25">
      <c r="A326" s="557" t="str">
        <f>Language!C251</f>
        <v>Reavaliação</v>
      </c>
      <c r="B326" s="558">
        <v>0</v>
      </c>
      <c r="C326" s="558">
        <v>0</v>
      </c>
      <c r="D326" s="558">
        <v>0</v>
      </c>
      <c r="E326" s="558">
        <v>-19075</v>
      </c>
      <c r="F326" s="559">
        <v>-5220</v>
      </c>
      <c r="G326" s="558">
        <v>-7027</v>
      </c>
      <c r="H326" s="558">
        <v>-4445</v>
      </c>
      <c r="I326" s="558">
        <v>-5268</v>
      </c>
      <c r="J326" s="559">
        <v>-5141</v>
      </c>
      <c r="K326" s="558">
        <v>-5422</v>
      </c>
      <c r="L326" s="558">
        <v>-5240</v>
      </c>
      <c r="M326" s="558">
        <v>-5152</v>
      </c>
      <c r="N326" s="559">
        <v>-5784</v>
      </c>
      <c r="O326" s="558">
        <v>-5849</v>
      </c>
      <c r="P326" s="558">
        <v>-5616</v>
      </c>
      <c r="Q326" s="558">
        <v>-5607</v>
      </c>
      <c r="R326" s="559">
        <v>-6559</v>
      </c>
      <c r="S326" s="558">
        <v>-5819</v>
      </c>
      <c r="T326" s="558">
        <f t="shared" si="1965"/>
        <v>-5234</v>
      </c>
      <c r="U326" s="558">
        <f>X326-W326</f>
        <v>-3028</v>
      </c>
      <c r="V326" s="558">
        <f t="shared" si="1966"/>
        <v>-12378</v>
      </c>
      <c r="W326" s="302">
        <v>-17612</v>
      </c>
      <c r="X326" s="505">
        <v>-20640</v>
      </c>
      <c r="Y326" s="506">
        <v>-3698</v>
      </c>
      <c r="Z326" s="302">
        <f t="shared" si="1967"/>
        <v>-2778</v>
      </c>
      <c r="AA326" s="558">
        <f t="shared" si="1968"/>
        <v>-3213</v>
      </c>
      <c r="AB326" s="558">
        <f>AE326-AD326</f>
        <v>-3453</v>
      </c>
      <c r="AC326" s="302">
        <v>-6476</v>
      </c>
      <c r="AD326" s="302">
        <v>-9689</v>
      </c>
      <c r="AE326" s="505">
        <v>-13142</v>
      </c>
      <c r="AF326" s="302">
        <v>-6093.569576240493</v>
      </c>
      <c r="AG326" s="302">
        <f>AJ326-AF326</f>
        <v>14637.937163470666</v>
      </c>
      <c r="AH326" s="558">
        <f t="shared" si="1969"/>
        <v>-835.02351286921294</v>
      </c>
      <c r="AI326" s="558">
        <f>AL326-AF326-AG326-AH326</f>
        <v>11.054842437994012</v>
      </c>
      <c r="AJ326" s="302">
        <v>8544.3675872301737</v>
      </c>
      <c r="AK326" s="302">
        <v>7709.3440743609599</v>
      </c>
      <c r="AL326" s="505">
        <v>7720.3989167989539</v>
      </c>
      <c r="AM326" s="302">
        <v>0</v>
      </c>
      <c r="AN326" s="302">
        <f t="shared" si="1848"/>
        <v>-245</v>
      </c>
      <c r="AO326" s="302">
        <f t="shared" si="1849"/>
        <v>-127.69448568941681</v>
      </c>
      <c r="AP326" s="302">
        <f t="shared" si="1849"/>
        <v>372.69448568941681</v>
      </c>
      <c r="AQ326" s="302">
        <v>-245</v>
      </c>
      <c r="AR326" s="302">
        <v>-372.69448568941681</v>
      </c>
      <c r="AS326" s="505"/>
      <c r="AT326" s="302"/>
      <c r="AU326" s="302"/>
      <c r="AV326" s="302">
        <f>AY326-AX326</f>
        <v>0</v>
      </c>
      <c r="AW326" s="302">
        <f>AZ326-AY326</f>
        <v>0</v>
      </c>
      <c r="AX326" s="302"/>
      <c r="AY326" s="302"/>
      <c r="AZ326" s="737">
        <v>0</v>
      </c>
      <c r="BA326" s="737">
        <v>0</v>
      </c>
      <c r="BB326" s="737">
        <v>0</v>
      </c>
      <c r="BC326" s="737"/>
      <c r="BD326" s="737"/>
      <c r="BE326" s="737">
        <v>0</v>
      </c>
      <c r="BF326" s="737">
        <v>0</v>
      </c>
      <c r="BG326" s="737"/>
      <c r="BH326" s="737"/>
      <c r="BI326" s="737"/>
      <c r="BJ326" s="737"/>
      <c r="BK326" s="737"/>
      <c r="BL326" s="737"/>
      <c r="BM326" s="737"/>
      <c r="BN326" s="737"/>
      <c r="BO326" s="737"/>
      <c r="BP326" s="737"/>
      <c r="BQ326" s="737"/>
      <c r="BR326" s="737"/>
      <c r="BS326" s="737"/>
      <c r="BT326" s="737"/>
      <c r="BU326" s="737"/>
      <c r="BV326" s="737"/>
      <c r="BW326" s="737"/>
      <c r="BX326" s="737"/>
      <c r="BY326" s="737"/>
      <c r="BZ326" s="737"/>
      <c r="CA326" s="737"/>
      <c r="CB326" s="737"/>
      <c r="CC326" s="737"/>
      <c r="CD326" s="737"/>
      <c r="CE326" s="737"/>
      <c r="CF326" s="737"/>
      <c r="CG326" s="737"/>
      <c r="CH326" s="737"/>
      <c r="CI326" s="737"/>
      <c r="CJ326" s="737"/>
      <c r="CK326" s="737"/>
      <c r="CL326" s="737"/>
      <c r="CM326" s="737"/>
      <c r="CN326" s="737"/>
      <c r="CO326" s="737"/>
    </row>
    <row r="327" spans="1:93" s="483" customFormat="1" x14ac:dyDescent="0.25">
      <c r="A327" s="512" t="str">
        <f>Language!C252</f>
        <v>Concer</v>
      </c>
      <c r="B327" s="513">
        <f t="shared" ref="B327:Q327" si="1970">SUM(B328,B329)</f>
        <v>-9322</v>
      </c>
      <c r="C327" s="513">
        <f t="shared" si="1970"/>
        <v>-9286</v>
      </c>
      <c r="D327" s="513">
        <f t="shared" si="1970"/>
        <v>-9280</v>
      </c>
      <c r="E327" s="513">
        <f t="shared" si="1970"/>
        <v>-9714</v>
      </c>
      <c r="F327" s="514">
        <f t="shared" si="1970"/>
        <v>-10523</v>
      </c>
      <c r="G327" s="513">
        <f t="shared" si="1970"/>
        <v>-10705</v>
      </c>
      <c r="H327" s="513">
        <f t="shared" si="1970"/>
        <v>-10906</v>
      </c>
      <c r="I327" s="513">
        <f t="shared" si="1970"/>
        <v>-11179</v>
      </c>
      <c r="J327" s="514">
        <f t="shared" si="1970"/>
        <v>-12100</v>
      </c>
      <c r="K327" s="513">
        <f t="shared" si="1970"/>
        <v>-12355</v>
      </c>
      <c r="L327" s="513">
        <f t="shared" si="1970"/>
        <v>-12753</v>
      </c>
      <c r="M327" s="513">
        <f t="shared" si="1970"/>
        <v>-12721</v>
      </c>
      <c r="N327" s="514">
        <f t="shared" si="1970"/>
        <v>-13216</v>
      </c>
      <c r="O327" s="513">
        <f t="shared" si="1970"/>
        <v>-14220</v>
      </c>
      <c r="P327" s="513">
        <f t="shared" si="1970"/>
        <v>-11779</v>
      </c>
      <c r="Q327" s="513">
        <f t="shared" si="1970"/>
        <v>-12510</v>
      </c>
      <c r="R327" s="514">
        <f t="shared" ref="R327" si="1971">SUM(R328,R329)</f>
        <v>-11988</v>
      </c>
      <c r="S327" s="513">
        <f t="shared" ref="S327:Y327" si="1972">SUM(S328,S329)</f>
        <v>-11788</v>
      </c>
      <c r="T327" s="513">
        <f t="shared" si="1972"/>
        <v>-11290</v>
      </c>
      <c r="U327" s="513">
        <f t="shared" si="1972"/>
        <v>-10982</v>
      </c>
      <c r="V327" s="513">
        <f t="shared" si="1972"/>
        <v>-23776</v>
      </c>
      <c r="W327" s="515">
        <f t="shared" si="1972"/>
        <v>-35066</v>
      </c>
      <c r="X327" s="516">
        <f t="shared" si="1972"/>
        <v>-46048</v>
      </c>
      <c r="Y327" s="517">
        <f t="shared" si="1972"/>
        <v>-16036</v>
      </c>
      <c r="Z327" s="515">
        <f t="shared" ref="Z327:AC327" si="1973">SUM(Z328,Z329)</f>
        <v>-16255</v>
      </c>
      <c r="AA327" s="513">
        <f t="shared" si="1973"/>
        <v>-16596</v>
      </c>
      <c r="AB327" s="513">
        <f t="shared" si="1973"/>
        <v>-16720</v>
      </c>
      <c r="AC327" s="515">
        <f t="shared" si="1973"/>
        <v>-32291</v>
      </c>
      <c r="AD327" s="515">
        <f t="shared" ref="AD327:AE327" si="1974">SUM(AD328,AD329)</f>
        <v>-48887</v>
      </c>
      <c r="AE327" s="516">
        <f t="shared" si="1974"/>
        <v>-65607</v>
      </c>
      <c r="AF327" s="515">
        <f>-SUM(AF328,AF329)</f>
        <v>19017.857984908667</v>
      </c>
      <c r="AG327" s="515">
        <f t="shared" ref="AG327:AJ327" si="1975">SUM(AG328,AG329)</f>
        <v>56432.782115946495</v>
      </c>
      <c r="AH327" s="513">
        <f t="shared" si="1975"/>
        <v>20814.168663936696</v>
      </c>
      <c r="AI327" s="513">
        <f t="shared" si="1975"/>
        <v>20864.175103943067</v>
      </c>
      <c r="AJ327" s="515">
        <f t="shared" si="1975"/>
        <v>37414.92413103782</v>
      </c>
      <c r="AK327" s="515">
        <f>(SUM(AK328,AK329))</f>
        <v>58229.092794974524</v>
      </c>
      <c r="AL327" s="516">
        <f>(SUM(AL328,AL329))</f>
        <v>79093.267898917591</v>
      </c>
      <c r="AM327" s="515">
        <f t="shared" ref="AM327:AQ327" si="1976">SUM(AM328,AM329)</f>
        <v>-20661</v>
      </c>
      <c r="AN327" s="515">
        <f t="shared" si="1848"/>
        <v>-19679</v>
      </c>
      <c r="AO327" s="515">
        <f t="shared" si="1849"/>
        <v>-24176.303804956973</v>
      </c>
      <c r="AP327" s="515">
        <f t="shared" si="1849"/>
        <v>-26810.78488403825</v>
      </c>
      <c r="AQ327" s="515">
        <f t="shared" si="1976"/>
        <v>-40340</v>
      </c>
      <c r="AR327" s="515">
        <f>(SUM(AR328,AR329))+0</f>
        <v>-64516.303804956973</v>
      </c>
      <c r="AS327" s="516">
        <f>(SUM(AS328,AS329))+0</f>
        <v>-91327.088688995223</v>
      </c>
      <c r="AT327" s="515">
        <f>(((SUM(AT328,AT329))+0)+0)+0</f>
        <v>-53737.904999999999</v>
      </c>
      <c r="AU327" s="515">
        <v>-82943.325710786739</v>
      </c>
      <c r="AV327" s="515">
        <f t="shared" ref="AV327:BE327" si="1977">(SUM(AV328,AV329))+0</f>
        <v>-56348.140799999979</v>
      </c>
      <c r="AW327" s="515">
        <f>(((SUM(AW328,AW329))+0)+0)+0</f>
        <v>-60624.711200000027</v>
      </c>
      <c r="AX327" s="515">
        <f t="shared" si="1977"/>
        <v>-109442.56200000001</v>
      </c>
      <c r="AY327" s="515">
        <f t="shared" si="1977"/>
        <v>-165790.7028</v>
      </c>
      <c r="AZ327" s="515">
        <f t="shared" si="1977"/>
        <v>-226415.41400000002</v>
      </c>
      <c r="BA327" s="515">
        <f t="shared" si="1977"/>
        <v>-50185</v>
      </c>
      <c r="BB327" s="515">
        <f t="shared" si="1977"/>
        <v>-88205</v>
      </c>
      <c r="BC327" s="515">
        <f t="shared" si="1977"/>
        <v>-57536</v>
      </c>
      <c r="BD327" s="515">
        <f t="shared" si="1977"/>
        <v>-65945</v>
      </c>
      <c r="BE327" s="515">
        <f t="shared" si="1977"/>
        <v>-88205</v>
      </c>
      <c r="BF327" s="515">
        <f t="shared" ref="BF327:BG327" si="1978">(SUM(BF328,BF329))+0</f>
        <v>-145741</v>
      </c>
      <c r="BG327" s="515">
        <f t="shared" si="1978"/>
        <v>-211686</v>
      </c>
      <c r="BH327" s="515">
        <f t="shared" ref="BH327:BL327" si="1979">(SUM(BH328,BH329))+0</f>
        <v>-64453</v>
      </c>
      <c r="BI327" s="515">
        <f t="shared" si="1979"/>
        <v>-51533</v>
      </c>
      <c r="BJ327" s="515">
        <f t="shared" si="1979"/>
        <v>24649</v>
      </c>
      <c r="BK327" s="515">
        <f t="shared" si="1979"/>
        <v>-20776</v>
      </c>
      <c r="BL327" s="515">
        <f t="shared" si="1979"/>
        <v>-115986</v>
      </c>
      <c r="BM327" s="515">
        <f t="shared" ref="BM327:BN327" si="1980">(SUM(BM328,BM329))+0</f>
        <v>-91337</v>
      </c>
      <c r="BN327" s="515">
        <f t="shared" si="1980"/>
        <v>-112113</v>
      </c>
      <c r="BO327" s="515">
        <f t="shared" ref="BO327:BS327" si="1981">(SUM(BO328,BO329))+0</f>
        <v>-21484</v>
      </c>
      <c r="BP327" s="515">
        <f t="shared" si="1981"/>
        <v>-21854</v>
      </c>
      <c r="BQ327" s="515">
        <f t="shared" si="1981"/>
        <v>-22533</v>
      </c>
      <c r="BR327" s="515">
        <f t="shared" si="1981"/>
        <v>-22975</v>
      </c>
      <c r="BS327" s="515">
        <f t="shared" si="1981"/>
        <v>-43338</v>
      </c>
      <c r="BT327" s="515">
        <f t="shared" ref="BT327:BU327" si="1982">(SUM(BT328,BT329))+0</f>
        <v>-65871</v>
      </c>
      <c r="BU327" s="515">
        <f t="shared" si="1982"/>
        <v>-88846</v>
      </c>
      <c r="BV327" s="515">
        <f t="shared" ref="BV327:BZ327" si="1983">(SUM(BV328,BV329))+0</f>
        <v>-23014</v>
      </c>
      <c r="BW327" s="515">
        <f t="shared" si="1983"/>
        <v>-22990</v>
      </c>
      <c r="BX327" s="515">
        <f t="shared" si="1983"/>
        <v>-24605</v>
      </c>
      <c r="BY327" s="515">
        <f t="shared" si="1983"/>
        <v>-25712</v>
      </c>
      <c r="BZ327" s="515">
        <f t="shared" si="1983"/>
        <v>-46004</v>
      </c>
      <c r="CA327" s="515">
        <f t="shared" ref="CA327:CB327" si="1984">(SUM(CA328,CA329))+0</f>
        <v>-70609</v>
      </c>
      <c r="CB327" s="515">
        <f t="shared" si="1984"/>
        <v>-96321</v>
      </c>
      <c r="CC327" s="515">
        <f t="shared" ref="CC327:CD327" si="1985">(SUM(CC328,CC329))+0</f>
        <v>-23208</v>
      </c>
      <c r="CD327" s="515">
        <f t="shared" si="1985"/>
        <v>-23899</v>
      </c>
      <c r="CE327" s="515">
        <f t="shared" ref="CE327:CG327" si="1986">(SUM(CE328,CE329))+0</f>
        <v>-26166</v>
      </c>
      <c r="CF327" s="515">
        <f t="shared" si="1986"/>
        <v>0</v>
      </c>
      <c r="CG327" s="515">
        <f t="shared" si="1986"/>
        <v>-47107</v>
      </c>
      <c r="CH327" s="515">
        <f t="shared" ref="CH327:CI327" si="1987">(SUM(CH328,CH329))+0</f>
        <v>-73273</v>
      </c>
      <c r="CI327" s="515">
        <f t="shared" si="1987"/>
        <v>-100183</v>
      </c>
      <c r="CJ327" s="515">
        <v>-26151</v>
      </c>
      <c r="CK327" s="515">
        <f t="shared" ref="CK327" si="1988">(SUM(CK328,CK329))+0</f>
        <v>-54770</v>
      </c>
      <c r="CL327" s="515">
        <f t="shared" ref="CL327:CO327" si="1989">(SUM(CL328,CL329))+0</f>
        <v>0</v>
      </c>
      <c r="CM327" s="515">
        <f t="shared" si="1989"/>
        <v>0</v>
      </c>
      <c r="CN327" s="515">
        <f t="shared" si="1989"/>
        <v>-80921</v>
      </c>
      <c r="CO327" s="515">
        <f t="shared" si="1989"/>
        <v>0</v>
      </c>
    </row>
    <row r="328" spans="1:93" s="483" customFormat="1" x14ac:dyDescent="0.25">
      <c r="A328" s="557" t="str">
        <f>Language!C253</f>
        <v>D&amp;A</v>
      </c>
      <c r="B328" s="558">
        <v>-9322</v>
      </c>
      <c r="C328" s="558">
        <v>-9286</v>
      </c>
      <c r="D328" s="558">
        <v>-9280</v>
      </c>
      <c r="E328" s="558">
        <v>12840</v>
      </c>
      <c r="F328" s="559">
        <v>-5010</v>
      </c>
      <c r="G328" s="558">
        <v>-5192</v>
      </c>
      <c r="H328" s="558">
        <v>-5393</v>
      </c>
      <c r="I328" s="558">
        <v>-5666</v>
      </c>
      <c r="J328" s="559">
        <v>-6587</v>
      </c>
      <c r="K328" s="558">
        <v>-6842</v>
      </c>
      <c r="L328" s="558">
        <v>-7240</v>
      </c>
      <c r="M328" s="558">
        <v>-8202</v>
      </c>
      <c r="N328" s="559">
        <v>-8006</v>
      </c>
      <c r="O328" s="558">
        <v>-8764</v>
      </c>
      <c r="P328" s="558">
        <v>-7363</v>
      </c>
      <c r="Q328" s="558">
        <v>-7670</v>
      </c>
      <c r="R328" s="559">
        <v>-7673</v>
      </c>
      <c r="S328" s="558">
        <v>-7653</v>
      </c>
      <c r="T328" s="558">
        <f t="shared" ref="T328:T329" si="1990">W328-S328-R328</f>
        <v>-7382</v>
      </c>
      <c r="U328" s="558">
        <f>X328-W328</f>
        <v>-7239</v>
      </c>
      <c r="V328" s="558">
        <f t="shared" ref="V328:V329" si="1991">R328+S328</f>
        <v>-15326</v>
      </c>
      <c r="W328" s="302">
        <v>-22708</v>
      </c>
      <c r="X328" s="505">
        <v>-29947</v>
      </c>
      <c r="Y328" s="506">
        <v>-10664</v>
      </c>
      <c r="Z328" s="302">
        <f t="shared" ref="Z328:Z329" si="1992">AC328-Y328</f>
        <v>-10911</v>
      </c>
      <c r="AA328" s="558">
        <f t="shared" ref="AA328:AA329" si="1993">AD328-Z328-Y328</f>
        <v>-11216</v>
      </c>
      <c r="AB328" s="558">
        <f>AE328-AD328</f>
        <v>-11323</v>
      </c>
      <c r="AC328" s="302">
        <v>-21575</v>
      </c>
      <c r="AD328" s="302">
        <v>-32791</v>
      </c>
      <c r="AE328" s="505">
        <v>-44114</v>
      </c>
      <c r="AF328" s="302">
        <v>-12824.01191464427</v>
      </c>
      <c r="AG328" s="302">
        <f>AJ328-AF328</f>
        <v>38591.30363291227</v>
      </c>
      <c r="AH328" s="558">
        <f t="shared" ref="AH328:AH329" si="1994">AK328-AG328-AF328</f>
        <v>13827.145151067485</v>
      </c>
      <c r="AI328" s="558">
        <f>AL328-AF328-AG328-AH328</f>
        <v>14393.22994638106</v>
      </c>
      <c r="AJ328" s="302">
        <v>25767.291718267996</v>
      </c>
      <c r="AK328" s="302">
        <v>39594.436869335485</v>
      </c>
      <c r="AL328" s="505">
        <v>53987.66681571654</v>
      </c>
      <c r="AM328" s="302">
        <v>-14465</v>
      </c>
      <c r="AN328" s="302">
        <f t="shared" si="1848"/>
        <v>-13810</v>
      </c>
      <c r="AO328" s="302">
        <f t="shared" si="1849"/>
        <v>-16505.998290646392</v>
      </c>
      <c r="AP328" s="302">
        <f t="shared" si="1849"/>
        <v>-18719.090398348824</v>
      </c>
      <c r="AQ328" s="302">
        <v>-28275</v>
      </c>
      <c r="AR328" s="302">
        <v>-44780.998290646392</v>
      </c>
      <c r="AS328" s="505">
        <v>-63500.088688995216</v>
      </c>
      <c r="AT328" s="302">
        <v>-45946.219299999997</v>
      </c>
      <c r="AU328" s="302">
        <f>AX328-AT328</f>
        <v>-45723.573800000013</v>
      </c>
      <c r="AV328" s="302">
        <f>AY328-AX328</f>
        <v>-49930.94319999998</v>
      </c>
      <c r="AW328" s="302">
        <f>AZ328-AY328</f>
        <v>-51798.267200000031</v>
      </c>
      <c r="AX328" s="302">
        <v>-91669.79310000001</v>
      </c>
      <c r="AY328" s="302">
        <v>-141600.73629999999</v>
      </c>
      <c r="AZ328" s="302">
        <v>-193399.00350000002</v>
      </c>
      <c r="BA328" s="302">
        <v>-45307</v>
      </c>
      <c r="BB328" s="302">
        <f>BE328</f>
        <v>-79653</v>
      </c>
      <c r="BC328" s="302">
        <f>BF328-BE328</f>
        <v>-51992</v>
      </c>
      <c r="BD328" s="302">
        <f>BG328-BF328</f>
        <v>-59625</v>
      </c>
      <c r="BE328" s="302">
        <v>-79653</v>
      </c>
      <c r="BF328" s="302">
        <v>-131645</v>
      </c>
      <c r="BG328" s="302">
        <v>-191270</v>
      </c>
      <c r="BH328" s="302">
        <v>-59989</v>
      </c>
      <c r="BI328" s="302">
        <f>BL328-BH328</f>
        <v>-51533</v>
      </c>
      <c r="BJ328" s="302">
        <f>BM328-BL328</f>
        <v>24649</v>
      </c>
      <c r="BK328" s="302">
        <f>BN328-BM328</f>
        <v>-20776</v>
      </c>
      <c r="BL328" s="302">
        <v>-111522</v>
      </c>
      <c r="BM328" s="302">
        <v>-86873</v>
      </c>
      <c r="BN328" s="302">
        <v>-107649</v>
      </c>
      <c r="BO328" s="302">
        <v>-21484</v>
      </c>
      <c r="BP328" s="302">
        <f>BS328-BO328</f>
        <v>-21854</v>
      </c>
      <c r="BQ328" s="302">
        <f>BT328-BS328</f>
        <v>-22533</v>
      </c>
      <c r="BR328" s="302">
        <f>BU328-BT328</f>
        <v>-22975</v>
      </c>
      <c r="BS328" s="302">
        <v>-43338</v>
      </c>
      <c r="BT328" s="302">
        <v>-65871</v>
      </c>
      <c r="BU328" s="302">
        <v>-88846</v>
      </c>
      <c r="BV328" s="302">
        <v>-23014</v>
      </c>
      <c r="BW328" s="483">
        <f>BZ328-BV328</f>
        <v>-22990</v>
      </c>
      <c r="BX328" s="483">
        <f>CA328-BZ328</f>
        <v>-24605</v>
      </c>
      <c r="BY328" s="483">
        <f>CB328-CA328</f>
        <v>-25712</v>
      </c>
      <c r="BZ328" s="302">
        <v>-46004</v>
      </c>
      <c r="CA328" s="302">
        <v>-70609</v>
      </c>
      <c r="CB328" s="302">
        <v>-96321</v>
      </c>
      <c r="CC328" s="302">
        <v>-23208</v>
      </c>
      <c r="CD328" s="302">
        <f>CG328-CC328</f>
        <v>-23899</v>
      </c>
      <c r="CE328" s="302">
        <f>CH328-CG328</f>
        <v>-26166</v>
      </c>
      <c r="CF328" s="302"/>
      <c r="CG328" s="302">
        <v>-47107</v>
      </c>
      <c r="CH328" s="302">
        <v>-73273</v>
      </c>
      <c r="CI328" s="302">
        <v>-100183</v>
      </c>
      <c r="CJ328" s="302">
        <v>-26151</v>
      </c>
      <c r="CK328" s="302">
        <f>CN328-CJ328</f>
        <v>-54770</v>
      </c>
      <c r="CL328" s="302"/>
      <c r="CM328" s="302"/>
      <c r="CN328" s="302">
        <v>-80921</v>
      </c>
      <c r="CO328" s="302"/>
    </row>
    <row r="329" spans="1:93" s="483" customFormat="1" x14ac:dyDescent="0.25">
      <c r="A329" s="557" t="str">
        <f>Language!C254</f>
        <v>Reavaliação</v>
      </c>
      <c r="B329" s="558">
        <v>0</v>
      </c>
      <c r="C329" s="558">
        <v>0</v>
      </c>
      <c r="D329" s="558">
        <v>0</v>
      </c>
      <c r="E329" s="558">
        <v>-22554</v>
      </c>
      <c r="F329" s="559">
        <v>-5513</v>
      </c>
      <c r="G329" s="558">
        <v>-5513</v>
      </c>
      <c r="H329" s="558">
        <v>-5513</v>
      </c>
      <c r="I329" s="558">
        <v>-5513</v>
      </c>
      <c r="J329" s="559">
        <v>-5513</v>
      </c>
      <c r="K329" s="558">
        <v>-5513</v>
      </c>
      <c r="L329" s="558">
        <v>-5513</v>
      </c>
      <c r="M329" s="558">
        <v>-4519</v>
      </c>
      <c r="N329" s="559">
        <v>-5210</v>
      </c>
      <c r="O329" s="558">
        <v>-5456</v>
      </c>
      <c r="P329" s="558">
        <v>-4416</v>
      </c>
      <c r="Q329" s="558">
        <v>-4840</v>
      </c>
      <c r="R329" s="559">
        <v>-4315</v>
      </c>
      <c r="S329" s="558">
        <v>-4135</v>
      </c>
      <c r="T329" s="558">
        <f t="shared" si="1990"/>
        <v>-3908</v>
      </c>
      <c r="U329" s="558">
        <f>X329-W329</f>
        <v>-3743</v>
      </c>
      <c r="V329" s="558">
        <f t="shared" si="1991"/>
        <v>-8450</v>
      </c>
      <c r="W329" s="302">
        <v>-12358</v>
      </c>
      <c r="X329" s="505">
        <v>-16101</v>
      </c>
      <c r="Y329" s="506">
        <v>-5372</v>
      </c>
      <c r="Z329" s="302">
        <f t="shared" si="1992"/>
        <v>-5344</v>
      </c>
      <c r="AA329" s="558">
        <f t="shared" si="1993"/>
        <v>-5380</v>
      </c>
      <c r="AB329" s="558">
        <f>AE329-AD329</f>
        <v>-5397</v>
      </c>
      <c r="AC329" s="302">
        <v>-10716</v>
      </c>
      <c r="AD329" s="302">
        <v>-16096</v>
      </c>
      <c r="AE329" s="505">
        <v>-21493</v>
      </c>
      <c r="AF329" s="302">
        <v>-6193.846070264397</v>
      </c>
      <c r="AG329" s="302">
        <f>AJ329-AF329</f>
        <v>17841.478483034225</v>
      </c>
      <c r="AH329" s="558">
        <f t="shared" si="1994"/>
        <v>6987.0235128692111</v>
      </c>
      <c r="AI329" s="558">
        <f>AL329-AF329-AG329-AH329</f>
        <v>6470.9451575620078</v>
      </c>
      <c r="AJ329" s="302">
        <v>11647.632412769826</v>
      </c>
      <c r="AK329" s="302">
        <v>18634.655925639039</v>
      </c>
      <c r="AL329" s="505">
        <v>25105.601083201047</v>
      </c>
      <c r="AM329" s="302">
        <v>-6196</v>
      </c>
      <c r="AN329" s="302">
        <f t="shared" si="1848"/>
        <v>-5869</v>
      </c>
      <c r="AO329" s="302">
        <f t="shared" si="1849"/>
        <v>-7670.3055143105812</v>
      </c>
      <c r="AP329" s="302">
        <f t="shared" si="1849"/>
        <v>-8091.6944856894188</v>
      </c>
      <c r="AQ329" s="302">
        <v>-12065</v>
      </c>
      <c r="AR329" s="302">
        <v>-19735.305514310581</v>
      </c>
      <c r="AS329" s="505">
        <v>-27827</v>
      </c>
      <c r="AT329" s="302">
        <v>-7791.6857</v>
      </c>
      <c r="AU329" s="302">
        <f>AX329-AT329</f>
        <v>-9981.0831999999991</v>
      </c>
      <c r="AV329" s="302">
        <f>AY329-AX329</f>
        <v>-6417.1976000000031</v>
      </c>
      <c r="AW329" s="302">
        <f>AZ329-AY329</f>
        <v>-8826.4439999999959</v>
      </c>
      <c r="AX329" s="302">
        <v>-17772.768899999999</v>
      </c>
      <c r="AY329" s="302">
        <v>-24189.966500000002</v>
      </c>
      <c r="AZ329" s="302">
        <v>-33016.410499999998</v>
      </c>
      <c r="BA329" s="302">
        <v>-4878</v>
      </c>
      <c r="BB329" s="302">
        <f>BE329</f>
        <v>-8552</v>
      </c>
      <c r="BC329" s="302">
        <f>BF329-BE329</f>
        <v>-5544</v>
      </c>
      <c r="BD329" s="302">
        <f>BG329-BF329</f>
        <v>-6320</v>
      </c>
      <c r="BE329" s="302">
        <v>-8552</v>
      </c>
      <c r="BF329" s="302">
        <v>-14096</v>
      </c>
      <c r="BG329" s="302">
        <v>-20416</v>
      </c>
      <c r="BH329" s="302">
        <v>-4464</v>
      </c>
      <c r="BI329" s="302">
        <f>BL329-BH329</f>
        <v>0</v>
      </c>
      <c r="BJ329" s="302">
        <f>BM329-BL329</f>
        <v>0</v>
      </c>
      <c r="BK329" s="302">
        <f>BN329-BM329</f>
        <v>0</v>
      </c>
      <c r="BL329" s="302">
        <v>-4464</v>
      </c>
      <c r="BM329" s="302">
        <v>-4464</v>
      </c>
      <c r="BN329" s="302">
        <v>-4464</v>
      </c>
      <c r="BO329" s="302">
        <v>0</v>
      </c>
      <c r="BP329" s="302"/>
      <c r="BQ329" s="302"/>
      <c r="BR329" s="302"/>
      <c r="BS329" s="302">
        <v>0</v>
      </c>
      <c r="BT329" s="302">
        <v>0</v>
      </c>
      <c r="BU329" s="302">
        <v>0</v>
      </c>
      <c r="BV329" s="302">
        <v>0</v>
      </c>
      <c r="BZ329" s="302">
        <v>0</v>
      </c>
      <c r="CA329" s="302">
        <v>0</v>
      </c>
      <c r="CB329" s="302">
        <v>0</v>
      </c>
      <c r="CC329" s="302">
        <v>0</v>
      </c>
      <c r="CD329" s="302">
        <f>CG329-CC329</f>
        <v>0</v>
      </c>
      <c r="CE329" s="302"/>
      <c r="CF329" s="302"/>
      <c r="CG329" s="302">
        <v>0</v>
      </c>
      <c r="CH329" s="302">
        <v>0</v>
      </c>
      <c r="CI329" s="302">
        <v>0</v>
      </c>
      <c r="CJ329" s="302">
        <v>0</v>
      </c>
      <c r="CK329" s="302">
        <v>0</v>
      </c>
      <c r="CL329" s="302"/>
      <c r="CM329" s="302"/>
      <c r="CN329" s="302"/>
      <c r="CO329" s="302"/>
    </row>
    <row r="330" spans="1:93" s="483" customFormat="1" x14ac:dyDescent="0.25">
      <c r="A330" s="512" t="str">
        <f>Language!C255</f>
        <v>Econorte</v>
      </c>
      <c r="B330" s="513">
        <f t="shared" ref="B330:Q330" si="1995">SUM(B331,B332)</f>
        <v>-4311</v>
      </c>
      <c r="C330" s="513">
        <f t="shared" si="1995"/>
        <v>-4670</v>
      </c>
      <c r="D330" s="513">
        <f t="shared" si="1995"/>
        <v>-4626</v>
      </c>
      <c r="E330" s="513">
        <f t="shared" si="1995"/>
        <v>-4596</v>
      </c>
      <c r="F330" s="514">
        <f t="shared" si="1995"/>
        <v>-4854</v>
      </c>
      <c r="G330" s="513">
        <f t="shared" si="1995"/>
        <v>-4869</v>
      </c>
      <c r="H330" s="513">
        <f t="shared" si="1995"/>
        <v>-5302</v>
      </c>
      <c r="I330" s="513">
        <f t="shared" si="1995"/>
        <v>-5651</v>
      </c>
      <c r="J330" s="514">
        <f t="shared" si="1995"/>
        <v>-5888</v>
      </c>
      <c r="K330" s="513">
        <f t="shared" si="1995"/>
        <v>-5935</v>
      </c>
      <c r="L330" s="513">
        <f t="shared" si="1995"/>
        <v>-6296</v>
      </c>
      <c r="M330" s="513">
        <f t="shared" si="1995"/>
        <v>-6834</v>
      </c>
      <c r="N330" s="514">
        <f t="shared" si="1995"/>
        <v>-7932</v>
      </c>
      <c r="O330" s="513">
        <f t="shared" si="1995"/>
        <v>-8227</v>
      </c>
      <c r="P330" s="513">
        <f t="shared" si="1995"/>
        <v>-8593</v>
      </c>
      <c r="Q330" s="513">
        <f t="shared" si="1995"/>
        <v>-8996</v>
      </c>
      <c r="R330" s="514">
        <f t="shared" ref="R330" si="1996">SUM(R331,R332)</f>
        <v>-11643</v>
      </c>
      <c r="S330" s="513">
        <f t="shared" ref="S330:Y330" si="1997">SUM(S331,S332)</f>
        <v>-11205</v>
      </c>
      <c r="T330" s="513">
        <f t="shared" si="1997"/>
        <v>-11127</v>
      </c>
      <c r="U330" s="513">
        <f t="shared" si="1997"/>
        <v>-11096</v>
      </c>
      <c r="V330" s="513">
        <f t="shared" si="1997"/>
        <v>-22848</v>
      </c>
      <c r="W330" s="515">
        <f t="shared" si="1997"/>
        <v>-33975</v>
      </c>
      <c r="X330" s="516">
        <f t="shared" si="1997"/>
        <v>-45071</v>
      </c>
      <c r="Y330" s="517">
        <f t="shared" si="1997"/>
        <v>-13325</v>
      </c>
      <c r="Z330" s="515">
        <f t="shared" ref="Z330:AC330" si="1998">SUM(Z331,Z332)</f>
        <v>-12548</v>
      </c>
      <c r="AA330" s="513">
        <f t="shared" si="1998"/>
        <v>-12033</v>
      </c>
      <c r="AB330" s="513">
        <f t="shared" si="1998"/>
        <v>-11218</v>
      </c>
      <c r="AC330" s="515">
        <f t="shared" si="1998"/>
        <v>-25873</v>
      </c>
      <c r="AD330" s="515">
        <f t="shared" ref="AD330:AE330" si="1999">SUM(AD331,AD332)</f>
        <v>-37906</v>
      </c>
      <c r="AE330" s="516">
        <f t="shared" si="1999"/>
        <v>-49124</v>
      </c>
      <c r="AF330" s="515">
        <f>-SUM(AF331,AF332)</f>
        <v>15014.965670942252</v>
      </c>
      <c r="AG330" s="515">
        <f t="shared" ref="AG330:AJ330" si="2000">SUM(AG331,AG332)</f>
        <v>44024.02951773697</v>
      </c>
      <c r="AH330" s="513">
        <f t="shared" si="2000"/>
        <v>13096.205903324537</v>
      </c>
      <c r="AI330" s="513">
        <f t="shared" si="2000"/>
        <v>12312.325089928398</v>
      </c>
      <c r="AJ330" s="515">
        <f t="shared" si="2000"/>
        <v>29009.063846794714</v>
      </c>
      <c r="AK330" s="515">
        <f>(SUM(AK331,AK332))</f>
        <v>42105.269750119252</v>
      </c>
      <c r="AL330" s="516">
        <f>(SUM(AL331,AL332))</f>
        <v>54417.594840047648</v>
      </c>
      <c r="AM330" s="515">
        <f t="shared" ref="AM330:AQ330" si="2001">SUM(AM331,AM332)</f>
        <v>-18837</v>
      </c>
      <c r="AN330" s="515">
        <f t="shared" si="1848"/>
        <v>-18836</v>
      </c>
      <c r="AO330" s="515">
        <f t="shared" si="1849"/>
        <v>-19388.613109264981</v>
      </c>
      <c r="AP330" s="515">
        <f t="shared" si="1849"/>
        <v>-21650.796551022104</v>
      </c>
      <c r="AQ330" s="515">
        <f t="shared" si="2001"/>
        <v>-37673</v>
      </c>
      <c r="AR330" s="515">
        <f>(SUM(AR331,AR332))+0</f>
        <v>-57061.613109264981</v>
      </c>
      <c r="AS330" s="516">
        <f>(SUM(AS331,AS332))+0</f>
        <v>-78712.409660287085</v>
      </c>
      <c r="AT330" s="515">
        <f>(((SUM(AT331,AT332))+0)+0)+0</f>
        <v>-4379</v>
      </c>
      <c r="AU330" s="515">
        <f t="shared" ref="AU330" si="2002">(SUM(AU331,AU332))+0</f>
        <v>-4977</v>
      </c>
      <c r="AV330" s="515">
        <f>(((SUM(AV331,AV332))+0)+0)+0</f>
        <v>-5990</v>
      </c>
      <c r="AW330" s="515">
        <f>(((SUM(AW331,AW332))+0)+0)+0</f>
        <v>-18411</v>
      </c>
      <c r="AX330" s="515">
        <f t="shared" ref="AX330:BE330" si="2003">(SUM(AX331,AX332))+0</f>
        <v>-9356</v>
      </c>
      <c r="AY330" s="515">
        <f t="shared" si="2003"/>
        <v>-15346</v>
      </c>
      <c r="AZ330" s="515">
        <f t="shared" si="2003"/>
        <v>-33757</v>
      </c>
      <c r="BA330" s="515">
        <f t="shared" si="2003"/>
        <v>-12659</v>
      </c>
      <c r="BB330" s="515">
        <f t="shared" si="2003"/>
        <v>-29553</v>
      </c>
      <c r="BC330" s="515">
        <f t="shared" si="2003"/>
        <v>-20059</v>
      </c>
      <c r="BD330" s="515">
        <f t="shared" si="2003"/>
        <v>-27613</v>
      </c>
      <c r="BE330" s="515">
        <f t="shared" si="2003"/>
        <v>-29553</v>
      </c>
      <c r="BF330" s="515">
        <f t="shared" ref="BF330:BG330" si="2004">(SUM(BF331,BF332))+0</f>
        <v>-49612</v>
      </c>
      <c r="BG330" s="515">
        <f t="shared" si="2004"/>
        <v>-77225</v>
      </c>
      <c r="BH330" s="515">
        <f t="shared" ref="BH330:BL330" si="2005">(SUM(BH331,BH332))+0</f>
        <v>-27104</v>
      </c>
      <c r="BI330" s="515">
        <f t="shared" si="2005"/>
        <v>-43772</v>
      </c>
      <c r="BJ330" s="515">
        <f t="shared" si="2005"/>
        <v>-59571</v>
      </c>
      <c r="BK330" s="515">
        <f t="shared" si="2005"/>
        <v>-50972</v>
      </c>
      <c r="BL330" s="515">
        <f t="shared" si="2005"/>
        <v>-70876</v>
      </c>
      <c r="BM330" s="515">
        <f t="shared" ref="BM330:BN330" si="2006">(SUM(BM331,BM332))+0</f>
        <v>-130447</v>
      </c>
      <c r="BN330" s="515">
        <f t="shared" si="2006"/>
        <v>-181419</v>
      </c>
      <c r="BO330" s="515">
        <f t="shared" ref="BO330:BS330" si="2007">(SUM(BO331,BO332))+0</f>
        <v>-3343</v>
      </c>
      <c r="BP330" s="515">
        <f t="shared" si="2007"/>
        <v>-75</v>
      </c>
      <c r="BQ330" s="515">
        <f t="shared" si="2007"/>
        <v>-180</v>
      </c>
      <c r="BR330" s="515">
        <f t="shared" si="2007"/>
        <v>-302</v>
      </c>
      <c r="BS330" s="515">
        <f t="shared" si="2007"/>
        <v>-3418</v>
      </c>
      <c r="BT330" s="515">
        <f t="shared" ref="BT330:BU330" si="2008">(SUM(BT331,BT332))+0</f>
        <v>-3598</v>
      </c>
      <c r="BU330" s="515">
        <f t="shared" si="2008"/>
        <v>-3900</v>
      </c>
      <c r="BV330" s="515">
        <f t="shared" ref="BV330:BZ330" si="2009">(SUM(BV331,BV332))+0</f>
        <v>0</v>
      </c>
      <c r="BW330" s="515">
        <f t="shared" si="2009"/>
        <v>0</v>
      </c>
      <c r="BX330" s="515">
        <f t="shared" si="2009"/>
        <v>0</v>
      </c>
      <c r="BY330" s="515">
        <f t="shared" si="2009"/>
        <v>0</v>
      </c>
      <c r="BZ330" s="515">
        <f t="shared" si="2009"/>
        <v>0</v>
      </c>
      <c r="CA330" s="515">
        <f t="shared" ref="CA330:CB330" si="2010">(SUM(CA331,CA332))+0</f>
        <v>0</v>
      </c>
      <c r="CB330" s="515">
        <f t="shared" si="2010"/>
        <v>0</v>
      </c>
      <c r="CC330" s="515">
        <f t="shared" ref="CC330:CD330" si="2011">(SUM(CC331,CC332))+0</f>
        <v>0</v>
      </c>
      <c r="CD330" s="515">
        <f t="shared" si="2011"/>
        <v>0</v>
      </c>
      <c r="CE330" s="515">
        <f t="shared" ref="CE330:CG330" si="2012">(SUM(CE331,CE332))+0</f>
        <v>0</v>
      </c>
      <c r="CF330" s="515">
        <f t="shared" si="2012"/>
        <v>0</v>
      </c>
      <c r="CG330" s="515">
        <f t="shared" si="2012"/>
        <v>0</v>
      </c>
      <c r="CH330" s="515">
        <f t="shared" ref="CH330:CI330" si="2013">(SUM(CH331,CH332))+0</f>
        <v>0</v>
      </c>
      <c r="CI330" s="515">
        <f t="shared" si="2013"/>
        <v>0</v>
      </c>
      <c r="CJ330" s="515">
        <v>0</v>
      </c>
      <c r="CK330" s="515">
        <f t="shared" ref="CK330" si="2014">(SUM(CK331,CK332))+0</f>
        <v>0</v>
      </c>
      <c r="CL330" s="515">
        <f t="shared" ref="CL330:CO330" si="2015">(SUM(CL331,CL332))+0</f>
        <v>0</v>
      </c>
      <c r="CM330" s="515">
        <f t="shared" si="2015"/>
        <v>0</v>
      </c>
      <c r="CN330" s="515">
        <f t="shared" si="2015"/>
        <v>0</v>
      </c>
      <c r="CO330" s="515">
        <f t="shared" si="2015"/>
        <v>0</v>
      </c>
    </row>
    <row r="331" spans="1:93" s="483" customFormat="1" x14ac:dyDescent="0.25">
      <c r="A331" s="557" t="str">
        <f>Language!C256</f>
        <v>D&amp;A</v>
      </c>
      <c r="B331" s="558">
        <v>-4311</v>
      </c>
      <c r="C331" s="558">
        <v>-4670</v>
      </c>
      <c r="D331" s="558">
        <v>-4626</v>
      </c>
      <c r="E331" s="558">
        <v>4692</v>
      </c>
      <c r="F331" s="559">
        <v>-2663</v>
      </c>
      <c r="G331" s="558">
        <v>-2672</v>
      </c>
      <c r="H331" s="558">
        <v>-2908</v>
      </c>
      <c r="I331" s="558">
        <v>3773</v>
      </c>
      <c r="J331" s="559">
        <v>-2490</v>
      </c>
      <c r="K331" s="558">
        <v>-2538</v>
      </c>
      <c r="L331" s="558">
        <v>-2899</v>
      </c>
      <c r="M331" s="558">
        <v>-2936</v>
      </c>
      <c r="N331" s="559">
        <v>-3447</v>
      </c>
      <c r="O331" s="558">
        <v>-12712</v>
      </c>
      <c r="P331" s="558">
        <v>-8593</v>
      </c>
      <c r="Q331" s="558">
        <v>-8996</v>
      </c>
      <c r="R331" s="559">
        <v>-11643</v>
      </c>
      <c r="S331" s="558">
        <v>-11205</v>
      </c>
      <c r="T331" s="558">
        <f t="shared" ref="T331:T332" si="2016">W331-S331-R331</f>
        <v>-11127</v>
      </c>
      <c r="U331" s="558">
        <f>X331-W331</f>
        <v>-11096</v>
      </c>
      <c r="V331" s="558">
        <f t="shared" ref="V331:V332" si="2017">R331+S331</f>
        <v>-22848</v>
      </c>
      <c r="W331" s="302">
        <v>-33975</v>
      </c>
      <c r="X331" s="505">
        <v>-45071</v>
      </c>
      <c r="Y331" s="506">
        <v>-13325</v>
      </c>
      <c r="Z331" s="302">
        <f t="shared" ref="Z331:Z332" si="2018">AC331-Y331</f>
        <v>-12548</v>
      </c>
      <c r="AA331" s="558">
        <f t="shared" ref="AA331:AA332" si="2019">AD331-Z331-Y331</f>
        <v>-12033</v>
      </c>
      <c r="AB331" s="558">
        <f>AE331-AD331</f>
        <v>-11218</v>
      </c>
      <c r="AC331" s="302">
        <v>-25873</v>
      </c>
      <c r="AD331" s="302">
        <v>-37906</v>
      </c>
      <c r="AE331" s="505">
        <v>-49124</v>
      </c>
      <c r="AF331" s="302">
        <v>-13319.381317447142</v>
      </c>
      <c r="AG331" s="302">
        <f>AJ331-AF331</f>
        <v>42328.445164241857</v>
      </c>
      <c r="AH331" s="558">
        <f t="shared" ref="AH331:AH332" si="2020">AK331-AG331-AF331</f>
        <v>13096.205903324537</v>
      </c>
      <c r="AI331" s="558">
        <f>AL331-AF331-AG331-AH331</f>
        <v>12312.325089928398</v>
      </c>
      <c r="AJ331" s="302">
        <v>29009.063846794714</v>
      </c>
      <c r="AK331" s="302">
        <v>42105.269750119252</v>
      </c>
      <c r="AL331" s="505">
        <v>54417.594840047648</v>
      </c>
      <c r="AM331" s="302">
        <v>-18837</v>
      </c>
      <c r="AN331" s="302">
        <f t="shared" si="1848"/>
        <v>-18836</v>
      </c>
      <c r="AO331" s="302">
        <f t="shared" si="1849"/>
        <v>-19388.613109264981</v>
      </c>
      <c r="AP331" s="302">
        <f t="shared" si="1849"/>
        <v>-21650.796551022104</v>
      </c>
      <c r="AQ331" s="302">
        <v>-37673</v>
      </c>
      <c r="AR331" s="302">
        <v>-57061.613109264981</v>
      </c>
      <c r="AS331" s="505">
        <v>-78712.409660287085</v>
      </c>
      <c r="AT331" s="302">
        <v>-4379</v>
      </c>
      <c r="AU331" s="302">
        <f>AX331-AT331</f>
        <v>-4977</v>
      </c>
      <c r="AV331" s="302">
        <f>AY331-AX331</f>
        <v>-5990</v>
      </c>
      <c r="AW331" s="302">
        <f>AZ331-AY331</f>
        <v>-18411</v>
      </c>
      <c r="AX331" s="302">
        <v>-9356</v>
      </c>
      <c r="AY331" s="302">
        <v>-15346</v>
      </c>
      <c r="AZ331" s="302">
        <v>-33757</v>
      </c>
      <c r="BA331" s="302">
        <v>-12659</v>
      </c>
      <c r="BB331" s="302">
        <f>BE331</f>
        <v>-29553</v>
      </c>
      <c r="BC331" s="302">
        <f>BF331-BE331</f>
        <v>-20059</v>
      </c>
      <c r="BD331" s="302">
        <f>BG331-BF331</f>
        <v>-27613</v>
      </c>
      <c r="BE331" s="302">
        <v>-29553</v>
      </c>
      <c r="BF331" s="302">
        <v>-49612</v>
      </c>
      <c r="BG331" s="302">
        <v>-77225</v>
      </c>
      <c r="BH331" s="302">
        <v>-27104</v>
      </c>
      <c r="BI331" s="302">
        <f>BL331-BH331</f>
        <v>-43772</v>
      </c>
      <c r="BJ331" s="302">
        <f>BM331-BL331</f>
        <v>-59571</v>
      </c>
      <c r="BK331" s="302">
        <f>BN331-BM331</f>
        <v>-50972</v>
      </c>
      <c r="BL331" s="302">
        <v>-70876</v>
      </c>
      <c r="BM331" s="302">
        <v>-130447</v>
      </c>
      <c r="BN331" s="302">
        <v>-181419</v>
      </c>
      <c r="BO331" s="302">
        <v>-3343</v>
      </c>
      <c r="BP331" s="302">
        <f>BS331-BO331</f>
        <v>-75</v>
      </c>
      <c r="BQ331" s="302">
        <f>BT331-BS331</f>
        <v>-180</v>
      </c>
      <c r="BR331" s="302">
        <f>BU331-BT331</f>
        <v>-302</v>
      </c>
      <c r="BS331" s="302">
        <v>-3418</v>
      </c>
      <c r="BT331" s="302">
        <v>-3598</v>
      </c>
      <c r="BU331" s="302">
        <v>-3900</v>
      </c>
      <c r="BV331" s="302">
        <v>0</v>
      </c>
      <c r="BW331" s="483">
        <f>BZ331-BV331</f>
        <v>0</v>
      </c>
      <c r="BZ331" s="483">
        <v>0</v>
      </c>
    </row>
    <row r="332" spans="1:93" s="483" customFormat="1" x14ac:dyDescent="0.25">
      <c r="A332" s="557" t="str">
        <f>Language!C257</f>
        <v>Reavaliação</v>
      </c>
      <c r="B332" s="558">
        <v>0</v>
      </c>
      <c r="C332" s="558">
        <v>0</v>
      </c>
      <c r="D332" s="558">
        <v>0</v>
      </c>
      <c r="E332" s="558">
        <v>-9288</v>
      </c>
      <c r="F332" s="559">
        <v>-2191</v>
      </c>
      <c r="G332" s="558">
        <v>-2197</v>
      </c>
      <c r="H332" s="558">
        <v>-2394</v>
      </c>
      <c r="I332" s="558">
        <v>-9424</v>
      </c>
      <c r="J332" s="559">
        <v>-3398</v>
      </c>
      <c r="K332" s="558">
        <v>-3397</v>
      </c>
      <c r="L332" s="558">
        <v>-3397</v>
      </c>
      <c r="M332" s="558">
        <v>-3898</v>
      </c>
      <c r="N332" s="559">
        <v>-4485</v>
      </c>
      <c r="O332" s="558">
        <f>0-N332</f>
        <v>4485</v>
      </c>
      <c r="P332" s="558">
        <v>0</v>
      </c>
      <c r="Q332" s="558">
        <v>0</v>
      </c>
      <c r="R332" s="559">
        <v>0</v>
      </c>
      <c r="S332" s="558">
        <v>0</v>
      </c>
      <c r="T332" s="558">
        <f t="shared" si="2016"/>
        <v>0</v>
      </c>
      <c r="U332" s="558">
        <f>X332-W332</f>
        <v>0</v>
      </c>
      <c r="V332" s="558">
        <f t="shared" si="2017"/>
        <v>0</v>
      </c>
      <c r="W332" s="302">
        <v>0</v>
      </c>
      <c r="X332" s="505">
        <v>0</v>
      </c>
      <c r="Y332" s="506">
        <v>0</v>
      </c>
      <c r="Z332" s="302">
        <f t="shared" si="2018"/>
        <v>0</v>
      </c>
      <c r="AA332" s="558">
        <f t="shared" si="2019"/>
        <v>0</v>
      </c>
      <c r="AB332" s="558">
        <f>AE332-AD332</f>
        <v>0</v>
      </c>
      <c r="AC332" s="302">
        <v>0</v>
      </c>
      <c r="AD332" s="302">
        <v>0</v>
      </c>
      <c r="AE332" s="505">
        <v>0</v>
      </c>
      <c r="AF332" s="302">
        <v>-1695.5843534951105</v>
      </c>
      <c r="AG332" s="302">
        <f>AJ332-AF332</f>
        <v>1695.5843534951105</v>
      </c>
      <c r="AH332" s="558">
        <f t="shared" si="2020"/>
        <v>0</v>
      </c>
      <c r="AI332" s="558">
        <f>AL332-AF332-AG332-AH332</f>
        <v>0</v>
      </c>
      <c r="AJ332" s="302">
        <v>0</v>
      </c>
      <c r="AK332" s="302">
        <v>0</v>
      </c>
      <c r="AL332" s="505">
        <v>0</v>
      </c>
      <c r="AM332" s="302">
        <v>0</v>
      </c>
      <c r="AN332" s="302">
        <f t="shared" si="1848"/>
        <v>0</v>
      </c>
      <c r="AO332" s="302">
        <f t="shared" si="1849"/>
        <v>0</v>
      </c>
      <c r="AP332" s="302">
        <f t="shared" si="1849"/>
        <v>0</v>
      </c>
      <c r="AQ332" s="302">
        <v>0</v>
      </c>
      <c r="AR332" s="302">
        <v>0</v>
      </c>
      <c r="AS332" s="505"/>
      <c r="AT332" s="302">
        <v>0</v>
      </c>
      <c r="AU332" s="302"/>
      <c r="AV332" s="302">
        <f>AY332-AX332</f>
        <v>0</v>
      </c>
      <c r="AW332" s="302">
        <f>AZ332-AY332</f>
        <v>0</v>
      </c>
      <c r="AX332" s="302">
        <v>0</v>
      </c>
      <c r="AY332" s="302">
        <v>0</v>
      </c>
      <c r="AZ332" s="737">
        <v>0</v>
      </c>
      <c r="BA332" s="737">
        <v>0</v>
      </c>
      <c r="BB332" s="302">
        <f>BE332</f>
        <v>0</v>
      </c>
      <c r="BC332" s="737"/>
      <c r="BD332" s="737"/>
      <c r="BE332" s="737">
        <v>0</v>
      </c>
      <c r="BF332" s="737">
        <v>0</v>
      </c>
      <c r="BG332" s="737"/>
      <c r="BH332" s="737"/>
      <c r="BI332" s="737"/>
      <c r="BJ332" s="737"/>
      <c r="BK332" s="737"/>
      <c r="BL332" s="737">
        <v>0</v>
      </c>
      <c r="BM332" s="737">
        <v>0</v>
      </c>
      <c r="BN332" s="737">
        <v>0</v>
      </c>
      <c r="BO332" s="737">
        <v>0</v>
      </c>
      <c r="BP332" s="737"/>
      <c r="BQ332" s="737"/>
      <c r="BR332" s="737"/>
      <c r="BS332" s="737"/>
      <c r="BT332" s="737"/>
      <c r="BU332" s="737"/>
      <c r="BV332" s="737"/>
    </row>
    <row r="333" spans="1:93" s="483" customFormat="1" x14ac:dyDescent="0.25">
      <c r="A333" s="512" t="str">
        <f>Language!C258</f>
        <v>Concebra</v>
      </c>
      <c r="B333" s="513">
        <f t="shared" ref="B333:Q333" si="2021">SUM(B334,B335)</f>
        <v>0</v>
      </c>
      <c r="C333" s="513">
        <f t="shared" si="2021"/>
        <v>0</v>
      </c>
      <c r="D333" s="513">
        <f t="shared" si="2021"/>
        <v>0</v>
      </c>
      <c r="E333" s="513">
        <f t="shared" si="2021"/>
        <v>0</v>
      </c>
      <c r="F333" s="514">
        <f t="shared" si="2021"/>
        <v>0</v>
      </c>
      <c r="G333" s="513">
        <f t="shared" si="2021"/>
        <v>0</v>
      </c>
      <c r="H333" s="513">
        <f t="shared" si="2021"/>
        <v>0</v>
      </c>
      <c r="I333" s="513">
        <f t="shared" si="2021"/>
        <v>0</v>
      </c>
      <c r="J333" s="514">
        <f t="shared" si="2021"/>
        <v>0</v>
      </c>
      <c r="K333" s="513">
        <f t="shared" si="2021"/>
        <v>0</v>
      </c>
      <c r="L333" s="513">
        <f t="shared" si="2021"/>
        <v>0</v>
      </c>
      <c r="M333" s="513">
        <f t="shared" si="2021"/>
        <v>0</v>
      </c>
      <c r="N333" s="514">
        <f t="shared" si="2021"/>
        <v>0</v>
      </c>
      <c r="O333" s="513">
        <f t="shared" si="2021"/>
        <v>-226</v>
      </c>
      <c r="P333" s="513">
        <f t="shared" si="2021"/>
        <v>-316</v>
      </c>
      <c r="Q333" s="513">
        <f t="shared" si="2021"/>
        <v>-504</v>
      </c>
      <c r="R333" s="514">
        <f t="shared" ref="R333" si="2022">SUM(R334,R335)</f>
        <v>-710</v>
      </c>
      <c r="S333" s="513">
        <f t="shared" ref="S333:Y333" si="2023">SUM(S334,S335)</f>
        <v>-1332</v>
      </c>
      <c r="T333" s="513">
        <f t="shared" si="2023"/>
        <v>-4451</v>
      </c>
      <c r="U333" s="513">
        <f t="shared" si="2023"/>
        <v>-4014</v>
      </c>
      <c r="V333" s="513">
        <f t="shared" si="2023"/>
        <v>-2042</v>
      </c>
      <c r="W333" s="515">
        <f t="shared" si="2023"/>
        <v>-6493</v>
      </c>
      <c r="X333" s="516">
        <f t="shared" si="2023"/>
        <v>-10507</v>
      </c>
      <c r="Y333" s="517">
        <f t="shared" si="2023"/>
        <v>-4422</v>
      </c>
      <c r="Z333" s="515">
        <f t="shared" ref="Z333:AC333" si="2024">SUM(Z334,Z335)</f>
        <v>-4808</v>
      </c>
      <c r="AA333" s="513">
        <f t="shared" si="2024"/>
        <v>-5139</v>
      </c>
      <c r="AB333" s="513">
        <f t="shared" si="2024"/>
        <v>-4946</v>
      </c>
      <c r="AC333" s="515">
        <f t="shared" si="2024"/>
        <v>-9230</v>
      </c>
      <c r="AD333" s="515">
        <f t="shared" ref="AD333:AE333" si="2025">SUM(AD334,AD335)</f>
        <v>-14369</v>
      </c>
      <c r="AE333" s="516">
        <f t="shared" si="2025"/>
        <v>-19315</v>
      </c>
      <c r="AF333" s="515">
        <f>-SUM(AF334,AF335)</f>
        <v>5135.3625665315685</v>
      </c>
      <c r="AG333" s="515">
        <f t="shared" ref="AG333:AJ333" si="2026">SUM(AG334,AG335)</f>
        <v>16914.267646354136</v>
      </c>
      <c r="AH333" s="513">
        <f t="shared" si="2026"/>
        <v>6573.0727941729547</v>
      </c>
      <c r="AI333" s="513">
        <f t="shared" si="2026"/>
        <v>7558.6152237105216</v>
      </c>
      <c r="AJ333" s="515">
        <f t="shared" si="2026"/>
        <v>11778.905079822567</v>
      </c>
      <c r="AK333" s="515">
        <f>(SUM(AK334,AK335))</f>
        <v>18351.977873995522</v>
      </c>
      <c r="AL333" s="516">
        <f>(SUM(AL334,AL335))</f>
        <v>25910.593097706045</v>
      </c>
      <c r="AM333" s="515">
        <f t="shared" ref="AM333:AQ333" si="2027">SUM(AM334,AM335)</f>
        <v>-6928</v>
      </c>
      <c r="AN333" s="515">
        <f t="shared" si="1848"/>
        <v>-7353</v>
      </c>
      <c r="AO333" s="515">
        <f t="shared" si="1849"/>
        <v>-8112.478189914109</v>
      </c>
      <c r="AP333" s="515">
        <f t="shared" si="1849"/>
        <v>-21104.360757454313</v>
      </c>
      <c r="AQ333" s="515">
        <f t="shared" si="2027"/>
        <v>-14281</v>
      </c>
      <c r="AR333" s="515">
        <f>(SUM(AR334,AR335))+0</f>
        <v>-22393.478189914109</v>
      </c>
      <c r="AS333" s="516">
        <f>(SUM(AS334,AS335))+0</f>
        <v>-43497.838947368422</v>
      </c>
      <c r="AT333" s="515">
        <f>(((SUM(AT334,AT335))+0)+0)+0</f>
        <v>-12609</v>
      </c>
      <c r="AU333" s="515">
        <f>(((SUM(AU334,AU335))+0)+0)+0</f>
        <v>-13426</v>
      </c>
      <c r="AV333" s="515">
        <f>(((SUM(AV334,AV335))+0)+0)+0</f>
        <v>-12584</v>
      </c>
      <c r="AW333" s="515">
        <f>(((SUM(AW334,AW335))+0)+0)+0</f>
        <v>-17075</v>
      </c>
      <c r="AX333" s="515">
        <f t="shared" ref="AX333:BE333" si="2028">(SUM(AX334,AX335))+0</f>
        <v>-26035</v>
      </c>
      <c r="AY333" s="515">
        <f t="shared" si="2028"/>
        <v>-38619</v>
      </c>
      <c r="AZ333" s="515">
        <f t="shared" si="2028"/>
        <v>-55694</v>
      </c>
      <c r="BA333" s="515">
        <f t="shared" si="2028"/>
        <v>-12823</v>
      </c>
      <c r="BB333" s="515">
        <f t="shared" si="2028"/>
        <v>-23184</v>
      </c>
      <c r="BC333" s="515">
        <f t="shared" si="2028"/>
        <v>-15311</v>
      </c>
      <c r="BD333" s="515">
        <f t="shared" si="2028"/>
        <v>-15519</v>
      </c>
      <c r="BE333" s="515">
        <f t="shared" si="2028"/>
        <v>-23184</v>
      </c>
      <c r="BF333" s="515">
        <f t="shared" ref="BF333:BG333" si="2029">(SUM(BF334,BF335))+0</f>
        <v>-38495</v>
      </c>
      <c r="BG333" s="515">
        <f t="shared" si="2029"/>
        <v>-54014</v>
      </c>
      <c r="BH333" s="515">
        <f t="shared" ref="BH333:BL333" si="2030">(SUM(BH334,BH335))+0</f>
        <v>-11593</v>
      </c>
      <c r="BI333" s="515">
        <f t="shared" si="2030"/>
        <v>-12273</v>
      </c>
      <c r="BJ333" s="515">
        <f t="shared" si="2030"/>
        <v>-12096</v>
      </c>
      <c r="BK333" s="515">
        <f t="shared" si="2030"/>
        <v>-9725</v>
      </c>
      <c r="BL333" s="515">
        <f t="shared" si="2030"/>
        <v>-23866</v>
      </c>
      <c r="BM333" s="515">
        <f t="shared" ref="BM333:BN333" si="2031">(SUM(BM334,BM335))+0</f>
        <v>-35962</v>
      </c>
      <c r="BN333" s="515">
        <f t="shared" si="2031"/>
        <v>-45687</v>
      </c>
      <c r="BO333" s="515">
        <f t="shared" ref="BO333:BS333" si="2032">(SUM(BO334,BO335))+0</f>
        <v>-10271</v>
      </c>
      <c r="BP333" s="515">
        <f t="shared" si="2032"/>
        <v>-9123</v>
      </c>
      <c r="BQ333" s="515">
        <f t="shared" si="2032"/>
        <v>-8085</v>
      </c>
      <c r="BR333" s="515">
        <f t="shared" si="2032"/>
        <v>10448</v>
      </c>
      <c r="BS333" s="515">
        <f t="shared" si="2032"/>
        <v>-19394</v>
      </c>
      <c r="BT333" s="515">
        <f t="shared" ref="BT333:BU333" si="2033">(SUM(BT334,BT335))+0</f>
        <v>-30491</v>
      </c>
      <c r="BU333" s="515">
        <f t="shared" si="2033"/>
        <v>-20043</v>
      </c>
      <c r="BV333" s="515">
        <f t="shared" ref="BV333:BZ333" si="2034">(SUM(BV334,BV335))+0</f>
        <v>-1720</v>
      </c>
      <c r="BW333" s="515">
        <f t="shared" si="2034"/>
        <v>-1621</v>
      </c>
      <c r="BX333" s="515">
        <f t="shared" si="2034"/>
        <v>-3109</v>
      </c>
      <c r="BY333" s="515">
        <f t="shared" si="2034"/>
        <v>-5984</v>
      </c>
      <c r="BZ333" s="515">
        <f t="shared" si="2034"/>
        <v>-3341</v>
      </c>
      <c r="CA333" s="515">
        <f t="shared" ref="CA333:CB333" si="2035">(SUM(CA334,CA335))+0</f>
        <v>-6450</v>
      </c>
      <c r="CB333" s="515">
        <f t="shared" si="2035"/>
        <v>-12595</v>
      </c>
      <c r="CC333" s="515">
        <f t="shared" ref="CC333:CD333" si="2036">(SUM(CC334,CC335))+0</f>
        <v>-2908</v>
      </c>
      <c r="CD333" s="515">
        <f t="shared" si="2036"/>
        <v>-4299</v>
      </c>
      <c r="CE333" s="515">
        <f t="shared" ref="CE333:CG333" si="2037">(SUM(CE334,CE335))+0</f>
        <v>-4156</v>
      </c>
      <c r="CF333" s="515">
        <f t="shared" si="2037"/>
        <v>0</v>
      </c>
      <c r="CG333" s="515">
        <f t="shared" si="2037"/>
        <v>-7207</v>
      </c>
      <c r="CH333" s="515">
        <f t="shared" ref="CH333:CI333" si="2038">(SUM(CH334,CH335))+0</f>
        <v>-11363</v>
      </c>
      <c r="CI333" s="515">
        <f t="shared" si="2038"/>
        <v>-7763</v>
      </c>
      <c r="CJ333" s="515">
        <v>-1174</v>
      </c>
      <c r="CK333" s="515">
        <f t="shared" ref="CK333" si="2039">(SUM(CK334,CK335))+0</f>
        <v>-1119</v>
      </c>
      <c r="CL333" s="515">
        <f t="shared" ref="CL333:CO333" si="2040">(SUM(CL334,CL335))+0</f>
        <v>0</v>
      </c>
      <c r="CM333" s="515">
        <f t="shared" si="2040"/>
        <v>0</v>
      </c>
      <c r="CN333" s="515">
        <f t="shared" si="2040"/>
        <v>-2293</v>
      </c>
      <c r="CO333" s="515">
        <f t="shared" si="2040"/>
        <v>0</v>
      </c>
    </row>
    <row r="334" spans="1:93" s="483" customFormat="1" x14ac:dyDescent="0.25">
      <c r="A334" s="557" t="str">
        <f>Language!C259</f>
        <v>D&amp;A</v>
      </c>
      <c r="B334" s="558">
        <v>0</v>
      </c>
      <c r="C334" s="558">
        <v>0</v>
      </c>
      <c r="D334" s="558">
        <v>0</v>
      </c>
      <c r="E334" s="558">
        <v>0</v>
      </c>
      <c r="F334" s="559">
        <v>0</v>
      </c>
      <c r="G334" s="558">
        <v>0</v>
      </c>
      <c r="H334" s="558">
        <v>0</v>
      </c>
      <c r="I334" s="558">
        <v>0</v>
      </c>
      <c r="J334" s="559">
        <v>0</v>
      </c>
      <c r="K334" s="558">
        <v>0</v>
      </c>
      <c r="L334" s="558">
        <v>0</v>
      </c>
      <c r="M334" s="558">
        <v>0</v>
      </c>
      <c r="N334" s="559">
        <v>0</v>
      </c>
      <c r="O334" s="558">
        <v>-226</v>
      </c>
      <c r="P334" s="558">
        <v>-316</v>
      </c>
      <c r="Q334" s="558">
        <v>-504</v>
      </c>
      <c r="R334" s="559">
        <v>-710</v>
      </c>
      <c r="S334" s="558">
        <v>-1332</v>
      </c>
      <c r="T334" s="558">
        <f t="shared" ref="T334:T335" si="2041">W334-S334-R334</f>
        <v>-4451</v>
      </c>
      <c r="U334" s="558">
        <f>X334-W334</f>
        <v>-4014</v>
      </c>
      <c r="V334" s="558">
        <f t="shared" ref="V334:V335" si="2042">R334+S334</f>
        <v>-2042</v>
      </c>
      <c r="W334" s="302">
        <v>-6493</v>
      </c>
      <c r="X334" s="505">
        <v>-10507</v>
      </c>
      <c r="Y334" s="506">
        <v>-4194</v>
      </c>
      <c r="Z334" s="302">
        <f t="shared" ref="Z334:Z335" si="2043">AC334-Y334</f>
        <v>-4808</v>
      </c>
      <c r="AA334" s="558">
        <f t="shared" ref="AA334:AA335" si="2044">AD334-Z334-Y334</f>
        <v>-5367</v>
      </c>
      <c r="AB334" s="558">
        <f>AE334-AD334</f>
        <v>-4946</v>
      </c>
      <c r="AC334" s="302">
        <v>-9002</v>
      </c>
      <c r="AD334" s="302">
        <v>-14369</v>
      </c>
      <c r="AE334" s="505">
        <v>-19315</v>
      </c>
      <c r="AF334" s="302">
        <v>-5135.3625665315685</v>
      </c>
      <c r="AG334" s="302">
        <f>AJ334-AF334</f>
        <v>16914.267646354136</v>
      </c>
      <c r="AH334" s="558">
        <f t="shared" ref="AH334:AH335" si="2045">AK334-AG334-AF334</f>
        <v>6573.0727941729547</v>
      </c>
      <c r="AI334" s="558">
        <f>AL334-AF334-AG334-AH334</f>
        <v>7558.6152237105216</v>
      </c>
      <c r="AJ334" s="302">
        <v>11778.905079822567</v>
      </c>
      <c r="AK334" s="302">
        <v>18351.977873995522</v>
      </c>
      <c r="AL334" s="505">
        <v>25910.593097706045</v>
      </c>
      <c r="AM334" s="302">
        <v>-6928</v>
      </c>
      <c r="AN334" s="302">
        <f t="shared" si="1848"/>
        <v>-7353</v>
      </c>
      <c r="AO334" s="302">
        <f t="shared" si="1849"/>
        <v>-8112.478189914109</v>
      </c>
      <c r="AP334" s="302">
        <f t="shared" si="1849"/>
        <v>-21104.360757454313</v>
      </c>
      <c r="AQ334" s="302">
        <v>-14281</v>
      </c>
      <c r="AR334" s="302">
        <v>-22393.478189914109</v>
      </c>
      <c r="AS334" s="505">
        <v>-43497.838947368422</v>
      </c>
      <c r="AT334" s="302">
        <v>-12609</v>
      </c>
      <c r="AU334" s="302">
        <f>AX334-AT334</f>
        <v>-13426</v>
      </c>
      <c r="AV334" s="302">
        <f>AY334-AX334</f>
        <v>-12584</v>
      </c>
      <c r="AW334" s="302">
        <f>AZ334-AY334</f>
        <v>-17075</v>
      </c>
      <c r="AX334" s="302">
        <v>-26035</v>
      </c>
      <c r="AY334" s="302">
        <v>-38619</v>
      </c>
      <c r="AZ334" s="302">
        <v>-55694</v>
      </c>
      <c r="BA334" s="302">
        <v>-12823</v>
      </c>
      <c r="BB334" s="302">
        <f>BE334</f>
        <v>-23184</v>
      </c>
      <c r="BC334" s="302">
        <f>BF334-BE334</f>
        <v>-15311</v>
      </c>
      <c r="BD334" s="302">
        <f>BG334-BF334</f>
        <v>-15519</v>
      </c>
      <c r="BE334" s="302">
        <v>-23184</v>
      </c>
      <c r="BF334" s="302">
        <v>-38495</v>
      </c>
      <c r="BG334" s="302">
        <v>-54014</v>
      </c>
      <c r="BH334" s="302">
        <v>-11593</v>
      </c>
      <c r="BI334" s="302">
        <f>BL334-BH334</f>
        <v>-12273</v>
      </c>
      <c r="BJ334" s="302">
        <f>BM334-BL334</f>
        <v>-12096</v>
      </c>
      <c r="BK334" s="302">
        <f>BN334-BM334</f>
        <v>-9725</v>
      </c>
      <c r="BL334" s="302">
        <v>-23866</v>
      </c>
      <c r="BM334" s="302">
        <v>-35962</v>
      </c>
      <c r="BN334" s="302">
        <v>-45687</v>
      </c>
      <c r="BO334" s="302">
        <v>-10271</v>
      </c>
      <c r="BP334" s="302">
        <f>BS334-BO334</f>
        <v>-9123</v>
      </c>
      <c r="BQ334" s="302">
        <f>BT334-BS334</f>
        <v>-8085</v>
      </c>
      <c r="BR334" s="302">
        <f>BU334-BT334</f>
        <v>7436</v>
      </c>
      <c r="BS334" s="302">
        <v>-19394</v>
      </c>
      <c r="BT334" s="302">
        <v>-27479</v>
      </c>
      <c r="BU334" s="302">
        <v>-20043</v>
      </c>
      <c r="BV334" s="302">
        <v>-1720</v>
      </c>
      <c r="BW334" s="302">
        <f>BZ334-BV334</f>
        <v>-1621</v>
      </c>
      <c r="BX334" s="302">
        <f>CA334-BZ334</f>
        <v>-3109</v>
      </c>
      <c r="BY334" s="483">
        <f>CB334-CA334</f>
        <v>-5984</v>
      </c>
      <c r="BZ334" s="302">
        <v>-3341</v>
      </c>
      <c r="CA334" s="302">
        <v>-6450</v>
      </c>
      <c r="CB334" s="302">
        <v>-12434</v>
      </c>
      <c r="CC334" s="302">
        <v>-2908</v>
      </c>
      <c r="CD334" s="302">
        <f>CG334-CC334</f>
        <v>-4299</v>
      </c>
      <c r="CE334" s="302">
        <f>CH334-CG334</f>
        <v>-4156</v>
      </c>
      <c r="CF334" s="302"/>
      <c r="CG334" s="302">
        <v>-7207</v>
      </c>
      <c r="CH334" s="302">
        <v>-11363</v>
      </c>
      <c r="CI334" s="302">
        <v>-7763</v>
      </c>
      <c r="CJ334" s="302">
        <v>-1174</v>
      </c>
      <c r="CK334" s="302">
        <f>CN334-CJ334</f>
        <v>-1119</v>
      </c>
      <c r="CL334" s="302"/>
      <c r="CM334" s="302"/>
      <c r="CN334" s="302">
        <v>-2293</v>
      </c>
      <c r="CO334" s="302"/>
    </row>
    <row r="335" spans="1:93" s="483" customFormat="1" x14ac:dyDescent="0.25">
      <c r="A335" s="557" t="str">
        <f>Language!C260</f>
        <v>Reavaliação</v>
      </c>
      <c r="B335" s="558">
        <v>0</v>
      </c>
      <c r="C335" s="558">
        <v>0</v>
      </c>
      <c r="D335" s="558">
        <v>0</v>
      </c>
      <c r="E335" s="558">
        <v>0</v>
      </c>
      <c r="F335" s="559">
        <v>0</v>
      </c>
      <c r="G335" s="558">
        <v>0</v>
      </c>
      <c r="H335" s="558">
        <v>0</v>
      </c>
      <c r="I335" s="558">
        <v>0</v>
      </c>
      <c r="J335" s="559">
        <v>0</v>
      </c>
      <c r="K335" s="558">
        <v>0</v>
      </c>
      <c r="L335" s="558">
        <v>0</v>
      </c>
      <c r="M335" s="558">
        <v>0</v>
      </c>
      <c r="N335" s="559">
        <v>0</v>
      </c>
      <c r="O335" s="558">
        <v>0</v>
      </c>
      <c r="P335" s="558">
        <v>0</v>
      </c>
      <c r="Q335" s="558">
        <v>0</v>
      </c>
      <c r="R335" s="559">
        <v>0</v>
      </c>
      <c r="S335" s="558">
        <v>0</v>
      </c>
      <c r="T335" s="558">
        <f t="shared" si="2041"/>
        <v>0</v>
      </c>
      <c r="U335" s="558">
        <f>X335-W335</f>
        <v>0</v>
      </c>
      <c r="V335" s="558">
        <f t="shared" si="2042"/>
        <v>0</v>
      </c>
      <c r="W335" s="302">
        <v>0</v>
      </c>
      <c r="X335" s="505">
        <v>0</v>
      </c>
      <c r="Y335" s="506">
        <v>-228</v>
      </c>
      <c r="Z335" s="302">
        <f t="shared" si="2043"/>
        <v>0</v>
      </c>
      <c r="AA335" s="558">
        <f t="shared" si="2044"/>
        <v>228</v>
      </c>
      <c r="AB335" s="558">
        <f>AE335-AD335</f>
        <v>0</v>
      </c>
      <c r="AC335" s="302">
        <v>-228</v>
      </c>
      <c r="AD335" s="302">
        <v>0</v>
      </c>
      <c r="AE335" s="505">
        <v>0</v>
      </c>
      <c r="AF335" s="302">
        <v>0</v>
      </c>
      <c r="AG335" s="302">
        <f>AJ335-AF335</f>
        <v>0</v>
      </c>
      <c r="AH335" s="558">
        <f t="shared" si="2045"/>
        <v>0</v>
      </c>
      <c r="AI335" s="558">
        <f>AL335-AF335-AG335-AH335</f>
        <v>0</v>
      </c>
      <c r="AJ335" s="302">
        <v>0</v>
      </c>
      <c r="AK335" s="302">
        <v>0</v>
      </c>
      <c r="AL335" s="505">
        <v>0</v>
      </c>
      <c r="AM335" s="302">
        <v>0</v>
      </c>
      <c r="AN335" s="302">
        <f t="shared" si="1848"/>
        <v>0</v>
      </c>
      <c r="AO335" s="302">
        <f t="shared" si="1849"/>
        <v>0</v>
      </c>
      <c r="AP335" s="302">
        <f t="shared" si="1849"/>
        <v>0</v>
      </c>
      <c r="AQ335" s="302">
        <v>0</v>
      </c>
      <c r="AR335" s="302">
        <v>0</v>
      </c>
      <c r="AS335" s="505"/>
      <c r="AT335" s="302">
        <v>0</v>
      </c>
      <c r="AU335" s="302"/>
      <c r="AV335" s="302">
        <f>AY335-AX335</f>
        <v>0</v>
      </c>
      <c r="AW335" s="302">
        <f>AZ335-AY335</f>
        <v>0</v>
      </c>
      <c r="AX335" s="302"/>
      <c r="AY335" s="302">
        <v>0</v>
      </c>
      <c r="AZ335" s="737">
        <v>0</v>
      </c>
      <c r="BA335" s="737">
        <v>0</v>
      </c>
      <c r="BB335" s="302">
        <f>BE335</f>
        <v>0</v>
      </c>
      <c r="BC335" s="737"/>
      <c r="BD335" s="737"/>
      <c r="BE335" s="737">
        <v>0</v>
      </c>
      <c r="BF335" s="737">
        <v>0</v>
      </c>
      <c r="BG335" s="737">
        <v>0</v>
      </c>
      <c r="BH335" s="737"/>
      <c r="BI335" s="737"/>
      <c r="BJ335" s="737"/>
      <c r="BK335" s="737"/>
      <c r="BL335" s="737"/>
      <c r="BM335" s="737"/>
      <c r="BN335" s="737"/>
      <c r="BO335" s="737"/>
      <c r="BP335" s="737"/>
      <c r="BQ335" s="737"/>
      <c r="BR335" s="302">
        <f>BU335-BT335</f>
        <v>3012</v>
      </c>
      <c r="BS335" s="737"/>
      <c r="BT335" s="737">
        <v>-3012</v>
      </c>
      <c r="BU335" s="737">
        <v>0</v>
      </c>
      <c r="BV335" s="737">
        <v>0</v>
      </c>
      <c r="BZ335" s="483">
        <v>0</v>
      </c>
      <c r="CA335" s="483">
        <v>0</v>
      </c>
      <c r="CB335" s="483">
        <v>-161</v>
      </c>
      <c r="CC335" s="483">
        <v>0</v>
      </c>
      <c r="CD335" s="483">
        <v>0</v>
      </c>
      <c r="CE335" s="483">
        <v>0</v>
      </c>
      <c r="CF335" s="483">
        <v>0</v>
      </c>
      <c r="CG335" s="483">
        <v>0</v>
      </c>
      <c r="CH335" s="483">
        <v>0</v>
      </c>
      <c r="CI335" s="483">
        <v>0</v>
      </c>
      <c r="CJ335" s="483">
        <v>0</v>
      </c>
      <c r="CK335" s="483">
        <v>0</v>
      </c>
      <c r="CL335" s="483">
        <v>0</v>
      </c>
      <c r="CM335" s="483">
        <v>0</v>
      </c>
      <c r="CN335" s="483">
        <v>0</v>
      </c>
      <c r="CO335" s="483">
        <v>0</v>
      </c>
    </row>
    <row r="336" spans="1:93" s="483" customFormat="1" x14ac:dyDescent="0.25">
      <c r="A336" s="512" t="str">
        <f>Language!C261</f>
        <v>Transbrasiliana</v>
      </c>
      <c r="B336" s="513">
        <f t="shared" ref="B336:P336" si="2046">SUM(B337,B338)</f>
        <v>0</v>
      </c>
      <c r="C336" s="513">
        <f t="shared" si="2046"/>
        <v>0</v>
      </c>
      <c r="D336" s="513">
        <f t="shared" si="2046"/>
        <v>0</v>
      </c>
      <c r="E336" s="513">
        <f t="shared" si="2046"/>
        <v>0</v>
      </c>
      <c r="F336" s="514">
        <f t="shared" si="2046"/>
        <v>0</v>
      </c>
      <c r="G336" s="513">
        <f t="shared" si="2046"/>
        <v>0</v>
      </c>
      <c r="H336" s="513">
        <f t="shared" si="2046"/>
        <v>0</v>
      </c>
      <c r="I336" s="513">
        <f t="shared" si="2046"/>
        <v>0</v>
      </c>
      <c r="J336" s="514">
        <f t="shared" si="2046"/>
        <v>0</v>
      </c>
      <c r="K336" s="513">
        <f t="shared" si="2046"/>
        <v>0</v>
      </c>
      <c r="L336" s="513">
        <f t="shared" si="2046"/>
        <v>0</v>
      </c>
      <c r="M336" s="513">
        <f t="shared" si="2046"/>
        <v>0</v>
      </c>
      <c r="N336" s="514">
        <f t="shared" si="2046"/>
        <v>0</v>
      </c>
      <c r="O336" s="513">
        <f t="shared" si="2046"/>
        <v>0</v>
      </c>
      <c r="P336" s="513">
        <f t="shared" si="2046"/>
        <v>0</v>
      </c>
      <c r="Q336" s="513">
        <f t="shared" ref="Q336:R336" si="2047">SUM(Q337,Q338)</f>
        <v>0</v>
      </c>
      <c r="R336" s="514">
        <f t="shared" si="2047"/>
        <v>-3703</v>
      </c>
      <c r="S336" s="513">
        <f t="shared" ref="S336:Y336" si="2048">SUM(S337,S338)</f>
        <v>-3713</v>
      </c>
      <c r="T336" s="513">
        <f t="shared" si="2048"/>
        <v>-4233</v>
      </c>
      <c r="U336" s="513">
        <f t="shared" si="2048"/>
        <v>-2329</v>
      </c>
      <c r="V336" s="513">
        <f t="shared" si="2048"/>
        <v>-7416</v>
      </c>
      <c r="W336" s="515">
        <f t="shared" si="2048"/>
        <v>-11649</v>
      </c>
      <c r="X336" s="516">
        <f t="shared" si="2048"/>
        <v>-13978</v>
      </c>
      <c r="Y336" s="517">
        <f t="shared" si="2048"/>
        <v>-3948</v>
      </c>
      <c r="Z336" s="515">
        <f t="shared" ref="Z336:AC336" si="2049">SUM(Z337,Z338)</f>
        <v>-3952</v>
      </c>
      <c r="AA336" s="513">
        <f t="shared" si="2049"/>
        <v>-3935</v>
      </c>
      <c r="AB336" s="513">
        <f t="shared" si="2049"/>
        <v>-5305</v>
      </c>
      <c r="AC336" s="515">
        <f t="shared" si="2049"/>
        <v>-7900</v>
      </c>
      <c r="AD336" s="515">
        <f t="shared" ref="AD336:AE336" si="2050">SUM(AD337,AD338)</f>
        <v>-11835</v>
      </c>
      <c r="AE336" s="516">
        <f t="shared" si="2050"/>
        <v>-17140</v>
      </c>
      <c r="AF336" s="515">
        <f>-SUM(AF337,AF338)</f>
        <v>4461.2836120560141</v>
      </c>
      <c r="AG336" s="515">
        <f t="shared" ref="AG336:AJ336" si="2051">SUM(AG337,AG338)</f>
        <v>13535.60111642522</v>
      </c>
      <c r="AH336" s="513">
        <f t="shared" si="2051"/>
        <v>4494.8855374977429</v>
      </c>
      <c r="AI336" s="513">
        <f t="shared" si="2051"/>
        <v>6465.4975071070439</v>
      </c>
      <c r="AJ336" s="515">
        <f t="shared" si="2051"/>
        <v>9074.3175043692045</v>
      </c>
      <c r="AK336" s="515">
        <f>(SUM(AK338,AK337))</f>
        <v>13569.203041866949</v>
      </c>
      <c r="AL336" s="516">
        <f>(SUM(AL337,AL338))</f>
        <v>20034.700548973993</v>
      </c>
      <c r="AM336" s="515">
        <f t="shared" ref="AM336:AQ336" si="2052">SUM(AM337,AM338)</f>
        <v>-5389</v>
      </c>
      <c r="AN336" s="515">
        <f t="shared" si="1848"/>
        <v>-4120</v>
      </c>
      <c r="AO336" s="515">
        <f t="shared" si="1849"/>
        <v>-7245.1467793104894</v>
      </c>
      <c r="AP336" s="515">
        <f t="shared" si="1849"/>
        <v>-4566.5504790627165</v>
      </c>
      <c r="AQ336" s="515">
        <f t="shared" si="2052"/>
        <v>-9509</v>
      </c>
      <c r="AR336" s="515">
        <f>(SUM(AR337,AR338))+0</f>
        <v>-16754.146779310489</v>
      </c>
      <c r="AS336" s="516">
        <f>(SUM(AS337,AS338))+0</f>
        <v>-21320.697258373206</v>
      </c>
      <c r="AT336" s="515">
        <f>(((SUM(AT337,AT338))+0)+0)+0</f>
        <v>-6175</v>
      </c>
      <c r="AU336" s="515">
        <f t="shared" ref="AU336" si="2053">(SUM(AU337,AU338))+0</f>
        <v>-7428</v>
      </c>
      <c r="AV336" s="515">
        <f>(((SUM(AV337,AV338))+0)+0)+0</f>
        <v>-8337</v>
      </c>
      <c r="AW336" s="515">
        <f>(((SUM(AW337,AW338))+0)+0)+0</f>
        <v>-12308</v>
      </c>
      <c r="AX336" s="515">
        <f t="shared" ref="AX336:BE336" si="2054">(SUM(AX337,AX338))+0</f>
        <v>-14228</v>
      </c>
      <c r="AY336" s="515">
        <f t="shared" si="2054"/>
        <v>-22565</v>
      </c>
      <c r="AZ336" s="515">
        <f t="shared" si="2054"/>
        <v>-34873</v>
      </c>
      <c r="BA336" s="515">
        <f>(SUM(BA337,BA338))</f>
        <v>-8900</v>
      </c>
      <c r="BB336" s="515">
        <f t="shared" si="2054"/>
        <v>-16557</v>
      </c>
      <c r="BC336" s="515">
        <f t="shared" si="2054"/>
        <v>-7653</v>
      </c>
      <c r="BD336" s="515">
        <f t="shared" si="2054"/>
        <v>-7494</v>
      </c>
      <c r="BE336" s="515">
        <f t="shared" si="2054"/>
        <v>-16557</v>
      </c>
      <c r="BF336" s="515">
        <f t="shared" ref="BF336:BG336" si="2055">(SUM(BF337,BF338))+0</f>
        <v>-24210</v>
      </c>
      <c r="BG336" s="515">
        <f t="shared" si="2055"/>
        <v>-31704</v>
      </c>
      <c r="BH336" s="515">
        <f t="shared" ref="BH336:BL336" si="2056">(SUM(BH337,BH338))+0</f>
        <v>-7574</v>
      </c>
      <c r="BI336" s="515">
        <f t="shared" si="2056"/>
        <v>-8789</v>
      </c>
      <c r="BJ336" s="515">
        <f t="shared" si="2056"/>
        <v>-9230</v>
      </c>
      <c r="BK336" s="515">
        <f t="shared" si="2056"/>
        <v>-8582</v>
      </c>
      <c r="BL336" s="515">
        <f t="shared" si="2056"/>
        <v>-16363</v>
      </c>
      <c r="BM336" s="515">
        <f t="shared" ref="BM336:BN336" si="2057">(SUM(BM337,BM338))+0</f>
        <v>-25593</v>
      </c>
      <c r="BN336" s="515">
        <f t="shared" si="2057"/>
        <v>-34175</v>
      </c>
      <c r="BO336" s="515">
        <f t="shared" ref="BO336:BS336" si="2058">(SUM(BO337,BO338))+0</f>
        <v>-8523</v>
      </c>
      <c r="BP336" s="515">
        <f t="shared" si="2058"/>
        <v>-9686.4846664969555</v>
      </c>
      <c r="BQ336" s="515">
        <f t="shared" si="2058"/>
        <v>-10538.24233324848</v>
      </c>
      <c r="BR336" s="515">
        <f t="shared" si="2058"/>
        <v>-10959.242333248476</v>
      </c>
      <c r="BS336" s="515">
        <f t="shared" si="2058"/>
        <v>-18209.484666496955</v>
      </c>
      <c r="BT336" s="515">
        <f t="shared" ref="BT336:BU336" si="2059">(SUM(BT337,BT338))+0</f>
        <v>-28747.726999745435</v>
      </c>
      <c r="BU336" s="515">
        <f t="shared" si="2059"/>
        <v>-39706.969332993911</v>
      </c>
      <c r="BV336" s="515">
        <f t="shared" ref="BV336:BZ336" si="2060">(SUM(BV337,BV338))+0</f>
        <v>-11023.901420745296</v>
      </c>
      <c r="BW336" s="515">
        <f t="shared" si="2060"/>
        <v>-10990.45604302701</v>
      </c>
      <c r="BX336" s="515">
        <f t="shared" si="2060"/>
        <v>-12102.678731886153</v>
      </c>
      <c r="BY336" s="515">
        <f t="shared" si="2060"/>
        <v>-12722.678731886153</v>
      </c>
      <c r="BZ336" s="515">
        <f t="shared" si="2060"/>
        <v>-22014.357463772307</v>
      </c>
      <c r="CA336" s="515">
        <f t="shared" ref="CA336:CB336" si="2061">(SUM(CA337,CA338))+0</f>
        <v>-34117.03619565846</v>
      </c>
      <c r="CB336" s="515">
        <f t="shared" si="2061"/>
        <v>-46839.714927544614</v>
      </c>
      <c r="CC336" s="515">
        <f t="shared" ref="CC336:CD336" si="2062">(SUM(CC337,CC338))+0</f>
        <v>-12000.682523697827</v>
      </c>
      <c r="CD336" s="515">
        <f t="shared" si="2062"/>
        <v>-13158.560834805701</v>
      </c>
      <c r="CE336" s="515">
        <f t="shared" ref="CE336:CG336" si="2063">(SUM(CE337,CE338))+0</f>
        <v>-15243.756641496471</v>
      </c>
      <c r="CF336" s="515">
        <f t="shared" si="2063"/>
        <v>0</v>
      </c>
      <c r="CG336" s="515">
        <f t="shared" si="2063"/>
        <v>-25159.243358503529</v>
      </c>
      <c r="CH336" s="515">
        <f t="shared" ref="CH336:CI336" si="2064">(SUM(CH337,CH338))+0</f>
        <v>-40403</v>
      </c>
      <c r="CI336" s="515">
        <f t="shared" si="2064"/>
        <v>-53884</v>
      </c>
      <c r="CJ336" s="515">
        <v>-14791</v>
      </c>
      <c r="CK336" s="515">
        <f t="shared" ref="CK336" si="2065">(SUM(CK337,CK338))+0</f>
        <v>-15695</v>
      </c>
      <c r="CL336" s="515">
        <f t="shared" ref="CL336:CO336" si="2066">(SUM(CL337,CL338))+0</f>
        <v>0</v>
      </c>
      <c r="CM336" s="515">
        <f t="shared" si="2066"/>
        <v>0</v>
      </c>
      <c r="CN336" s="515">
        <f t="shared" si="2066"/>
        <v>-30486</v>
      </c>
      <c r="CO336" s="515">
        <f t="shared" si="2066"/>
        <v>0</v>
      </c>
    </row>
    <row r="337" spans="1:93" s="483" customFormat="1" x14ac:dyDescent="0.25">
      <c r="A337" s="557" t="str">
        <f>Language!C262</f>
        <v>D&amp;A</v>
      </c>
      <c r="B337" s="558">
        <v>0</v>
      </c>
      <c r="C337" s="558">
        <v>0</v>
      </c>
      <c r="D337" s="558">
        <v>0</v>
      </c>
      <c r="E337" s="558">
        <v>0</v>
      </c>
      <c r="F337" s="559">
        <v>0</v>
      </c>
      <c r="G337" s="558">
        <v>0</v>
      </c>
      <c r="H337" s="558">
        <v>0</v>
      </c>
      <c r="I337" s="558">
        <v>0</v>
      </c>
      <c r="J337" s="559">
        <v>0</v>
      </c>
      <c r="K337" s="558">
        <v>0</v>
      </c>
      <c r="L337" s="558">
        <v>0</v>
      </c>
      <c r="M337" s="558">
        <v>0</v>
      </c>
      <c r="N337" s="559">
        <v>0</v>
      </c>
      <c r="O337" s="558">
        <v>0</v>
      </c>
      <c r="P337" s="558">
        <v>0</v>
      </c>
      <c r="Q337" s="558">
        <v>0</v>
      </c>
      <c r="R337" s="559">
        <v>-3703</v>
      </c>
      <c r="S337" s="558">
        <v>-3713</v>
      </c>
      <c r="T337" s="558">
        <f t="shared" ref="T337:T338" si="2067">W337-S337-R337</f>
        <v>-4233</v>
      </c>
      <c r="U337" s="558">
        <f>X337-W337</f>
        <v>-1710</v>
      </c>
      <c r="V337" s="558">
        <f t="shared" ref="V337:V360" si="2068">R337+S337</f>
        <v>-7416</v>
      </c>
      <c r="W337" s="302">
        <v>-11649</v>
      </c>
      <c r="X337" s="505">
        <v>-13359</v>
      </c>
      <c r="Y337" s="506">
        <v>-3782</v>
      </c>
      <c r="Z337" s="302">
        <f t="shared" ref="Z337:Z338" si="2069">AC337-Y337</f>
        <v>-4301</v>
      </c>
      <c r="AA337" s="558">
        <f t="shared" ref="AA337:AA338" si="2070">AD337-Z337-Y337</f>
        <v>-3253</v>
      </c>
      <c r="AB337" s="558">
        <f>AE337-AD337</f>
        <v>-5139</v>
      </c>
      <c r="AC337" s="302">
        <v>-8083</v>
      </c>
      <c r="AD337" s="302">
        <v>-11336</v>
      </c>
      <c r="AE337" s="505">
        <v>-16475</v>
      </c>
      <c r="AF337" s="302">
        <v>-4461.2836120560141</v>
      </c>
      <c r="AG337" s="302">
        <f>AJ337-AF337</f>
        <v>13535.60111642522</v>
      </c>
      <c r="AH337" s="558">
        <f>AK338-AG337-AF337</f>
        <v>-9074.3175043692063</v>
      </c>
      <c r="AI337" s="558">
        <f>AL337-AF337-AG337-AH337</f>
        <v>20034.700548973993</v>
      </c>
      <c r="AJ337" s="302">
        <v>9074.3175043692045</v>
      </c>
      <c r="AK337" s="302">
        <v>13569.203041866949</v>
      </c>
      <c r="AL337" s="505">
        <v>20034.700548973993</v>
      </c>
      <c r="AM337" s="302">
        <v>-5389</v>
      </c>
      <c r="AN337" s="302">
        <f t="shared" si="1848"/>
        <v>-3735</v>
      </c>
      <c r="AO337" s="302">
        <f t="shared" si="1849"/>
        <v>-7630.1467793104894</v>
      </c>
      <c r="AP337" s="302">
        <f t="shared" si="1849"/>
        <v>-4566.5504790627165</v>
      </c>
      <c r="AQ337" s="302">
        <v>-9124</v>
      </c>
      <c r="AR337" s="302">
        <v>-16754.146779310489</v>
      </c>
      <c r="AS337" s="505">
        <v>-21320.697258373206</v>
      </c>
      <c r="AT337" s="302">
        <v>-6259</v>
      </c>
      <c r="AU337" s="302">
        <f>AX337-AT337</f>
        <v>-7428</v>
      </c>
      <c r="AV337" s="302">
        <f>AY337-AX337</f>
        <v>-8149</v>
      </c>
      <c r="AW337" s="302">
        <f>AZ337-AY337</f>
        <v>-12246</v>
      </c>
      <c r="AX337" s="302">
        <v>-13687</v>
      </c>
      <c r="AY337" s="302">
        <v>-21836</v>
      </c>
      <c r="AZ337" s="302">
        <v>-34082</v>
      </c>
      <c r="BA337" s="302">
        <v>-8686</v>
      </c>
      <c r="BB337" s="302">
        <f>BE337</f>
        <v>-16791</v>
      </c>
      <c r="BC337" s="302">
        <f>BF337-BE337</f>
        <v>-6016</v>
      </c>
      <c r="BD337" s="302">
        <f>BG337-BF337</f>
        <v>-8041</v>
      </c>
      <c r="BE337" s="302">
        <v>-16791</v>
      </c>
      <c r="BF337" s="302">
        <v>-22807</v>
      </c>
      <c r="BG337" s="302">
        <v>-30848</v>
      </c>
      <c r="BH337" s="302">
        <v>-7010</v>
      </c>
      <c r="BI337" s="302">
        <f>BL337-BH337</f>
        <v>-9596</v>
      </c>
      <c r="BJ337" s="302">
        <f>BM337-BL337</f>
        <v>-7249</v>
      </c>
      <c r="BK337" s="302">
        <f>BN337-BM337</f>
        <v>-9434</v>
      </c>
      <c r="BL337" s="302">
        <v>-16606</v>
      </c>
      <c r="BM337" s="302">
        <v>-23855</v>
      </c>
      <c r="BN337" s="302">
        <v>-33289</v>
      </c>
      <c r="BO337" s="302">
        <v>-8294</v>
      </c>
      <c r="BP337" s="302">
        <f>BS337-BO337</f>
        <v>-9457.4846664969555</v>
      </c>
      <c r="BQ337" s="302">
        <f>BT337-BS337</f>
        <v>-10308.24233324848</v>
      </c>
      <c r="BR337" s="302">
        <f>BU337-BT337</f>
        <v>-10730.242333248476</v>
      </c>
      <c r="BS337" s="302">
        <v>-17751.484666496955</v>
      </c>
      <c r="BT337" s="302">
        <v>-28059.726999745435</v>
      </c>
      <c r="BU337" s="302">
        <v>-38789.969332993911</v>
      </c>
      <c r="BV337" s="302">
        <v>-10785.901420745296</v>
      </c>
      <c r="BW337" s="302">
        <f>BZ337-BV337</f>
        <v>-10752.45604302701</v>
      </c>
      <c r="BX337" s="302">
        <f>CA337-BZ337</f>
        <v>-11864.678731886153</v>
      </c>
      <c r="BY337" s="483">
        <f>CB337-CA337</f>
        <v>-12484.678731886153</v>
      </c>
      <c r="BZ337" s="302">
        <v>-21538.357463772307</v>
      </c>
      <c r="CA337" s="302">
        <v>-33403.03619565846</v>
      </c>
      <c r="CB337" s="302">
        <v>-45887.714927544614</v>
      </c>
      <c r="CC337" s="302">
        <v>-11753.682523697827</v>
      </c>
      <c r="CD337" s="302">
        <f>CG337-CC337</f>
        <v>-12911.560834805701</v>
      </c>
      <c r="CE337" s="302">
        <f>CH337-CG337</f>
        <v>-14996.756641496471</v>
      </c>
      <c r="CF337" s="302"/>
      <c r="CG337" s="302">
        <v>-24665.243358503529</v>
      </c>
      <c r="CH337" s="302">
        <v>-39662</v>
      </c>
      <c r="CI337" s="302">
        <v>-52896</v>
      </c>
      <c r="CJ337" s="302">
        <v>-14535</v>
      </c>
      <c r="CK337" s="302">
        <f>CN337-CJ337</f>
        <v>-15438</v>
      </c>
      <c r="CL337" s="302"/>
      <c r="CM337" s="302"/>
      <c r="CN337" s="302">
        <v>-29973</v>
      </c>
      <c r="CO337" s="302"/>
    </row>
    <row r="338" spans="1:93" s="483" customFormat="1" x14ac:dyDescent="0.25">
      <c r="A338" s="557" t="str">
        <f>Language!C263</f>
        <v>Reavaliação</v>
      </c>
      <c r="B338" s="558">
        <v>0</v>
      </c>
      <c r="C338" s="558">
        <v>0</v>
      </c>
      <c r="D338" s="558">
        <v>0</v>
      </c>
      <c r="E338" s="558">
        <v>0</v>
      </c>
      <c r="F338" s="559">
        <v>0</v>
      </c>
      <c r="G338" s="558">
        <v>0</v>
      </c>
      <c r="H338" s="558">
        <v>0</v>
      </c>
      <c r="I338" s="558">
        <v>0</v>
      </c>
      <c r="J338" s="559">
        <v>0</v>
      </c>
      <c r="K338" s="558">
        <v>0</v>
      </c>
      <c r="L338" s="558">
        <v>0</v>
      </c>
      <c r="M338" s="558">
        <v>0</v>
      </c>
      <c r="N338" s="559">
        <v>0</v>
      </c>
      <c r="O338" s="558">
        <v>0</v>
      </c>
      <c r="P338" s="558">
        <v>0</v>
      </c>
      <c r="Q338" s="558">
        <v>0</v>
      </c>
      <c r="R338" s="559">
        <v>0</v>
      </c>
      <c r="S338" s="558">
        <v>0</v>
      </c>
      <c r="T338" s="558">
        <f t="shared" si="2067"/>
        <v>0</v>
      </c>
      <c r="U338" s="558">
        <f>X338-W338</f>
        <v>-619</v>
      </c>
      <c r="V338" s="558">
        <f t="shared" si="2068"/>
        <v>0</v>
      </c>
      <c r="W338" s="302">
        <v>0</v>
      </c>
      <c r="X338" s="505">
        <v>-619</v>
      </c>
      <c r="Y338" s="506">
        <v>-166</v>
      </c>
      <c r="Z338" s="302">
        <f t="shared" si="2069"/>
        <v>349</v>
      </c>
      <c r="AA338" s="558">
        <f t="shared" si="2070"/>
        <v>-682</v>
      </c>
      <c r="AB338" s="558">
        <f>AE338-AD338</f>
        <v>-166</v>
      </c>
      <c r="AC338" s="302">
        <v>183</v>
      </c>
      <c r="AD338" s="302">
        <v>-499</v>
      </c>
      <c r="AE338" s="505">
        <v>-665</v>
      </c>
      <c r="AF338" s="302">
        <v>0</v>
      </c>
      <c r="AG338" s="302">
        <f>AJ338-AF338</f>
        <v>0</v>
      </c>
      <c r="AH338" s="558">
        <f>AK337-AG338-AF338</f>
        <v>13569.203041866949</v>
      </c>
      <c r="AI338" s="558">
        <f>AL338-AF338-AG338-AH338</f>
        <v>-13569.203041866949</v>
      </c>
      <c r="AJ338" s="302">
        <v>0</v>
      </c>
      <c r="AK338" s="302">
        <v>0</v>
      </c>
      <c r="AL338" s="505">
        <v>0</v>
      </c>
      <c r="AM338" s="302">
        <v>0</v>
      </c>
      <c r="AN338" s="302">
        <f t="shared" si="1848"/>
        <v>-385</v>
      </c>
      <c r="AO338" s="302">
        <f t="shared" si="1849"/>
        <v>385</v>
      </c>
      <c r="AP338" s="302">
        <f t="shared" si="1849"/>
        <v>0</v>
      </c>
      <c r="AQ338" s="302">
        <v>-385</v>
      </c>
      <c r="AR338" s="302">
        <v>0</v>
      </c>
      <c r="AS338" s="505"/>
      <c r="AT338" s="302">
        <v>84</v>
      </c>
      <c r="AU338" s="302"/>
      <c r="AV338" s="302">
        <f>AY338-AX338</f>
        <v>-188</v>
      </c>
      <c r="AW338" s="302">
        <f>AZ338-AY338</f>
        <v>-62</v>
      </c>
      <c r="AX338" s="302">
        <v>-541</v>
      </c>
      <c r="AY338" s="302">
        <v>-729</v>
      </c>
      <c r="AZ338" s="302">
        <v>-791</v>
      </c>
      <c r="BA338" s="302">
        <v>-214</v>
      </c>
      <c r="BB338" s="302">
        <f>BE338</f>
        <v>234</v>
      </c>
      <c r="BC338" s="302">
        <f>BF338-BE338</f>
        <v>-1637</v>
      </c>
      <c r="BD338" s="302">
        <f>BG338-BF338</f>
        <v>547</v>
      </c>
      <c r="BE338" s="302">
        <v>234</v>
      </c>
      <c r="BF338" s="302">
        <v>-1403</v>
      </c>
      <c r="BG338" s="302">
        <v>-856</v>
      </c>
      <c r="BH338" s="302">
        <v>-564</v>
      </c>
      <c r="BI338" s="302">
        <f>BL338-BH338</f>
        <v>807</v>
      </c>
      <c r="BJ338" s="302">
        <f>BM338-BL338</f>
        <v>-1981</v>
      </c>
      <c r="BK338" s="302">
        <f>BN338-BM338</f>
        <v>852</v>
      </c>
      <c r="BL338" s="302">
        <v>243</v>
      </c>
      <c r="BM338" s="302">
        <v>-1738</v>
      </c>
      <c r="BN338" s="302">
        <v>-886</v>
      </c>
      <c r="BO338" s="302">
        <v>-229</v>
      </c>
      <c r="BP338" s="302">
        <f>BS338-BO338</f>
        <v>-229</v>
      </c>
      <c r="BQ338" s="302">
        <f>BT338-BS338</f>
        <v>-230</v>
      </c>
      <c r="BR338" s="302">
        <f>BU338-BT338</f>
        <v>-229</v>
      </c>
      <c r="BS338" s="302">
        <v>-458</v>
      </c>
      <c r="BT338" s="302">
        <v>-688</v>
      </c>
      <c r="BU338" s="302">
        <v>-917</v>
      </c>
      <c r="BV338" s="302">
        <v>-238</v>
      </c>
      <c r="BW338" s="302">
        <f>BZ338-BV338</f>
        <v>-238</v>
      </c>
      <c r="BX338" s="302">
        <f>CA338-BZ338</f>
        <v>-238</v>
      </c>
      <c r="BY338" s="483">
        <f>CB338-CA338</f>
        <v>-238</v>
      </c>
      <c r="BZ338" s="302">
        <v>-476</v>
      </c>
      <c r="CA338" s="302">
        <v>-714</v>
      </c>
      <c r="CB338" s="302">
        <v>-952</v>
      </c>
      <c r="CC338" s="302">
        <v>-247</v>
      </c>
      <c r="CD338" s="302">
        <f>CG338-CC338</f>
        <v>-247</v>
      </c>
      <c r="CE338" s="302">
        <f>CH338-CG338</f>
        <v>-247</v>
      </c>
      <c r="CF338" s="302"/>
      <c r="CG338" s="302">
        <v>-494</v>
      </c>
      <c r="CH338" s="302">
        <v>-741</v>
      </c>
      <c r="CI338" s="302">
        <v>-988</v>
      </c>
      <c r="CJ338" s="302">
        <v>-256</v>
      </c>
      <c r="CK338" s="302">
        <f>CN338-CJ338</f>
        <v>-257</v>
      </c>
      <c r="CL338" s="302"/>
      <c r="CM338" s="302"/>
      <c r="CN338" s="302">
        <v>-513</v>
      </c>
      <c r="CO338" s="302"/>
    </row>
    <row r="339" spans="1:93" s="289" customFormat="1" ht="13" x14ac:dyDescent="0.3">
      <c r="A339" s="525" t="str">
        <f>Language!C264</f>
        <v>Resultado Financeiro</v>
      </c>
      <c r="B339" s="526">
        <f>SUM(B340,B341)</f>
        <v>-12145</v>
      </c>
      <c r="C339" s="526">
        <f t="shared" ref="C339:R339" si="2071">SUM(C340,C341)</f>
        <v>-11910</v>
      </c>
      <c r="D339" s="526">
        <f t="shared" si="2071"/>
        <v>-13820</v>
      </c>
      <c r="E339" s="526">
        <f t="shared" si="2071"/>
        <v>-9955</v>
      </c>
      <c r="F339" s="527">
        <f t="shared" si="2071"/>
        <v>-11943</v>
      </c>
      <c r="G339" s="526">
        <f t="shared" si="2071"/>
        <v>-12017</v>
      </c>
      <c r="H339" s="526">
        <f t="shared" si="2071"/>
        <v>-11406</v>
      </c>
      <c r="I339" s="526">
        <f t="shared" si="2071"/>
        <v>-9418</v>
      </c>
      <c r="J339" s="527">
        <f t="shared" si="2071"/>
        <v>-9085</v>
      </c>
      <c r="K339" s="526">
        <f t="shared" si="2071"/>
        <v>-10055</v>
      </c>
      <c r="L339" s="526">
        <f t="shared" si="2071"/>
        <v>-11616</v>
      </c>
      <c r="M339" s="526">
        <f t="shared" si="2071"/>
        <v>-12592</v>
      </c>
      <c r="N339" s="527">
        <f t="shared" si="2071"/>
        <v>-12163</v>
      </c>
      <c r="O339" s="526">
        <f t="shared" si="2071"/>
        <v>-13040</v>
      </c>
      <c r="P339" s="526">
        <f t="shared" si="2071"/>
        <v>-19260</v>
      </c>
      <c r="Q339" s="526">
        <f t="shared" si="2071"/>
        <v>-24815</v>
      </c>
      <c r="R339" s="527">
        <f t="shared" si="2071"/>
        <v>-55649</v>
      </c>
      <c r="S339" s="526">
        <f t="shared" ref="S339:Y339" si="2072">SUM(S340,S341)</f>
        <v>-63934</v>
      </c>
      <c r="T339" s="526">
        <f t="shared" si="2072"/>
        <v>-64312</v>
      </c>
      <c r="U339" s="526">
        <f t="shared" si="2072"/>
        <v>-113604</v>
      </c>
      <c r="V339" s="526">
        <f t="shared" si="2072"/>
        <v>-119583</v>
      </c>
      <c r="W339" s="528">
        <f t="shared" si="2072"/>
        <v>-183895</v>
      </c>
      <c r="X339" s="529">
        <f t="shared" si="2072"/>
        <v>-297499</v>
      </c>
      <c r="Y339" s="530">
        <f t="shared" si="2072"/>
        <v>-100109</v>
      </c>
      <c r="Z339" s="528">
        <f t="shared" ref="Z339:AC339" si="2073">SUM(Z340,Z341)</f>
        <v>-110435</v>
      </c>
      <c r="AA339" s="526">
        <f t="shared" si="2073"/>
        <v>-97311</v>
      </c>
      <c r="AB339" s="526">
        <f t="shared" si="2073"/>
        <v>-136590</v>
      </c>
      <c r="AC339" s="528">
        <f t="shared" si="2073"/>
        <v>-210544</v>
      </c>
      <c r="AD339" s="528">
        <f t="shared" ref="AD339:AE339" si="2074">SUM(AD340,AD341)</f>
        <v>-307855</v>
      </c>
      <c r="AE339" s="529">
        <f t="shared" si="2074"/>
        <v>-444445</v>
      </c>
      <c r="AF339" s="528">
        <f t="shared" ref="AF339:AJ339" si="2075">SUM(AF340,AF341)</f>
        <v>-126947</v>
      </c>
      <c r="AG339" s="528">
        <f t="shared" si="2075"/>
        <v>-94718</v>
      </c>
      <c r="AH339" s="526">
        <f t="shared" si="2075"/>
        <v>-81704</v>
      </c>
      <c r="AI339" s="526">
        <f t="shared" si="2075"/>
        <v>-231741</v>
      </c>
      <c r="AJ339" s="528">
        <f t="shared" si="2075"/>
        <v>-221665</v>
      </c>
      <c r="AK339" s="528">
        <f t="shared" ref="AK339" si="2076">SUM(AK340,AK341)</f>
        <v>-303369</v>
      </c>
      <c r="AL339" s="529">
        <f t="shared" ref="AL339:AQ339" si="2077">SUM(AL340,AL341)</f>
        <v>-535110</v>
      </c>
      <c r="AM339" s="528">
        <f t="shared" si="2077"/>
        <v>-72243</v>
      </c>
      <c r="AN339" s="528">
        <f t="shared" si="1848"/>
        <v>-76600</v>
      </c>
      <c r="AO339" s="528">
        <f t="shared" si="1849"/>
        <v>-78225</v>
      </c>
      <c r="AP339" s="528">
        <f t="shared" si="1849"/>
        <v>-118248</v>
      </c>
      <c r="AQ339" s="528">
        <f t="shared" si="2077"/>
        <v>-148843</v>
      </c>
      <c r="AR339" s="528">
        <f t="shared" ref="AR339:AS339" si="2078">SUM(AR340,AR341)</f>
        <v>-227068</v>
      </c>
      <c r="AS339" s="529">
        <f t="shared" si="2078"/>
        <v>-345316</v>
      </c>
      <c r="AT339" s="528">
        <f t="shared" ref="AT339" si="2079">SUM(AT340,AT341)</f>
        <v>-74081</v>
      </c>
      <c r="AU339" s="528">
        <f t="shared" ref="AU339:AX339" si="2080">SUM(AU340,AU341)</f>
        <v>-85988</v>
      </c>
      <c r="AV339" s="528">
        <f t="shared" ref="AV339:AZ339" si="2081">SUM(AV340,AV341)</f>
        <v>-83133</v>
      </c>
      <c r="AW339" s="528">
        <f t="shared" si="2080"/>
        <v>-54942</v>
      </c>
      <c r="AX339" s="528">
        <f t="shared" si="2080"/>
        <v>-160069</v>
      </c>
      <c r="AY339" s="528">
        <f t="shared" si="2081"/>
        <v>-243202</v>
      </c>
      <c r="AZ339" s="528">
        <f t="shared" si="2081"/>
        <v>-298144</v>
      </c>
      <c r="BA339" s="528">
        <f t="shared" ref="BA339:BB339" si="2082">SUM(BA340,BA341)</f>
        <v>-31242</v>
      </c>
      <c r="BB339" s="528">
        <f t="shared" si="2082"/>
        <v>-39097</v>
      </c>
      <c r="BC339" s="528">
        <f t="shared" ref="BC339:BE339" si="2083">SUM(BC340,BC341)</f>
        <v>-38640</v>
      </c>
      <c r="BD339" s="528">
        <f t="shared" ref="BD339" si="2084">SUM(BD340,BD341)</f>
        <v>17150</v>
      </c>
      <c r="BE339" s="528">
        <f t="shared" si="2083"/>
        <v>-39097</v>
      </c>
      <c r="BF339" s="528">
        <f t="shared" ref="BF339:BG339" si="2085">SUM(BF340,BF341)</f>
        <v>-77737</v>
      </c>
      <c r="BG339" s="528">
        <f t="shared" si="2085"/>
        <v>-60587</v>
      </c>
      <c r="BH339" s="528">
        <f t="shared" ref="BH339:BL339" si="2086">SUM(BH340,BH341)</f>
        <v>-45025</v>
      </c>
      <c r="BI339" s="528">
        <f t="shared" si="2086"/>
        <v>-29113</v>
      </c>
      <c r="BJ339" s="528">
        <f t="shared" si="2086"/>
        <v>29939</v>
      </c>
      <c r="BK339" s="528">
        <f t="shared" si="2086"/>
        <v>-63041</v>
      </c>
      <c r="BL339" s="528">
        <f t="shared" si="2086"/>
        <v>-74138</v>
      </c>
      <c r="BM339" s="528">
        <f t="shared" ref="BM339:BN339" si="2087">SUM(BM340,BM341)</f>
        <v>-44199</v>
      </c>
      <c r="BN339" s="528">
        <f t="shared" si="2087"/>
        <v>-107240</v>
      </c>
      <c r="BO339" s="528">
        <f t="shared" ref="BO339:BS339" si="2088">SUM(BO340,BO341)</f>
        <v>-42590</v>
      </c>
      <c r="BP339" s="528">
        <f t="shared" si="2088"/>
        <v>-75708</v>
      </c>
      <c r="BQ339" s="528">
        <f t="shared" si="2088"/>
        <v>-13076</v>
      </c>
      <c r="BR339" s="528">
        <f t="shared" si="2088"/>
        <v>-19037</v>
      </c>
      <c r="BS339" s="528">
        <f t="shared" si="2088"/>
        <v>-118298</v>
      </c>
      <c r="BT339" s="528">
        <f t="shared" ref="BT339:BU339" si="2089">SUM(BT340,BT341)</f>
        <v>-131374</v>
      </c>
      <c r="BU339" s="528">
        <f t="shared" si="2089"/>
        <v>-150411</v>
      </c>
      <c r="BV339" s="528">
        <f t="shared" ref="BV339:BZ339" si="2090">SUM(BV340,BV341)</f>
        <v>-54616</v>
      </c>
      <c r="BW339" s="528">
        <f t="shared" si="2090"/>
        <v>-47044</v>
      </c>
      <c r="BX339" s="528">
        <f t="shared" si="2090"/>
        <v>-30747</v>
      </c>
      <c r="BY339" s="528">
        <f t="shared" si="2090"/>
        <v>-33980</v>
      </c>
      <c r="BZ339" s="528">
        <f t="shared" si="2090"/>
        <v>-101660</v>
      </c>
      <c r="CA339" s="528">
        <f t="shared" ref="CA339:CB339" si="2091">SUM(CA340,CA341)</f>
        <v>-132407</v>
      </c>
      <c r="CB339" s="528">
        <f t="shared" si="2091"/>
        <v>-166387</v>
      </c>
      <c r="CC339" s="528">
        <f t="shared" ref="CC339:CD339" si="2092">SUM(CC340,CC341)</f>
        <v>-38007</v>
      </c>
      <c r="CD339" s="528">
        <f t="shared" si="2092"/>
        <v>-34650</v>
      </c>
      <c r="CE339" s="528">
        <f t="shared" ref="CE339:CG339" si="2093">SUM(CE340,CE341)</f>
        <v>-71818</v>
      </c>
      <c r="CF339" s="528">
        <f t="shared" si="2093"/>
        <v>0</v>
      </c>
      <c r="CG339" s="528">
        <f t="shared" si="2093"/>
        <v>-72657</v>
      </c>
      <c r="CH339" s="528">
        <f t="shared" ref="CH339:CI339" si="2094">SUM(CH340,CH341)</f>
        <v>-144475</v>
      </c>
      <c r="CI339" s="528">
        <f t="shared" si="2094"/>
        <v>-264729</v>
      </c>
      <c r="CJ339" s="528">
        <v>-48858</v>
      </c>
      <c r="CK339" s="528">
        <f t="shared" ref="CK339" si="2095">SUM(CK340,CK341)</f>
        <v>-49736</v>
      </c>
      <c r="CL339" s="528">
        <f t="shared" ref="CL339:CO339" si="2096">SUM(CL340,CL341)</f>
        <v>0</v>
      </c>
      <c r="CM339" s="528">
        <f t="shared" si="2096"/>
        <v>0</v>
      </c>
      <c r="CN339" s="528">
        <f t="shared" si="2096"/>
        <v>-98594</v>
      </c>
      <c r="CO339" s="528">
        <f t="shared" si="2096"/>
        <v>0</v>
      </c>
    </row>
    <row r="340" spans="1:93" s="289" customFormat="1" x14ac:dyDescent="0.25">
      <c r="A340" s="301" t="str">
        <f>Language!C265</f>
        <v>Receitas</v>
      </c>
      <c r="B340" s="280">
        <v>687</v>
      </c>
      <c r="C340" s="280">
        <v>2041</v>
      </c>
      <c r="D340" s="280">
        <v>2381</v>
      </c>
      <c r="E340" s="280">
        <v>3253</v>
      </c>
      <c r="F340" s="279">
        <v>1981</v>
      </c>
      <c r="G340" s="280">
        <v>1800</v>
      </c>
      <c r="H340" s="280">
        <v>1546</v>
      </c>
      <c r="I340" s="280">
        <v>1161</v>
      </c>
      <c r="J340" s="279">
        <v>1072</v>
      </c>
      <c r="K340" s="280">
        <v>1304</v>
      </c>
      <c r="L340" s="280">
        <v>1361</v>
      </c>
      <c r="M340" s="280">
        <v>1000</v>
      </c>
      <c r="N340" s="279">
        <v>3641</v>
      </c>
      <c r="O340" s="280">
        <v>6700</v>
      </c>
      <c r="P340" s="280">
        <v>4218</v>
      </c>
      <c r="Q340" s="280">
        <v>-338</v>
      </c>
      <c r="R340" s="279">
        <v>3479</v>
      </c>
      <c r="S340" s="280">
        <v>6727</v>
      </c>
      <c r="T340" s="280">
        <f t="shared" ref="T340:T341" si="2097">W340-S340-R340</f>
        <v>6533</v>
      </c>
      <c r="U340" s="280">
        <f>X340-W340</f>
        <v>11633</v>
      </c>
      <c r="V340" s="280">
        <f t="shared" si="2068"/>
        <v>10206</v>
      </c>
      <c r="W340" s="281">
        <v>16739</v>
      </c>
      <c r="X340" s="282">
        <v>28372</v>
      </c>
      <c r="Y340" s="283">
        <v>6304</v>
      </c>
      <c r="Z340" s="281">
        <f t="shared" ref="Z340:Z341" si="2098">AC340-Y340</f>
        <v>10575</v>
      </c>
      <c r="AA340" s="280">
        <f t="shared" ref="AA340:AA341" si="2099">AD340-Z340-Y340</f>
        <v>7821</v>
      </c>
      <c r="AB340" s="280">
        <f>AE340-AD340</f>
        <v>13493</v>
      </c>
      <c r="AC340" s="281">
        <v>16879</v>
      </c>
      <c r="AD340" s="281">
        <v>24700</v>
      </c>
      <c r="AE340" s="282">
        <v>38193</v>
      </c>
      <c r="AF340" s="281">
        <v>7187</v>
      </c>
      <c r="AG340" s="281">
        <f>AJ340-AF340</f>
        <v>7297</v>
      </c>
      <c r="AH340" s="280">
        <f t="shared" ref="AH340:AH341" si="2100">AK340-AG340-AF340</f>
        <v>5134</v>
      </c>
      <c r="AI340" s="280">
        <f>AL340-AF340-AG340-AH340</f>
        <v>1996</v>
      </c>
      <c r="AJ340" s="281">
        <v>14484</v>
      </c>
      <c r="AK340" s="281">
        <v>19618</v>
      </c>
      <c r="AL340" s="282">
        <v>21614</v>
      </c>
      <c r="AM340" s="281">
        <v>974</v>
      </c>
      <c r="AN340" s="281">
        <f t="shared" si="1848"/>
        <v>1502</v>
      </c>
      <c r="AO340" s="281">
        <f t="shared" si="1849"/>
        <v>1925</v>
      </c>
      <c r="AP340" s="281">
        <f t="shared" si="1849"/>
        <v>1316</v>
      </c>
      <c r="AQ340" s="281">
        <v>2476</v>
      </c>
      <c r="AR340" s="281">
        <v>4401</v>
      </c>
      <c r="AS340" s="282">
        <v>5717</v>
      </c>
      <c r="AT340" s="281">
        <v>697</v>
      </c>
      <c r="AU340" s="302">
        <f>AX340-AT340</f>
        <v>380</v>
      </c>
      <c r="AV340" s="281">
        <f>AY340-AX340</f>
        <v>676</v>
      </c>
      <c r="AW340" s="281">
        <f>AZ340-AY340</f>
        <v>818</v>
      </c>
      <c r="AX340" s="281">
        <v>1077</v>
      </c>
      <c r="AY340" s="281">
        <v>1753</v>
      </c>
      <c r="AZ340" s="281">
        <v>2571</v>
      </c>
      <c r="BA340" s="281">
        <v>13496</v>
      </c>
      <c r="BB340" s="281">
        <f>BE340</f>
        <v>44151</v>
      </c>
      <c r="BC340" s="281">
        <f>BF340-BE340</f>
        <v>530</v>
      </c>
      <c r="BD340" s="281">
        <f>BG340-BF340</f>
        <v>43023</v>
      </c>
      <c r="BE340" s="281">
        <v>44151</v>
      </c>
      <c r="BF340" s="281">
        <v>44681</v>
      </c>
      <c r="BG340" s="281">
        <v>87704</v>
      </c>
      <c r="BH340" s="281">
        <v>192</v>
      </c>
      <c r="BI340" s="281">
        <f>BL340-BH340</f>
        <v>25481</v>
      </c>
      <c r="BJ340" s="281">
        <f>BM340-BL340</f>
        <v>82445</v>
      </c>
      <c r="BK340" s="281">
        <f>BN340-BM340</f>
        <v>-23827</v>
      </c>
      <c r="BL340" s="281">
        <v>25673</v>
      </c>
      <c r="BM340" s="281">
        <v>108118</v>
      </c>
      <c r="BN340" s="281">
        <v>84291</v>
      </c>
      <c r="BO340" s="281">
        <v>1353</v>
      </c>
      <c r="BP340" s="302">
        <f>BS340-BO340</f>
        <v>2703</v>
      </c>
      <c r="BQ340" s="281">
        <f>BT340-BS340</f>
        <v>-81</v>
      </c>
      <c r="BR340" s="281">
        <f>BU340-BT340</f>
        <v>1973</v>
      </c>
      <c r="BS340" s="281">
        <v>4056</v>
      </c>
      <c r="BT340" s="281">
        <v>3975</v>
      </c>
      <c r="BU340" s="281">
        <v>5948</v>
      </c>
      <c r="BV340" s="281">
        <v>1808</v>
      </c>
      <c r="BW340" s="281">
        <f>BZ340-BV340</f>
        <v>-914</v>
      </c>
      <c r="BX340" s="281">
        <f>CA340-BZ340</f>
        <v>437</v>
      </c>
      <c r="BY340" s="281">
        <f>CB340-CA340</f>
        <v>333</v>
      </c>
      <c r="BZ340" s="281">
        <v>894</v>
      </c>
      <c r="CA340" s="281">
        <v>1331</v>
      </c>
      <c r="CB340" s="281">
        <v>1664</v>
      </c>
      <c r="CC340" s="281">
        <v>359</v>
      </c>
      <c r="CD340" s="281">
        <f>CG340-CC340</f>
        <v>420</v>
      </c>
      <c r="CE340" s="281">
        <f>CH340-CG340</f>
        <v>2175</v>
      </c>
      <c r="CF340" s="281"/>
      <c r="CG340" s="281">
        <v>779</v>
      </c>
      <c r="CH340" s="281">
        <v>2954</v>
      </c>
      <c r="CI340" s="281">
        <v>3346</v>
      </c>
      <c r="CJ340" s="281">
        <v>424</v>
      </c>
      <c r="CK340" s="281">
        <f>CN340-CJ340</f>
        <v>531</v>
      </c>
      <c r="CL340" s="281"/>
      <c r="CM340" s="281"/>
      <c r="CN340" s="281">
        <v>955</v>
      </c>
      <c r="CO340" s="281"/>
    </row>
    <row r="341" spans="1:93" s="289" customFormat="1" x14ac:dyDescent="0.25">
      <c r="A341" s="560" t="str">
        <f>Language!C266</f>
        <v>Despesas</v>
      </c>
      <c r="B341" s="456">
        <v>-12832</v>
      </c>
      <c r="C341" s="456">
        <v>-13951</v>
      </c>
      <c r="D341" s="456">
        <v>-16201</v>
      </c>
      <c r="E341" s="456">
        <v>-13208</v>
      </c>
      <c r="F341" s="457">
        <v>-13924</v>
      </c>
      <c r="G341" s="456">
        <v>-13817</v>
      </c>
      <c r="H341" s="456">
        <v>-12952</v>
      </c>
      <c r="I341" s="456">
        <v>-10579</v>
      </c>
      <c r="J341" s="457">
        <v>-10157</v>
      </c>
      <c r="K341" s="456">
        <v>-11359</v>
      </c>
      <c r="L341" s="456">
        <v>-12977</v>
      </c>
      <c r="M341" s="456">
        <v>-13592</v>
      </c>
      <c r="N341" s="457">
        <v>-15804</v>
      </c>
      <c r="O341" s="456">
        <v>-19740</v>
      </c>
      <c r="P341" s="456">
        <v>-23478</v>
      </c>
      <c r="Q341" s="456">
        <v>-24477</v>
      </c>
      <c r="R341" s="457">
        <v>-59128</v>
      </c>
      <c r="S341" s="456">
        <v>-70661</v>
      </c>
      <c r="T341" s="456">
        <f t="shared" si="2097"/>
        <v>-70845</v>
      </c>
      <c r="U341" s="456">
        <f>X341-W341</f>
        <v>-125237</v>
      </c>
      <c r="V341" s="456">
        <f t="shared" si="2068"/>
        <v>-129789</v>
      </c>
      <c r="W341" s="458">
        <v>-200634</v>
      </c>
      <c r="X341" s="459">
        <v>-325871</v>
      </c>
      <c r="Y341" s="460">
        <v>-106413</v>
      </c>
      <c r="Z341" s="458">
        <f t="shared" si="2098"/>
        <v>-121010</v>
      </c>
      <c r="AA341" s="456">
        <f t="shared" si="2099"/>
        <v>-105132</v>
      </c>
      <c r="AB341" s="456">
        <f>AE341-AD341</f>
        <v>-150083</v>
      </c>
      <c r="AC341" s="458">
        <v>-227423</v>
      </c>
      <c r="AD341" s="458">
        <v>-332555</v>
      </c>
      <c r="AE341" s="459">
        <v>-482638</v>
      </c>
      <c r="AF341" s="458">
        <v>-134134</v>
      </c>
      <c r="AG341" s="458">
        <f>AJ341-AF341</f>
        <v>-102015</v>
      </c>
      <c r="AH341" s="456">
        <f t="shared" si="2100"/>
        <v>-86838</v>
      </c>
      <c r="AI341" s="280">
        <f>AL341-AF341-AG341-AH341</f>
        <v>-233737</v>
      </c>
      <c r="AJ341" s="281">
        <v>-236149</v>
      </c>
      <c r="AK341" s="281">
        <v>-322987</v>
      </c>
      <c r="AL341" s="459">
        <v>-556724</v>
      </c>
      <c r="AM341" s="458">
        <v>-73217</v>
      </c>
      <c r="AN341" s="281">
        <f t="shared" si="1848"/>
        <v>-78102</v>
      </c>
      <c r="AO341" s="281">
        <f t="shared" si="1849"/>
        <v>-80150</v>
      </c>
      <c r="AP341" s="281">
        <f t="shared" si="1849"/>
        <v>-119564</v>
      </c>
      <c r="AQ341" s="281">
        <v>-151319</v>
      </c>
      <c r="AR341" s="281">
        <v>-231469</v>
      </c>
      <c r="AS341" s="459">
        <v>-351033</v>
      </c>
      <c r="AT341" s="281">
        <v>-74778</v>
      </c>
      <c r="AU341" s="302">
        <f>AX341-AT341</f>
        <v>-86368</v>
      </c>
      <c r="AV341" s="281">
        <f>AY341-AX341</f>
        <v>-83809</v>
      </c>
      <c r="AW341" s="281">
        <f>AZ341-AY341</f>
        <v>-55760</v>
      </c>
      <c r="AX341" s="281">
        <v>-161146</v>
      </c>
      <c r="AY341" s="281">
        <v>-244955</v>
      </c>
      <c r="AZ341" s="281">
        <v>-300715</v>
      </c>
      <c r="BA341" s="281">
        <v>-44738</v>
      </c>
      <c r="BB341" s="281">
        <f>BE341</f>
        <v>-83248</v>
      </c>
      <c r="BC341" s="281">
        <f>BF341-BE341</f>
        <v>-39170</v>
      </c>
      <c r="BD341" s="281">
        <f>BG341-BF341</f>
        <v>-25873</v>
      </c>
      <c r="BE341" s="281">
        <v>-83248</v>
      </c>
      <c r="BF341" s="281">
        <v>-122418</v>
      </c>
      <c r="BG341" s="281">
        <v>-148291</v>
      </c>
      <c r="BH341" s="281">
        <v>-45217</v>
      </c>
      <c r="BI341" s="281">
        <f>BL341-BH341</f>
        <v>-54594</v>
      </c>
      <c r="BJ341" s="281">
        <f>BM341-BL341</f>
        <v>-52506</v>
      </c>
      <c r="BK341" s="281">
        <f>BN341-BM341</f>
        <v>-39214</v>
      </c>
      <c r="BL341" s="281">
        <v>-99811</v>
      </c>
      <c r="BM341" s="281">
        <v>-152317</v>
      </c>
      <c r="BN341" s="281">
        <v>-191531</v>
      </c>
      <c r="BO341" s="281">
        <v>-43943</v>
      </c>
      <c r="BP341" s="302">
        <f>BS341-BO341</f>
        <v>-78411</v>
      </c>
      <c r="BQ341" s="281">
        <f>BT341-BS341</f>
        <v>-12995</v>
      </c>
      <c r="BR341" s="281">
        <f>BU341-BT341</f>
        <v>-21010</v>
      </c>
      <c r="BS341" s="281">
        <v>-122354</v>
      </c>
      <c r="BT341" s="281">
        <v>-135349</v>
      </c>
      <c r="BU341" s="281">
        <v>-156359</v>
      </c>
      <c r="BV341" s="281">
        <v>-56424</v>
      </c>
      <c r="BW341" s="281">
        <f>BZ341-BV341</f>
        <v>-46130</v>
      </c>
      <c r="BX341" s="281">
        <f>CA341-BZ341</f>
        <v>-31184</v>
      </c>
      <c r="BY341" s="281">
        <f>CB341-CA341</f>
        <v>-34313</v>
      </c>
      <c r="BZ341" s="281">
        <v>-102554</v>
      </c>
      <c r="CA341" s="281">
        <v>-133738</v>
      </c>
      <c r="CB341" s="281">
        <v>-168051</v>
      </c>
      <c r="CC341" s="281">
        <v>-38366</v>
      </c>
      <c r="CD341" s="281">
        <f>CG341-CC341</f>
        <v>-35070</v>
      </c>
      <c r="CE341" s="281">
        <f>CH341-CG341</f>
        <v>-73993</v>
      </c>
      <c r="CF341" s="281"/>
      <c r="CG341" s="281">
        <v>-73436</v>
      </c>
      <c r="CH341" s="281">
        <v>-147429</v>
      </c>
      <c r="CI341" s="281">
        <v>-268075</v>
      </c>
      <c r="CJ341" s="281">
        <v>-49282</v>
      </c>
      <c r="CK341" s="281">
        <f>CN341-CJ341</f>
        <v>-50267</v>
      </c>
      <c r="CL341" s="281"/>
      <c r="CM341" s="281"/>
      <c r="CN341" s="281">
        <v>-99549</v>
      </c>
      <c r="CO341" s="281"/>
    </row>
    <row r="342" spans="1:93" s="289" customFormat="1" ht="13" x14ac:dyDescent="0.3">
      <c r="A342" s="525" t="str">
        <f>Language!C267</f>
        <v>Provisão para Manutenção</v>
      </c>
      <c r="B342" s="526">
        <f t="shared" ref="B342:O342" si="2101">SUM(B343,B344,B345,B346,B347)</f>
        <v>521</v>
      </c>
      <c r="C342" s="526">
        <f t="shared" si="2101"/>
        <v>2852</v>
      </c>
      <c r="D342" s="526">
        <f t="shared" si="2101"/>
        <v>2207</v>
      </c>
      <c r="E342" s="526">
        <f t="shared" si="2101"/>
        <v>2641</v>
      </c>
      <c r="F342" s="527">
        <f t="shared" si="2101"/>
        <v>1665</v>
      </c>
      <c r="G342" s="526">
        <f t="shared" si="2101"/>
        <v>0</v>
      </c>
      <c r="H342" s="526">
        <f t="shared" si="2101"/>
        <v>0</v>
      </c>
      <c r="I342" s="526">
        <f t="shared" si="2101"/>
        <v>0</v>
      </c>
      <c r="J342" s="527">
        <f t="shared" si="2101"/>
        <v>0</v>
      </c>
      <c r="K342" s="526">
        <f t="shared" si="2101"/>
        <v>0</v>
      </c>
      <c r="L342" s="526">
        <f t="shared" si="2101"/>
        <v>0</v>
      </c>
      <c r="M342" s="526">
        <f t="shared" si="2101"/>
        <v>0</v>
      </c>
      <c r="N342" s="527">
        <f t="shared" si="2101"/>
        <v>0</v>
      </c>
      <c r="O342" s="526">
        <f t="shared" si="2101"/>
        <v>-3388</v>
      </c>
      <c r="P342" s="526">
        <f>SUM(P343,P344,P345,P346,P347)</f>
        <v>-3246</v>
      </c>
      <c r="Q342" s="526">
        <f t="shared" ref="Q342:R342" si="2102">SUM(Q343,Q344,Q345,Q346,Q347)</f>
        <v>-3764</v>
      </c>
      <c r="R342" s="527">
        <f t="shared" si="2102"/>
        <v>0</v>
      </c>
      <c r="S342" s="526">
        <f t="shared" ref="S342:W342" si="2103">SUM(S343,S344,S345,S346,S347)</f>
        <v>0</v>
      </c>
      <c r="T342" s="526">
        <f t="shared" ref="T342:V342" si="2104">SUM(T343,T344,T345,T346,T347)</f>
        <v>0</v>
      </c>
      <c r="U342" s="526">
        <f t="shared" si="2104"/>
        <v>21894</v>
      </c>
      <c r="V342" s="526">
        <f t="shared" si="2104"/>
        <v>0</v>
      </c>
      <c r="W342" s="528">
        <f t="shared" si="2103"/>
        <v>0</v>
      </c>
      <c r="X342" s="529">
        <f t="shared" ref="X342:Y342" si="2105">SUM(X343,X344,X345,X346,X347)</f>
        <v>21894</v>
      </c>
      <c r="Y342" s="530">
        <f t="shared" si="2105"/>
        <v>12828</v>
      </c>
      <c r="Z342" s="528">
        <f t="shared" ref="Z342:AC342" si="2106">SUM(Z343,Z344,Z345,Z346,Z347)</f>
        <v>12893</v>
      </c>
      <c r="AA342" s="526">
        <f t="shared" si="2106"/>
        <v>10267</v>
      </c>
      <c r="AB342" s="526">
        <f t="shared" si="2106"/>
        <v>6406</v>
      </c>
      <c r="AC342" s="528">
        <f t="shared" si="2106"/>
        <v>25721</v>
      </c>
      <c r="AD342" s="528">
        <f t="shared" ref="AD342:AE342" si="2107">SUM(AD343,AD344,AD345,AD346,AD347)</f>
        <v>35988</v>
      </c>
      <c r="AE342" s="529">
        <f t="shared" si="2107"/>
        <v>42394</v>
      </c>
      <c r="AF342" s="528">
        <f t="shared" ref="AF342:AJ342" si="2108">SUM(AF343,AF344,AF345,AF346,AF347)</f>
        <v>10778</v>
      </c>
      <c r="AG342" s="528">
        <f t="shared" si="2108"/>
        <v>10862</v>
      </c>
      <c r="AH342" s="526">
        <f t="shared" si="2108"/>
        <v>10905</v>
      </c>
      <c r="AI342" s="526">
        <f t="shared" si="2108"/>
        <v>20668</v>
      </c>
      <c r="AJ342" s="528">
        <f t="shared" si="2108"/>
        <v>21640</v>
      </c>
      <c r="AK342" s="528">
        <f>SUM(AK343,AK344,AK345,AK346,AK347)</f>
        <v>32545</v>
      </c>
      <c r="AL342" s="529">
        <f t="shared" ref="AL342:AQ342" si="2109">SUM(AL343,AL344,AL345,AL346,AL347)</f>
        <v>53213</v>
      </c>
      <c r="AM342" s="528">
        <f t="shared" si="2109"/>
        <v>-12050</v>
      </c>
      <c r="AN342" s="528">
        <f t="shared" si="1848"/>
        <v>-20316</v>
      </c>
      <c r="AO342" s="528">
        <f t="shared" si="1849"/>
        <v>-1569</v>
      </c>
      <c r="AP342" s="528">
        <f t="shared" si="1849"/>
        <v>-3063</v>
      </c>
      <c r="AQ342" s="528">
        <f t="shared" si="2109"/>
        <v>-32366</v>
      </c>
      <c r="AR342" s="528">
        <f t="shared" ref="AR342:AS342" si="2110">SUM(AR343,AR344,AR345,AR346,AR347)</f>
        <v>-33935</v>
      </c>
      <c r="AS342" s="529">
        <f t="shared" si="2110"/>
        <v>-36998</v>
      </c>
      <c r="AT342" s="528">
        <f t="shared" ref="AT342" si="2111">SUM(AT343,AT344,AT345,AT346,AT347)</f>
        <v>-11193</v>
      </c>
      <c r="AU342" s="528">
        <f t="shared" ref="AU342:AZ342" si="2112">SUM(AU343,AU344,AU345,AU346,AU347)</f>
        <v>-11225</v>
      </c>
      <c r="AV342" s="528">
        <f t="shared" si="2112"/>
        <v>-11150</v>
      </c>
      <c r="AW342" s="528">
        <f t="shared" ref="AW342" si="2113">SUM(AW343,AW344,AW345,AW346,AW347)</f>
        <v>-11455</v>
      </c>
      <c r="AX342" s="528">
        <f t="shared" si="2112"/>
        <v>-22418</v>
      </c>
      <c r="AY342" s="528">
        <f t="shared" si="2112"/>
        <v>-33568</v>
      </c>
      <c r="AZ342" s="528">
        <f t="shared" si="2112"/>
        <v>-45023</v>
      </c>
      <c r="BA342" s="528">
        <f t="shared" ref="BA342:BB342" si="2114">SUM(BA343,BA344,BA345,BA346,BA347)</f>
        <v>-3705</v>
      </c>
      <c r="BB342" s="528">
        <f t="shared" si="2114"/>
        <v>-7434</v>
      </c>
      <c r="BC342" s="528">
        <f t="shared" ref="BC342:BE342" si="2115">SUM(BC343,BC344,BC345,BC346,BC347)</f>
        <v>-3798</v>
      </c>
      <c r="BD342" s="528">
        <f t="shared" ref="BD342" si="2116">SUM(BD343,BD344,BD345,BD346,BD347)</f>
        <v>-3484</v>
      </c>
      <c r="BE342" s="528">
        <f t="shared" si="2115"/>
        <v>-7434</v>
      </c>
      <c r="BF342" s="528">
        <f t="shared" ref="BF342:BG342" si="2117">SUM(BF343,BF344,BF345,BF346,BF347)</f>
        <v>-11232</v>
      </c>
      <c r="BG342" s="528">
        <f t="shared" si="2117"/>
        <v>-14716</v>
      </c>
      <c r="BH342" s="528">
        <f t="shared" ref="BH342:BL342" si="2118">SUM(BH343,BH344,BH345,BH346,BH347)</f>
        <v>8637</v>
      </c>
      <c r="BI342" s="528">
        <f t="shared" si="2118"/>
        <v>9731</v>
      </c>
      <c r="BJ342" s="528">
        <f t="shared" si="2118"/>
        <v>-27428</v>
      </c>
      <c r="BK342" s="528">
        <f t="shared" si="2118"/>
        <v>-3122</v>
      </c>
      <c r="BL342" s="528">
        <f t="shared" si="2118"/>
        <v>18368</v>
      </c>
      <c r="BM342" s="528">
        <f t="shared" ref="BM342:BN342" si="2119">SUM(BM343,BM344,BM345,BM346,BM347)</f>
        <v>-9060</v>
      </c>
      <c r="BN342" s="528">
        <f t="shared" si="2119"/>
        <v>-12182</v>
      </c>
      <c r="BO342" s="528">
        <f t="shared" ref="BO342:BS342" si="2120">SUM(BO343,BO344,BO345,BO346,BO347)</f>
        <v>-210</v>
      </c>
      <c r="BP342" s="528">
        <f t="shared" si="2120"/>
        <v>-210</v>
      </c>
      <c r="BQ342" s="528">
        <f t="shared" si="2120"/>
        <v>-210</v>
      </c>
      <c r="BR342" s="528">
        <f t="shared" si="2120"/>
        <v>-210</v>
      </c>
      <c r="BS342" s="528">
        <f t="shared" si="2120"/>
        <v>-420</v>
      </c>
      <c r="BT342" s="528">
        <f t="shared" ref="BT342:BU342" si="2121">SUM(BT343,BT344,BT345,BT346,BT347)</f>
        <v>-630</v>
      </c>
      <c r="BU342" s="528">
        <f t="shared" si="2121"/>
        <v>-840</v>
      </c>
      <c r="BV342" s="528">
        <f t="shared" ref="BV342:BZ342" si="2122">SUM(BV343,BV344,BV345,BV346,BV347)</f>
        <v>-170</v>
      </c>
      <c r="BW342" s="528">
        <f t="shared" si="2122"/>
        <v>-169</v>
      </c>
      <c r="BX342" s="528">
        <f t="shared" si="2122"/>
        <v>-170</v>
      </c>
      <c r="BY342" s="528">
        <f t="shared" si="2122"/>
        <v>-169</v>
      </c>
      <c r="BZ342" s="528">
        <f t="shared" si="2122"/>
        <v>-339</v>
      </c>
      <c r="CA342" s="528">
        <f t="shared" ref="CA342:CB342" si="2123">SUM(CA343,CA344,CA345,CA346,CA347)</f>
        <v>-509</v>
      </c>
      <c r="CB342" s="528">
        <f t="shared" si="2123"/>
        <v>-678</v>
      </c>
      <c r="CC342" s="528">
        <f t="shared" ref="CC342:CD342" si="2124">SUM(CC343,CC344,CC345,CC346,CC347)</f>
        <v>-89</v>
      </c>
      <c r="CD342" s="528">
        <f t="shared" si="2124"/>
        <v>2211</v>
      </c>
      <c r="CE342" s="528">
        <f t="shared" ref="CE342:CG342" si="2125">SUM(CE343,CE344,CE345,CE346,CE347)</f>
        <v>-114</v>
      </c>
      <c r="CF342" s="528">
        <f t="shared" si="2125"/>
        <v>0</v>
      </c>
      <c r="CG342" s="528">
        <f t="shared" si="2125"/>
        <v>2122</v>
      </c>
      <c r="CH342" s="528">
        <f t="shared" ref="CH342:CI342" si="2126">SUM(CH343,CH344,CH345,CH346,CH347)</f>
        <v>2008</v>
      </c>
      <c r="CI342" s="528">
        <f t="shared" si="2126"/>
        <v>1750</v>
      </c>
      <c r="CJ342" s="528">
        <v>-24</v>
      </c>
      <c r="CK342" s="528">
        <f t="shared" ref="CK342" si="2127">SUM(CK343,CK344,CK345,CK346,CK347)</f>
        <v>-25</v>
      </c>
      <c r="CL342" s="528">
        <f t="shared" ref="CL342:CO342" si="2128">SUM(CL343,CL344,CL345,CL346,CL347)</f>
        <v>0</v>
      </c>
      <c r="CM342" s="528">
        <f t="shared" si="2128"/>
        <v>0</v>
      </c>
      <c r="CN342" s="528">
        <f t="shared" si="2128"/>
        <v>-49</v>
      </c>
      <c r="CO342" s="528">
        <f t="shared" si="2128"/>
        <v>0</v>
      </c>
    </row>
    <row r="343" spans="1:93" s="289" customFormat="1" x14ac:dyDescent="0.25">
      <c r="A343" s="455" t="str">
        <f>Language!C268</f>
        <v>Concepa</v>
      </c>
      <c r="B343" s="280">
        <v>0</v>
      </c>
      <c r="C343" s="280">
        <v>0</v>
      </c>
      <c r="D343" s="280">
        <v>0</v>
      </c>
      <c r="E343" s="280">
        <v>0</v>
      </c>
      <c r="F343" s="279">
        <v>0</v>
      </c>
      <c r="G343" s="280">
        <v>0</v>
      </c>
      <c r="H343" s="280">
        <v>0</v>
      </c>
      <c r="I343" s="280">
        <v>0</v>
      </c>
      <c r="J343" s="279">
        <v>0</v>
      </c>
      <c r="K343" s="280">
        <v>0</v>
      </c>
      <c r="L343" s="280">
        <v>0</v>
      </c>
      <c r="M343" s="280">
        <v>0</v>
      </c>
      <c r="N343" s="279">
        <v>0</v>
      </c>
      <c r="O343" s="280">
        <v>0</v>
      </c>
      <c r="P343" s="280">
        <v>0</v>
      </c>
      <c r="Q343" s="280">
        <v>0</v>
      </c>
      <c r="R343" s="279">
        <v>0</v>
      </c>
      <c r="S343" s="280">
        <v>0</v>
      </c>
      <c r="T343" s="280">
        <v>0</v>
      </c>
      <c r="U343" s="280">
        <f>X343-W343</f>
        <v>0</v>
      </c>
      <c r="V343" s="280">
        <f t="shared" si="2068"/>
        <v>0</v>
      </c>
      <c r="W343" s="281">
        <v>0</v>
      </c>
      <c r="X343" s="282">
        <v>0</v>
      </c>
      <c r="Y343" s="283">
        <v>0</v>
      </c>
      <c r="Z343" s="281">
        <f t="shared" ref="Z343:Z347" si="2129">AC343-Y343</f>
        <v>0</v>
      </c>
      <c r="AA343" s="280">
        <f t="shared" ref="AA343:AA347" si="2130">AD343-Z343-Y343</f>
        <v>0</v>
      </c>
      <c r="AB343" s="280">
        <f>AE343-AD343</f>
        <v>0</v>
      </c>
      <c r="AC343" s="281">
        <v>0</v>
      </c>
      <c r="AD343" s="281">
        <v>0</v>
      </c>
      <c r="AE343" s="282">
        <v>0</v>
      </c>
      <c r="AF343" s="281">
        <v>0</v>
      </c>
      <c r="AG343" s="281">
        <f>AJ343-AF343</f>
        <v>0</v>
      </c>
      <c r="AH343" s="280">
        <f t="shared" ref="AH343:AH347" si="2131">AK343-AG343-AF343</f>
        <v>0</v>
      </c>
      <c r="AI343" s="280">
        <f>AL343-AK343</f>
        <v>0</v>
      </c>
      <c r="AJ343" s="281">
        <v>0</v>
      </c>
      <c r="AK343" s="281">
        <v>0</v>
      </c>
      <c r="AL343" s="282">
        <v>0</v>
      </c>
      <c r="AM343" s="281">
        <v>0</v>
      </c>
      <c r="AN343" s="281">
        <f t="shared" si="1848"/>
        <v>0</v>
      </c>
      <c r="AO343" s="281">
        <f t="shared" si="1849"/>
        <v>0</v>
      </c>
      <c r="AP343" s="281">
        <f t="shared" si="1849"/>
        <v>0</v>
      </c>
      <c r="AQ343" s="281">
        <v>0</v>
      </c>
      <c r="AR343" s="281"/>
      <c r="AS343" s="282"/>
      <c r="AT343" s="281"/>
      <c r="AU343" s="281"/>
      <c r="AV343" s="281"/>
      <c r="AW343" s="281"/>
      <c r="AX343" s="281"/>
      <c r="AY343" s="281"/>
      <c r="AZ343" s="737">
        <v>0</v>
      </c>
      <c r="BA343" s="737">
        <v>0</v>
      </c>
      <c r="BB343" s="737">
        <f>BE343</f>
        <v>0</v>
      </c>
      <c r="BC343" s="737">
        <v>0</v>
      </c>
      <c r="BD343" s="737">
        <f>BG343-BF343</f>
        <v>0</v>
      </c>
      <c r="BE343" s="737">
        <v>0</v>
      </c>
      <c r="BF343" s="737">
        <v>0</v>
      </c>
      <c r="BG343" s="737">
        <v>0</v>
      </c>
      <c r="BH343" s="737">
        <v>0</v>
      </c>
      <c r="BI343" s="737">
        <v>0</v>
      </c>
      <c r="BJ343" s="737">
        <v>0</v>
      </c>
      <c r="BK343" s="737">
        <v>0</v>
      </c>
      <c r="BL343" s="737">
        <v>0</v>
      </c>
      <c r="BM343" s="737">
        <v>0</v>
      </c>
      <c r="BN343" s="737">
        <v>0</v>
      </c>
      <c r="BO343" s="737">
        <v>0</v>
      </c>
      <c r="BP343" s="737">
        <v>0</v>
      </c>
      <c r="BQ343" s="737">
        <v>0</v>
      </c>
      <c r="BR343" s="737">
        <v>0</v>
      </c>
      <c r="BS343" s="737">
        <v>0</v>
      </c>
      <c r="BT343" s="737">
        <v>0</v>
      </c>
      <c r="BU343" s="737">
        <v>0</v>
      </c>
      <c r="BV343" s="737">
        <v>0</v>
      </c>
      <c r="BW343" s="737"/>
      <c r="BX343" s="737"/>
      <c r="BY343" s="737"/>
      <c r="BZ343" s="737"/>
      <c r="CA343" s="737"/>
      <c r="CB343" s="737"/>
      <c r="CC343" s="737"/>
      <c r="CD343" s="737"/>
      <c r="CE343" s="737"/>
      <c r="CF343" s="737"/>
      <c r="CG343" s="737"/>
      <c r="CH343" s="737"/>
      <c r="CI343" s="737"/>
      <c r="CJ343" s="737"/>
      <c r="CK343" s="737"/>
      <c r="CL343" s="737"/>
      <c r="CM343" s="737"/>
      <c r="CN343" s="737"/>
      <c r="CO343" s="737"/>
    </row>
    <row r="344" spans="1:93" s="289" customFormat="1" x14ac:dyDescent="0.25">
      <c r="A344" s="455" t="str">
        <f>Language!C269</f>
        <v>Concer</v>
      </c>
      <c r="B344" s="280">
        <v>0</v>
      </c>
      <c r="C344" s="280">
        <v>0</v>
      </c>
      <c r="D344" s="280">
        <v>0</v>
      </c>
      <c r="E344" s="280">
        <v>0</v>
      </c>
      <c r="F344" s="279">
        <v>0</v>
      </c>
      <c r="G344" s="280">
        <v>0</v>
      </c>
      <c r="H344" s="280">
        <v>0</v>
      </c>
      <c r="I344" s="280">
        <v>0</v>
      </c>
      <c r="J344" s="279">
        <v>0</v>
      </c>
      <c r="K344" s="280">
        <v>0</v>
      </c>
      <c r="L344" s="280">
        <v>0</v>
      </c>
      <c r="M344" s="280">
        <v>0</v>
      </c>
      <c r="N344" s="279">
        <v>0</v>
      </c>
      <c r="O344" s="280">
        <v>0</v>
      </c>
      <c r="P344" s="280">
        <v>0</v>
      </c>
      <c r="Q344" s="280">
        <v>0</v>
      </c>
      <c r="R344" s="279">
        <v>0</v>
      </c>
      <c r="S344" s="280">
        <v>0</v>
      </c>
      <c r="T344" s="280">
        <v>0</v>
      </c>
      <c r="U344" s="280">
        <f>X344-W344</f>
        <v>0</v>
      </c>
      <c r="V344" s="280">
        <f t="shared" si="2068"/>
        <v>0</v>
      </c>
      <c r="W344" s="281">
        <v>0</v>
      </c>
      <c r="X344" s="282">
        <v>0</v>
      </c>
      <c r="Y344" s="283">
        <v>0</v>
      </c>
      <c r="Z344" s="281">
        <f t="shared" si="2129"/>
        <v>0</v>
      </c>
      <c r="AA344" s="280">
        <f t="shared" si="2130"/>
        <v>0</v>
      </c>
      <c r="AB344" s="280">
        <f>AE344-AD344</f>
        <v>0</v>
      </c>
      <c r="AC344" s="281">
        <v>0</v>
      </c>
      <c r="AD344" s="281">
        <v>0</v>
      </c>
      <c r="AE344" s="282">
        <v>0</v>
      </c>
      <c r="AF344" s="281">
        <v>0</v>
      </c>
      <c r="AG344" s="281">
        <f>AJ344-AF344</f>
        <v>0</v>
      </c>
      <c r="AH344" s="280">
        <f t="shared" si="2131"/>
        <v>0</v>
      </c>
      <c r="AI344" s="280">
        <f>AL344-AK344</f>
        <v>0</v>
      </c>
      <c r="AJ344" s="281">
        <v>0</v>
      </c>
      <c r="AK344" s="281">
        <v>0</v>
      </c>
      <c r="AL344" s="282">
        <v>0</v>
      </c>
      <c r="AM344" s="281">
        <v>0</v>
      </c>
      <c r="AN344" s="281">
        <f t="shared" si="1848"/>
        <v>0</v>
      </c>
      <c r="AO344" s="281">
        <f t="shared" si="1849"/>
        <v>0</v>
      </c>
      <c r="AP344" s="281">
        <f t="shared" si="1849"/>
        <v>0</v>
      </c>
      <c r="AQ344" s="281">
        <v>0</v>
      </c>
      <c r="AR344" s="281"/>
      <c r="AS344" s="282"/>
      <c r="AT344" s="281"/>
      <c r="AU344" s="281"/>
      <c r="AV344" s="281"/>
      <c r="AW344" s="281"/>
      <c r="AX344" s="281"/>
      <c r="AY344" s="281"/>
      <c r="AZ344" s="737">
        <v>0</v>
      </c>
      <c r="BA344" s="737">
        <v>0</v>
      </c>
      <c r="BB344" s="737">
        <f t="shared" ref="BB344:BB347" si="2132">BE344</f>
        <v>0</v>
      </c>
      <c r="BC344" s="737">
        <v>0</v>
      </c>
      <c r="BD344" s="737">
        <f t="shared" ref="BD344:BD347" si="2133">BG344-BF344</f>
        <v>489</v>
      </c>
      <c r="BE344" s="737">
        <v>0</v>
      </c>
      <c r="BF344" s="737">
        <v>0</v>
      </c>
      <c r="BG344" s="737">
        <v>489</v>
      </c>
      <c r="BH344" s="737">
        <v>0</v>
      </c>
      <c r="BI344" s="737">
        <v>0</v>
      </c>
      <c r="BJ344" s="737">
        <v>0</v>
      </c>
      <c r="BK344" s="737">
        <v>0</v>
      </c>
      <c r="BL344" s="737">
        <v>0</v>
      </c>
      <c r="BM344" s="737">
        <v>0</v>
      </c>
      <c r="BN344" s="737">
        <v>0</v>
      </c>
      <c r="BO344" s="737">
        <v>0</v>
      </c>
      <c r="BP344" s="737">
        <v>0</v>
      </c>
      <c r="BQ344" s="737">
        <v>0</v>
      </c>
      <c r="BR344" s="737">
        <v>0</v>
      </c>
      <c r="BS344" s="737">
        <v>0</v>
      </c>
      <c r="BT344" s="737">
        <v>0</v>
      </c>
      <c r="BU344" s="737">
        <v>0</v>
      </c>
      <c r="BV344" s="737">
        <v>0</v>
      </c>
      <c r="BW344" s="737"/>
      <c r="BX344" s="737"/>
      <c r="BY344" s="737"/>
      <c r="BZ344" s="737"/>
      <c r="CA344" s="737"/>
      <c r="CB344" s="737"/>
      <c r="CC344" s="737"/>
      <c r="CD344" s="737"/>
      <c r="CE344" s="737"/>
      <c r="CF344" s="737"/>
      <c r="CG344" s="737"/>
      <c r="CH344" s="737"/>
      <c r="CI344" s="737"/>
      <c r="CJ344" s="737"/>
      <c r="CK344" s="737"/>
      <c r="CL344" s="737"/>
      <c r="CM344" s="737"/>
      <c r="CN344" s="737"/>
      <c r="CO344" s="737"/>
    </row>
    <row r="345" spans="1:93" s="289" customFormat="1" x14ac:dyDescent="0.25">
      <c r="A345" s="455" t="str">
        <f>Language!C270</f>
        <v>Econorte</v>
      </c>
      <c r="B345" s="280">
        <v>521</v>
      </c>
      <c r="C345" s="280">
        <v>2852</v>
      </c>
      <c r="D345" s="280">
        <v>2207</v>
      </c>
      <c r="E345" s="280">
        <v>2641</v>
      </c>
      <c r="F345" s="279">
        <v>1665</v>
      </c>
      <c r="G345" s="280">
        <v>0</v>
      </c>
      <c r="H345" s="280">
        <v>0</v>
      </c>
      <c r="I345" s="280">
        <v>0</v>
      </c>
      <c r="J345" s="279">
        <v>0</v>
      </c>
      <c r="K345" s="280">
        <v>0</v>
      </c>
      <c r="L345" s="280">
        <v>0</v>
      </c>
      <c r="M345" s="280">
        <v>0</v>
      </c>
      <c r="N345" s="279">
        <v>0</v>
      </c>
      <c r="O345" s="280">
        <v>-3388</v>
      </c>
      <c r="P345" s="280">
        <v>-3246</v>
      </c>
      <c r="Q345" s="280">
        <v>-3764</v>
      </c>
      <c r="R345" s="279">
        <v>0</v>
      </c>
      <c r="S345" s="280">
        <v>0</v>
      </c>
      <c r="T345" s="280">
        <v>0</v>
      </c>
      <c r="U345" s="280">
        <f>X345-W345</f>
        <v>0</v>
      </c>
      <c r="V345" s="280">
        <f t="shared" si="2068"/>
        <v>0</v>
      </c>
      <c r="W345" s="281">
        <v>0</v>
      </c>
      <c r="X345" s="282">
        <v>0</v>
      </c>
      <c r="Y345" s="283">
        <v>3526</v>
      </c>
      <c r="Z345" s="281">
        <f t="shared" si="2129"/>
        <v>3592</v>
      </c>
      <c r="AA345" s="280">
        <f t="shared" si="2130"/>
        <v>3685</v>
      </c>
      <c r="AB345" s="280">
        <f>AE345-AD345</f>
        <v>3754</v>
      </c>
      <c r="AC345" s="281">
        <v>7118</v>
      </c>
      <c r="AD345" s="281">
        <v>10803</v>
      </c>
      <c r="AE345" s="282">
        <v>14557</v>
      </c>
      <c r="AF345" s="281">
        <v>3569</v>
      </c>
      <c r="AG345" s="281">
        <f>AJ345-AF345</f>
        <v>3655</v>
      </c>
      <c r="AH345" s="280">
        <f t="shared" si="2131"/>
        <v>3665</v>
      </c>
      <c r="AI345" s="280">
        <f>AL345-AK345</f>
        <v>3702</v>
      </c>
      <c r="AJ345" s="281">
        <v>7224</v>
      </c>
      <c r="AK345" s="281">
        <v>10889</v>
      </c>
      <c r="AL345" s="282">
        <v>14591</v>
      </c>
      <c r="AM345" s="281">
        <v>-3179</v>
      </c>
      <c r="AN345" s="281">
        <f t="shared" si="1848"/>
        <v>-1614</v>
      </c>
      <c r="AO345" s="281">
        <f t="shared" si="1849"/>
        <v>-2527</v>
      </c>
      <c r="AP345" s="281">
        <f t="shared" si="1849"/>
        <v>6223</v>
      </c>
      <c r="AQ345" s="281">
        <v>-4793</v>
      </c>
      <c r="AR345" s="281">
        <v>-7320</v>
      </c>
      <c r="AS345" s="282">
        <v>-1097</v>
      </c>
      <c r="AT345" s="281">
        <v>-2830</v>
      </c>
      <c r="AU345" s="302">
        <f>AX345-AT345</f>
        <v>-2863</v>
      </c>
      <c r="AV345" s="281">
        <f>AY345-AX345</f>
        <v>-2788</v>
      </c>
      <c r="AW345" s="281">
        <f>AZ345-AY345</f>
        <v>-2854</v>
      </c>
      <c r="AX345" s="281">
        <v>-5693</v>
      </c>
      <c r="AY345" s="281">
        <v>-8481</v>
      </c>
      <c r="AZ345" s="281">
        <v>-11335</v>
      </c>
      <c r="BA345" s="281">
        <v>-3381</v>
      </c>
      <c r="BB345" s="281">
        <f t="shared" si="2132"/>
        <v>-6787</v>
      </c>
      <c r="BC345" s="281">
        <f>BF345-BE345</f>
        <v>-3474</v>
      </c>
      <c r="BD345" s="281">
        <f t="shared" si="2133"/>
        <v>-4313</v>
      </c>
      <c r="BE345" s="281">
        <v>-6787</v>
      </c>
      <c r="BF345" s="281">
        <v>-10261</v>
      </c>
      <c r="BG345" s="281">
        <v>-14574</v>
      </c>
      <c r="BH345" s="281">
        <v>8991</v>
      </c>
      <c r="BI345" s="281">
        <f>BL345-BH345</f>
        <v>10085</v>
      </c>
      <c r="BJ345" s="281">
        <f>BM345-BL345</f>
        <v>-27073</v>
      </c>
      <c r="BK345" s="281">
        <f>BN345-BM345</f>
        <v>-2768</v>
      </c>
      <c r="BL345" s="281">
        <v>19076</v>
      </c>
      <c r="BM345" s="281">
        <v>-7997</v>
      </c>
      <c r="BN345" s="281">
        <v>-10765</v>
      </c>
      <c r="BO345" s="281">
        <v>0</v>
      </c>
      <c r="BP345" s="281">
        <f>BS345-BO345</f>
        <v>0</v>
      </c>
      <c r="BQ345" s="281">
        <f>BT345-BS345</f>
        <v>0</v>
      </c>
      <c r="BR345" s="281">
        <f>BU345-BT345</f>
        <v>0</v>
      </c>
      <c r="BS345" s="302">
        <v>0</v>
      </c>
      <c r="BT345" s="302">
        <v>0</v>
      </c>
      <c r="BU345" s="302">
        <v>0</v>
      </c>
      <c r="BV345" s="302">
        <v>0</v>
      </c>
      <c r="BW345" s="737">
        <f>BZ345-BV345</f>
        <v>0</v>
      </c>
      <c r="BX345" s="737"/>
      <c r="BY345" s="737"/>
      <c r="BZ345" s="737"/>
      <c r="CA345" s="737"/>
      <c r="CB345" s="737"/>
      <c r="CC345" s="737"/>
      <c r="CD345" s="737"/>
      <c r="CE345" s="737"/>
      <c r="CF345" s="737"/>
      <c r="CG345" s="737"/>
      <c r="CH345" s="737"/>
      <c r="CI345" s="737"/>
      <c r="CJ345" s="737"/>
      <c r="CK345" s="737"/>
      <c r="CL345" s="737"/>
      <c r="CM345" s="737"/>
      <c r="CN345" s="737"/>
      <c r="CO345" s="737"/>
    </row>
    <row r="346" spans="1:93" s="289" customFormat="1" x14ac:dyDescent="0.25">
      <c r="A346" s="455" t="str">
        <f>Language!C271</f>
        <v>Concebra</v>
      </c>
      <c r="B346" s="280">
        <v>0</v>
      </c>
      <c r="C346" s="280">
        <v>0</v>
      </c>
      <c r="D346" s="280">
        <v>0</v>
      </c>
      <c r="E346" s="280">
        <v>0</v>
      </c>
      <c r="F346" s="279">
        <v>0</v>
      </c>
      <c r="G346" s="280">
        <v>0</v>
      </c>
      <c r="H346" s="280">
        <v>0</v>
      </c>
      <c r="I346" s="280">
        <v>0</v>
      </c>
      <c r="J346" s="279">
        <v>0</v>
      </c>
      <c r="K346" s="280">
        <v>0</v>
      </c>
      <c r="L346" s="280">
        <v>0</v>
      </c>
      <c r="M346" s="280">
        <v>0</v>
      </c>
      <c r="N346" s="279">
        <v>0</v>
      </c>
      <c r="O346" s="280">
        <v>0</v>
      </c>
      <c r="P346" s="280">
        <v>0</v>
      </c>
      <c r="Q346" s="280">
        <v>0</v>
      </c>
      <c r="R346" s="279">
        <v>0</v>
      </c>
      <c r="S346" s="280">
        <v>0</v>
      </c>
      <c r="T346" s="280">
        <v>0</v>
      </c>
      <c r="U346" s="280">
        <f>X346-W346</f>
        <v>18628</v>
      </c>
      <c r="V346" s="280">
        <f t="shared" si="2068"/>
        <v>0</v>
      </c>
      <c r="W346" s="281">
        <v>0</v>
      </c>
      <c r="X346" s="282">
        <v>18628</v>
      </c>
      <c r="Y346" s="283">
        <v>8162</v>
      </c>
      <c r="Z346" s="281">
        <f t="shared" si="2129"/>
        <v>8161</v>
      </c>
      <c r="AA346" s="280">
        <f t="shared" si="2130"/>
        <v>5442</v>
      </c>
      <c r="AB346" s="280">
        <f>AE346-AD346</f>
        <v>11089</v>
      </c>
      <c r="AC346" s="281">
        <v>16323</v>
      </c>
      <c r="AD346" s="281">
        <v>21765</v>
      </c>
      <c r="AE346" s="282">
        <v>32854</v>
      </c>
      <c r="AF346" s="281">
        <v>7179</v>
      </c>
      <c r="AG346" s="281">
        <f>AJ346-AF346</f>
        <v>7180</v>
      </c>
      <c r="AH346" s="280">
        <f t="shared" si="2131"/>
        <v>7197</v>
      </c>
      <c r="AI346" s="280">
        <f>AL346-AK346</f>
        <v>16924</v>
      </c>
      <c r="AJ346" s="281">
        <v>14359</v>
      </c>
      <c r="AK346" s="281">
        <v>21556</v>
      </c>
      <c r="AL346" s="282">
        <v>38480</v>
      </c>
      <c r="AM346" s="281">
        <v>-8748</v>
      </c>
      <c r="AN346" s="281">
        <f t="shared" si="1848"/>
        <v>-8749</v>
      </c>
      <c r="AO346" s="281">
        <f t="shared" si="1849"/>
        <v>-8749</v>
      </c>
      <c r="AP346" s="281">
        <f t="shared" si="1849"/>
        <v>-9163</v>
      </c>
      <c r="AQ346" s="281">
        <v>-17497</v>
      </c>
      <c r="AR346" s="281">
        <v>-26246</v>
      </c>
      <c r="AS346" s="282">
        <v>-35409</v>
      </c>
      <c r="AT346" s="281">
        <v>-8126</v>
      </c>
      <c r="AU346" s="302">
        <f t="shared" ref="AU346:AU354" si="2134">AX346-AT346</f>
        <v>-8125</v>
      </c>
      <c r="AV346" s="281">
        <f t="shared" ref="AV346:AW347" si="2135">AY346-AX346</f>
        <v>-8126</v>
      </c>
      <c r="AW346" s="281">
        <f t="shared" si="2135"/>
        <v>-8126</v>
      </c>
      <c r="AX346" s="281">
        <v>-16251</v>
      </c>
      <c r="AY346" s="281">
        <v>-24377</v>
      </c>
      <c r="AZ346" s="281">
        <v>-32503</v>
      </c>
      <c r="BA346" s="281">
        <v>0</v>
      </c>
      <c r="BB346" s="281">
        <f t="shared" si="2132"/>
        <v>0</v>
      </c>
      <c r="BC346" s="281">
        <f t="shared" ref="BC346:BC347" si="2136">BF346-BE346</f>
        <v>0</v>
      </c>
      <c r="BD346" s="281">
        <f t="shared" si="2133"/>
        <v>0</v>
      </c>
      <c r="BE346" s="281">
        <v>0</v>
      </c>
      <c r="BF346" s="281">
        <v>0</v>
      </c>
      <c r="BG346" s="281">
        <v>0</v>
      </c>
      <c r="BH346" s="281">
        <v>0</v>
      </c>
      <c r="BI346" s="281">
        <f t="shared" ref="BI346:BI347" si="2137">BL346-BH346</f>
        <v>0</v>
      </c>
      <c r="BJ346" s="281">
        <f t="shared" ref="BJ346:BJ347" si="2138">BM346-BL346</f>
        <v>0</v>
      </c>
      <c r="BK346" s="281">
        <f t="shared" ref="BK346:BK347" si="2139">BN346-BM346</f>
        <v>0</v>
      </c>
      <c r="BL346" s="281">
        <v>0</v>
      </c>
      <c r="BM346" s="281">
        <v>0</v>
      </c>
      <c r="BN346" s="281">
        <v>0</v>
      </c>
      <c r="BO346" s="281">
        <v>0</v>
      </c>
      <c r="BP346" s="281">
        <f t="shared" ref="BP346:BP347" si="2140">BS346-BO346</f>
        <v>0</v>
      </c>
      <c r="BQ346" s="281">
        <f t="shared" ref="BQ346:BQ347" si="2141">BT346-BS346</f>
        <v>0</v>
      </c>
      <c r="BR346" s="281">
        <f t="shared" ref="BR346:BR347" si="2142">BU346-BT346</f>
        <v>0</v>
      </c>
      <c r="BS346" s="281">
        <v>0</v>
      </c>
      <c r="BT346" s="281">
        <v>0</v>
      </c>
      <c r="BU346" s="281">
        <v>0</v>
      </c>
      <c r="BV346" s="281">
        <v>0</v>
      </c>
      <c r="BW346" s="737">
        <f t="shared" ref="BW346:BW347" si="2143">BZ346-BV346</f>
        <v>0</v>
      </c>
      <c r="BX346" s="737"/>
      <c r="BY346" s="737"/>
      <c r="BZ346" s="737"/>
      <c r="CA346" s="737"/>
      <c r="CB346" s="737"/>
      <c r="CC346" s="737"/>
      <c r="CD346" s="737"/>
      <c r="CE346" s="737"/>
      <c r="CF346" s="737"/>
      <c r="CG346" s="737"/>
      <c r="CH346" s="737"/>
      <c r="CI346" s="737"/>
      <c r="CJ346" s="737"/>
      <c r="CK346" s="737"/>
      <c r="CL346" s="737"/>
      <c r="CM346" s="737"/>
      <c r="CN346" s="737"/>
      <c r="CO346" s="737"/>
    </row>
    <row r="347" spans="1:93" s="289" customFormat="1" x14ac:dyDescent="0.25">
      <c r="A347" s="455" t="str">
        <f>Language!C272</f>
        <v>Transbrasiliana</v>
      </c>
      <c r="B347" s="280">
        <v>0</v>
      </c>
      <c r="C347" s="280">
        <v>0</v>
      </c>
      <c r="D347" s="280">
        <v>0</v>
      </c>
      <c r="E347" s="280">
        <v>0</v>
      </c>
      <c r="F347" s="279">
        <v>0</v>
      </c>
      <c r="G347" s="280">
        <v>0</v>
      </c>
      <c r="H347" s="280">
        <v>0</v>
      </c>
      <c r="I347" s="280">
        <v>0</v>
      </c>
      <c r="J347" s="279">
        <v>0</v>
      </c>
      <c r="K347" s="280">
        <v>0</v>
      </c>
      <c r="L347" s="280">
        <v>0</v>
      </c>
      <c r="M347" s="280">
        <v>0</v>
      </c>
      <c r="N347" s="279">
        <v>0</v>
      </c>
      <c r="O347" s="280">
        <v>0</v>
      </c>
      <c r="P347" s="280">
        <v>0</v>
      </c>
      <c r="Q347" s="280">
        <v>0</v>
      </c>
      <c r="R347" s="279">
        <v>0</v>
      </c>
      <c r="S347" s="280">
        <v>0</v>
      </c>
      <c r="T347" s="280">
        <v>0</v>
      </c>
      <c r="U347" s="280">
        <f>X347-W347</f>
        <v>3266</v>
      </c>
      <c r="V347" s="280">
        <f t="shared" si="2068"/>
        <v>0</v>
      </c>
      <c r="W347" s="281">
        <v>0</v>
      </c>
      <c r="X347" s="282">
        <v>3266</v>
      </c>
      <c r="Y347" s="283">
        <v>1140</v>
      </c>
      <c r="Z347" s="281">
        <f t="shared" si="2129"/>
        <v>1140</v>
      </c>
      <c r="AA347" s="280">
        <f t="shared" si="2130"/>
        <v>1140</v>
      </c>
      <c r="AB347" s="280">
        <f>AE347-AD347</f>
        <v>-8437</v>
      </c>
      <c r="AC347" s="281">
        <v>2280</v>
      </c>
      <c r="AD347" s="281">
        <v>3420</v>
      </c>
      <c r="AE347" s="282">
        <v>-5017</v>
      </c>
      <c r="AF347" s="281">
        <v>30</v>
      </c>
      <c r="AG347" s="281">
        <f>AJ347-AF347</f>
        <v>27</v>
      </c>
      <c r="AH347" s="280">
        <f t="shared" si="2131"/>
        <v>43</v>
      </c>
      <c r="AI347" s="280">
        <f>AL347-AK347</f>
        <v>42</v>
      </c>
      <c r="AJ347" s="281">
        <v>57</v>
      </c>
      <c r="AK347" s="281">
        <v>100</v>
      </c>
      <c r="AL347" s="282">
        <v>142</v>
      </c>
      <c r="AM347" s="281">
        <v>-123</v>
      </c>
      <c r="AN347" s="281">
        <f t="shared" si="1848"/>
        <v>-9953</v>
      </c>
      <c r="AO347" s="281">
        <f t="shared" si="1849"/>
        <v>9707</v>
      </c>
      <c r="AP347" s="281">
        <f t="shared" si="1849"/>
        <v>-123</v>
      </c>
      <c r="AQ347" s="281">
        <v>-10076</v>
      </c>
      <c r="AR347" s="281">
        <v>-369</v>
      </c>
      <c r="AS347" s="282">
        <v>-492</v>
      </c>
      <c r="AT347" s="281">
        <v>-237</v>
      </c>
      <c r="AU347" s="302">
        <f t="shared" si="2134"/>
        <v>-237</v>
      </c>
      <c r="AV347" s="281">
        <f t="shared" si="2135"/>
        <v>-236</v>
      </c>
      <c r="AW347" s="281">
        <f t="shared" si="2135"/>
        <v>-475</v>
      </c>
      <c r="AX347" s="281">
        <v>-474</v>
      </c>
      <c r="AY347" s="281">
        <v>-710</v>
      </c>
      <c r="AZ347" s="281">
        <v>-1185</v>
      </c>
      <c r="BA347" s="281">
        <v>-324</v>
      </c>
      <c r="BB347" s="281">
        <f t="shared" si="2132"/>
        <v>-647</v>
      </c>
      <c r="BC347" s="281">
        <f t="shared" si="2136"/>
        <v>-324</v>
      </c>
      <c r="BD347" s="281">
        <f t="shared" si="2133"/>
        <v>340</v>
      </c>
      <c r="BE347" s="281">
        <v>-647</v>
      </c>
      <c r="BF347" s="281">
        <v>-971</v>
      </c>
      <c r="BG347" s="281">
        <v>-631</v>
      </c>
      <c r="BH347" s="281">
        <v>-354</v>
      </c>
      <c r="BI347" s="281">
        <f t="shared" si="2137"/>
        <v>-354</v>
      </c>
      <c r="BJ347" s="281">
        <f t="shared" si="2138"/>
        <v>-355</v>
      </c>
      <c r="BK347" s="281">
        <f t="shared" si="2139"/>
        <v>-354</v>
      </c>
      <c r="BL347" s="281">
        <v>-708</v>
      </c>
      <c r="BM347" s="281">
        <v>-1063</v>
      </c>
      <c r="BN347" s="281">
        <v>-1417</v>
      </c>
      <c r="BO347" s="281">
        <v>-210</v>
      </c>
      <c r="BP347" s="281">
        <f t="shared" si="2140"/>
        <v>-210</v>
      </c>
      <c r="BQ347" s="281">
        <f t="shared" si="2141"/>
        <v>-210</v>
      </c>
      <c r="BR347" s="281">
        <f t="shared" si="2142"/>
        <v>-210</v>
      </c>
      <c r="BS347" s="281">
        <v>-420</v>
      </c>
      <c r="BT347" s="281">
        <v>-630</v>
      </c>
      <c r="BU347" s="281">
        <v>-840</v>
      </c>
      <c r="BV347" s="281">
        <v>-170</v>
      </c>
      <c r="BW347" s="281">
        <f t="shared" si="2143"/>
        <v>-169</v>
      </c>
      <c r="BX347" s="281">
        <f>CA347-BZ347</f>
        <v>-170</v>
      </c>
      <c r="BY347" s="281">
        <f>CB347-CA347</f>
        <v>-169</v>
      </c>
      <c r="BZ347" s="281">
        <v>-339</v>
      </c>
      <c r="CA347" s="281">
        <v>-509</v>
      </c>
      <c r="CB347" s="281">
        <v>-678</v>
      </c>
      <c r="CC347" s="281">
        <v>-89</v>
      </c>
      <c r="CD347" s="281">
        <f>CG347-CC347</f>
        <v>2211</v>
      </c>
      <c r="CE347" s="281">
        <f>CH347-CG347</f>
        <v>-114</v>
      </c>
      <c r="CF347" s="281"/>
      <c r="CG347" s="281">
        <v>2122</v>
      </c>
      <c r="CH347" s="281">
        <v>2008</v>
      </c>
      <c r="CI347" s="281">
        <v>1750</v>
      </c>
      <c r="CJ347" s="281">
        <v>-24</v>
      </c>
      <c r="CK347" s="281">
        <f>CN347-CJ347</f>
        <v>-25</v>
      </c>
      <c r="CL347" s="281"/>
      <c r="CM347" s="281"/>
      <c r="CN347" s="281">
        <v>-49</v>
      </c>
      <c r="CO347" s="281"/>
    </row>
    <row r="348" spans="1:93" s="289" customFormat="1" ht="13" x14ac:dyDescent="0.3">
      <c r="A348" s="525" t="str">
        <f>Language!C273</f>
        <v>Despesas Não Recorrentes</v>
      </c>
      <c r="B348" s="526">
        <f t="shared" ref="B348:N348" si="2144">SUM(B349,B350,B351,B352,B353)</f>
        <v>-165</v>
      </c>
      <c r="C348" s="526">
        <f t="shared" si="2144"/>
        <v>-205</v>
      </c>
      <c r="D348" s="526">
        <f t="shared" si="2144"/>
        <v>-29</v>
      </c>
      <c r="E348" s="526">
        <f t="shared" si="2144"/>
        <v>-19</v>
      </c>
      <c r="F348" s="527">
        <f t="shared" si="2144"/>
        <v>-29</v>
      </c>
      <c r="G348" s="526">
        <f t="shared" si="2144"/>
        <v>-93</v>
      </c>
      <c r="H348" s="526">
        <f t="shared" si="2144"/>
        <v>-13</v>
      </c>
      <c r="I348" s="526">
        <f t="shared" si="2144"/>
        <v>4</v>
      </c>
      <c r="J348" s="527">
        <f t="shared" si="2144"/>
        <v>0</v>
      </c>
      <c r="K348" s="526">
        <f t="shared" si="2144"/>
        <v>-10</v>
      </c>
      <c r="L348" s="526">
        <f t="shared" si="2144"/>
        <v>-2</v>
      </c>
      <c r="M348" s="526">
        <f t="shared" si="2144"/>
        <v>0</v>
      </c>
      <c r="N348" s="527">
        <f t="shared" si="2144"/>
        <v>-24</v>
      </c>
      <c r="O348" s="526">
        <f>SUM(O349,O350,O351,O352,O353)</f>
        <v>0</v>
      </c>
      <c r="P348" s="526">
        <f t="shared" ref="P348:R348" si="2145">SUM(P349,P350,P351,P352,P353)</f>
        <v>-17</v>
      </c>
      <c r="Q348" s="526">
        <f t="shared" si="2145"/>
        <v>0</v>
      </c>
      <c r="R348" s="527">
        <f t="shared" si="2145"/>
        <v>5967</v>
      </c>
      <c r="S348" s="526">
        <f t="shared" ref="S348:W348" si="2146">SUM(S349,S350,S351,S352,S353)</f>
        <v>-57</v>
      </c>
      <c r="T348" s="526">
        <f t="shared" ref="T348:V348" si="2147">SUM(T349,T350,T351,T352,T353)</f>
        <v>864</v>
      </c>
      <c r="U348" s="526">
        <f t="shared" si="2147"/>
        <v>2442</v>
      </c>
      <c r="V348" s="526">
        <f t="shared" si="2147"/>
        <v>5910</v>
      </c>
      <c r="W348" s="528">
        <f t="shared" si="2146"/>
        <v>6774</v>
      </c>
      <c r="X348" s="529">
        <f t="shared" ref="X348" si="2148">SUM(X349,X350,X351,X352,X353)</f>
        <v>9216</v>
      </c>
      <c r="Y348" s="530">
        <f>SUM(Y349,Y350,Y351,Y352,Y353)</f>
        <v>-92</v>
      </c>
      <c r="Z348" s="528">
        <f t="shared" ref="Z348:AC348" si="2149">SUM(Z349,Z350,Z351,Z352,Z353)</f>
        <v>0</v>
      </c>
      <c r="AA348" s="526">
        <f t="shared" si="2149"/>
        <v>2604</v>
      </c>
      <c r="AB348" s="526">
        <f t="shared" si="2149"/>
        <v>1184</v>
      </c>
      <c r="AC348" s="528">
        <f t="shared" si="2149"/>
        <v>-92</v>
      </c>
      <c r="AD348" s="528">
        <f t="shared" ref="AD348:AE348" si="2150">SUM(AD349,AD350,AD351,AD352,AD353)</f>
        <v>2512</v>
      </c>
      <c r="AE348" s="529">
        <f t="shared" si="2150"/>
        <v>3696</v>
      </c>
      <c r="AF348" s="528">
        <f t="shared" ref="AF348:AJ348" si="2151">SUM(AF349,AF350,AF351,AF352,AF353)</f>
        <v>21</v>
      </c>
      <c r="AG348" s="528">
        <f t="shared" si="2151"/>
        <v>15927</v>
      </c>
      <c r="AH348" s="526">
        <f t="shared" si="2151"/>
        <v>11607</v>
      </c>
      <c r="AI348" s="526">
        <f t="shared" si="2151"/>
        <v>108129</v>
      </c>
      <c r="AJ348" s="528">
        <f t="shared" si="2151"/>
        <v>15948</v>
      </c>
      <c r="AK348" s="528">
        <f>SUM(AK349,AK350,AK351,AK352,AK353)</f>
        <v>27555</v>
      </c>
      <c r="AL348" s="529">
        <f t="shared" ref="AL348:AQ348" si="2152">SUM(AL349,AL350,AL351,AL352,AL353)</f>
        <v>135684</v>
      </c>
      <c r="AM348" s="528">
        <f t="shared" si="2152"/>
        <v>-14971</v>
      </c>
      <c r="AN348" s="528">
        <f t="shared" si="1848"/>
        <v>7445</v>
      </c>
      <c r="AO348" s="528">
        <f t="shared" si="1849"/>
        <v>-3369</v>
      </c>
      <c r="AP348" s="528">
        <f t="shared" si="1849"/>
        <v>-156389</v>
      </c>
      <c r="AQ348" s="528">
        <f t="shared" si="2152"/>
        <v>-7526</v>
      </c>
      <c r="AR348" s="528">
        <f t="shared" ref="AR348:AS348" si="2153">SUM(AR349,AR350,AR351,AR352,AR353)</f>
        <v>-10895</v>
      </c>
      <c r="AS348" s="529">
        <f t="shared" si="2153"/>
        <v>-167284</v>
      </c>
      <c r="AT348" s="528">
        <f t="shared" ref="AT348" si="2154">SUM(AT349,AT350,AT351,AT352,AT353)</f>
        <v>-1126.6007602399986</v>
      </c>
      <c r="AU348" s="528">
        <f>SUM(AU349,AU350,AU351,AU352,AU353,AU354)</f>
        <v>-1876.7670729280012</v>
      </c>
      <c r="AV348" s="528">
        <f>SUM(AV349,AV350,AV351,AV352,AV353,AV354)</f>
        <v>-12439.7099</v>
      </c>
      <c r="AW348" s="528">
        <f>SUM(AW349,AW350,AW351,AW352,AW353,AW354)</f>
        <v>22603.5504</v>
      </c>
      <c r="AX348" s="528">
        <f>SUM(AX349,AX350,AX351,AX352,AX353,AX354)</f>
        <v>-3003.3678331679998</v>
      </c>
      <c r="AY348" s="528">
        <f>SUM(AY349,AY350,AY351,AY352,AY353)+AY354</f>
        <v>-15443.077733168</v>
      </c>
      <c r="AZ348" s="528">
        <f t="shared" ref="AZ348" si="2155">SUM(AZ349,AZ350,AZ351,AZ352,AZ353)</f>
        <v>7160.472666832</v>
      </c>
      <c r="BA348" s="528">
        <f t="shared" ref="BA348" si="2156">SUM(BA349,BA350,BA351,BA352,BA353)</f>
        <v>-356</v>
      </c>
      <c r="BB348" s="528">
        <f>SUM(BB349,BB350,BB351,BB352,BB353,BB354)</f>
        <v>-2667</v>
      </c>
      <c r="BC348" s="528">
        <f>SUM(BC349,BC350,BC351,BC352,BC353,BC354)</f>
        <v>-15342</v>
      </c>
      <c r="BD348" s="528">
        <f>SUM(BD349,BD350,BD351,BD352,BD353,BD354)</f>
        <v>213377</v>
      </c>
      <c r="BE348" s="528">
        <f t="shared" ref="BE348" si="2157">SUM(BE349,BE350,BE351,BE352,BE353)</f>
        <v>-3023</v>
      </c>
      <c r="BF348" s="528">
        <f t="shared" ref="BF348:BG348" si="2158">SUM(BF349,BF350,BF351,BF352,BF353)</f>
        <v>-18365</v>
      </c>
      <c r="BG348" s="528">
        <f t="shared" si="2158"/>
        <v>195012</v>
      </c>
      <c r="BH348" s="528">
        <f t="shared" ref="BH348:BL348" si="2159">SUM(BH349,BH350,BH351,BH352,BH353)</f>
        <v>-325</v>
      </c>
      <c r="BI348" s="528">
        <f>SUM(BI349,BI350,BI351,BI352,BI353,BI354)</f>
        <v>-463</v>
      </c>
      <c r="BJ348" s="528">
        <f t="shared" si="2159"/>
        <v>-110</v>
      </c>
      <c r="BK348" s="528">
        <f>SUM(BK349,BK350,BK351,BK352,BK353,BK354)</f>
        <v>10467</v>
      </c>
      <c r="BL348" s="528">
        <f t="shared" si="2159"/>
        <v>-788</v>
      </c>
      <c r="BM348" s="528">
        <f t="shared" ref="BM348:BN348" si="2160">SUM(BM349,BM350,BM351,BM352,BM353)</f>
        <v>-898</v>
      </c>
      <c r="BN348" s="528">
        <f t="shared" si="2160"/>
        <v>9569</v>
      </c>
      <c r="BO348" s="528">
        <f t="shared" ref="BO348:BS348" si="2161">SUM(BO349,BO350,BO351,BO352,BO353)</f>
        <v>-942</v>
      </c>
      <c r="BP348" s="528">
        <f>SUM(BP349,BP350,BP351,BP352,BP353,BP354)</f>
        <v>249</v>
      </c>
      <c r="BQ348" s="528">
        <f t="shared" si="2161"/>
        <v>2710</v>
      </c>
      <c r="BR348" s="528">
        <f t="shared" si="2161"/>
        <v>1404</v>
      </c>
      <c r="BS348" s="528">
        <f t="shared" si="2161"/>
        <v>-693</v>
      </c>
      <c r="BT348" s="528">
        <f t="shared" ref="BT348:BU348" si="2162">SUM(BT349,BT350,BT351,BT352,BT353)</f>
        <v>2017</v>
      </c>
      <c r="BU348" s="528">
        <f t="shared" si="2162"/>
        <v>3421</v>
      </c>
      <c r="BV348" s="528">
        <f t="shared" ref="BV348:BZ348" si="2163">SUM(BV349,BV350,BV351,BV352,BV353)</f>
        <v>-704</v>
      </c>
      <c r="BW348" s="528">
        <f t="shared" si="2163"/>
        <v>-342</v>
      </c>
      <c r="BX348" s="528">
        <f t="shared" si="2163"/>
        <v>-850</v>
      </c>
      <c r="BY348" s="528">
        <f t="shared" si="2163"/>
        <v>-2093</v>
      </c>
      <c r="BZ348" s="528">
        <f t="shared" si="2163"/>
        <v>-1046</v>
      </c>
      <c r="CA348" s="528">
        <f t="shared" ref="CA348:CB348" si="2164">SUM(CA349,CA350,CA351,CA352,CA353)</f>
        <v>-1896</v>
      </c>
      <c r="CB348" s="528">
        <f t="shared" si="2164"/>
        <v>-3989</v>
      </c>
      <c r="CC348" s="528">
        <f t="shared" ref="CC348:CD348" si="2165">SUM(CC349,CC350,CC351,CC352,CC353)</f>
        <v>145</v>
      </c>
      <c r="CD348" s="528">
        <f t="shared" si="2165"/>
        <v>451</v>
      </c>
      <c r="CE348" s="528">
        <f t="shared" ref="CE348:CG348" si="2166">SUM(CE349,CE350,CE351,CE352,CE353)</f>
        <v>-273</v>
      </c>
      <c r="CF348" s="528">
        <f t="shared" si="2166"/>
        <v>0</v>
      </c>
      <c r="CG348" s="528">
        <f t="shared" si="2166"/>
        <v>596</v>
      </c>
      <c r="CH348" s="528">
        <f t="shared" ref="CH348:CI348" si="2167">SUM(CH349,CH350,CH351,CH352,CH353)</f>
        <v>323</v>
      </c>
      <c r="CI348" s="528">
        <f t="shared" si="2167"/>
        <v>6134</v>
      </c>
      <c r="CJ348" s="528">
        <v>-5286</v>
      </c>
      <c r="CK348" s="528">
        <f t="shared" ref="CK348" si="2168">SUM(CK349,CK350,CK351,CK352,CK353)</f>
        <v>2177</v>
      </c>
      <c r="CL348" s="528">
        <f t="shared" ref="CL348:CO348" si="2169">SUM(CL349,CL350,CL351,CL352,CL353)</f>
        <v>0</v>
      </c>
      <c r="CM348" s="528">
        <f t="shared" si="2169"/>
        <v>0</v>
      </c>
      <c r="CN348" s="528">
        <f t="shared" si="2169"/>
        <v>-3109</v>
      </c>
      <c r="CO348" s="528">
        <f t="shared" si="2169"/>
        <v>0</v>
      </c>
    </row>
    <row r="349" spans="1:93" s="289" customFormat="1" x14ac:dyDescent="0.25">
      <c r="A349" s="455" t="str">
        <f>Language!C274</f>
        <v>Concepa</v>
      </c>
      <c r="B349" s="280">
        <v>-87</v>
      </c>
      <c r="C349" s="280">
        <v>-16</v>
      </c>
      <c r="D349" s="280">
        <v>137</v>
      </c>
      <c r="E349" s="280">
        <v>5</v>
      </c>
      <c r="F349" s="279">
        <v>0</v>
      </c>
      <c r="G349" s="280">
        <v>0</v>
      </c>
      <c r="H349" s="280">
        <v>0</v>
      </c>
      <c r="I349" s="280">
        <v>0</v>
      </c>
      <c r="J349" s="279">
        <v>0</v>
      </c>
      <c r="K349" s="280">
        <v>-10</v>
      </c>
      <c r="L349" s="280">
        <v>10</v>
      </c>
      <c r="M349" s="280">
        <v>0</v>
      </c>
      <c r="N349" s="279">
        <v>-24</v>
      </c>
      <c r="O349" s="280">
        <v>0</v>
      </c>
      <c r="P349" s="280">
        <v>0</v>
      </c>
      <c r="Q349" s="280">
        <v>0</v>
      </c>
      <c r="R349" s="279">
        <v>-29</v>
      </c>
      <c r="S349" s="280">
        <v>-49</v>
      </c>
      <c r="T349" s="280">
        <f t="shared" ref="T349:T353" si="2170">W349-S349-R349</f>
        <v>149</v>
      </c>
      <c r="U349" s="280">
        <f>X349-W349</f>
        <v>-9</v>
      </c>
      <c r="V349" s="280">
        <f t="shared" si="2068"/>
        <v>-78</v>
      </c>
      <c r="W349" s="281">
        <v>71</v>
      </c>
      <c r="X349" s="282">
        <v>62</v>
      </c>
      <c r="Y349" s="283">
        <v>0</v>
      </c>
      <c r="Z349" s="281">
        <f>AC349-Y349</f>
        <v>0</v>
      </c>
      <c r="AA349" s="280">
        <f t="shared" ref="AA349:AA353" si="2171">AD349-Z349-Y349</f>
        <v>0</v>
      </c>
      <c r="AB349" s="280">
        <f>AE349-AD349</f>
        <v>-112</v>
      </c>
      <c r="AC349" s="281">
        <v>0</v>
      </c>
      <c r="AD349" s="281">
        <v>0</v>
      </c>
      <c r="AE349" s="282">
        <v>-112</v>
      </c>
      <c r="AF349" s="281">
        <v>0</v>
      </c>
      <c r="AG349" s="281">
        <f>AJ349-AF349</f>
        <v>4261.5407194879699</v>
      </c>
      <c r="AH349" s="280">
        <f t="shared" ref="AH349:AH353" si="2172">AK349-AG349-AF349</f>
        <v>13586.45928051203</v>
      </c>
      <c r="AI349" s="280">
        <f>AL349-AK349</f>
        <v>108362</v>
      </c>
      <c r="AJ349" s="281">
        <v>4261.5407194879699</v>
      </c>
      <c r="AK349" s="281">
        <v>17848</v>
      </c>
      <c r="AL349" s="282">
        <v>126210</v>
      </c>
      <c r="AM349" s="281">
        <v>-14994</v>
      </c>
      <c r="AN349" s="281">
        <f t="shared" si="1848"/>
        <v>32236</v>
      </c>
      <c r="AO349" s="281">
        <f t="shared" si="1849"/>
        <v>-480.84583639031553</v>
      </c>
      <c r="AP349" s="281">
        <f t="shared" si="1849"/>
        <v>29371.639634061456</v>
      </c>
      <c r="AQ349" s="281">
        <v>17242</v>
      </c>
      <c r="AR349" s="281">
        <v>16761.154163609684</v>
      </c>
      <c r="AS349" s="282">
        <v>46132.79379767114</v>
      </c>
      <c r="AT349" s="281">
        <v>0</v>
      </c>
      <c r="AU349" s="302">
        <f t="shared" si="2134"/>
        <v>-11</v>
      </c>
      <c r="AV349" s="281">
        <f>AY349-AX349</f>
        <v>529</v>
      </c>
      <c r="AW349" s="281">
        <f>AZ349-AY349</f>
        <v>-518</v>
      </c>
      <c r="AX349" s="281">
        <v>-11</v>
      </c>
      <c r="AY349" s="281">
        <v>518</v>
      </c>
      <c r="AZ349" s="281">
        <v>0</v>
      </c>
      <c r="BA349" s="281">
        <v>0</v>
      </c>
      <c r="BB349" s="281">
        <f>BE349-BA349</f>
        <v>0</v>
      </c>
      <c r="BC349" s="281">
        <f>BF349-BE349</f>
        <v>0</v>
      </c>
      <c r="BD349" s="281">
        <f>BG349-BF349</f>
        <v>0</v>
      </c>
      <c r="BE349" s="281">
        <v>0</v>
      </c>
      <c r="BF349" s="281">
        <v>0</v>
      </c>
      <c r="BG349" s="281">
        <v>0</v>
      </c>
      <c r="BH349" s="281">
        <v>0</v>
      </c>
      <c r="BI349" s="281">
        <f>BL349-BH349</f>
        <v>0</v>
      </c>
      <c r="BJ349" s="281">
        <f>BM349-BL349</f>
        <v>0</v>
      </c>
      <c r="BK349" s="281">
        <f>BN349-BM349</f>
        <v>0</v>
      </c>
      <c r="BL349" s="281">
        <v>0</v>
      </c>
      <c r="BM349" s="281">
        <v>0</v>
      </c>
      <c r="BN349" s="281">
        <v>0</v>
      </c>
      <c r="BO349" s="281">
        <v>0</v>
      </c>
      <c r="BP349" s="281">
        <f>BS349-BO349</f>
        <v>0</v>
      </c>
      <c r="BQ349" s="281">
        <f>BT349-BS349</f>
        <v>0</v>
      </c>
      <c r="BR349" s="281">
        <f>BU349-BT349</f>
        <v>0</v>
      </c>
      <c r="BS349" s="281">
        <v>0</v>
      </c>
      <c r="BT349" s="281">
        <v>0</v>
      </c>
      <c r="BU349" s="281">
        <v>0</v>
      </c>
      <c r="BV349" s="281">
        <v>0</v>
      </c>
      <c r="BZ349" s="289">
        <v>0</v>
      </c>
    </row>
    <row r="350" spans="1:93" s="289" customFormat="1" x14ac:dyDescent="0.25">
      <c r="A350" s="455" t="str">
        <f>Language!C275</f>
        <v>Concer</v>
      </c>
      <c r="B350" s="280">
        <v>-78</v>
      </c>
      <c r="C350" s="280">
        <v>-189</v>
      </c>
      <c r="D350" s="280">
        <v>-166</v>
      </c>
      <c r="E350" s="280">
        <v>-24</v>
      </c>
      <c r="F350" s="279">
        <v>-29</v>
      </c>
      <c r="G350" s="280">
        <f>-88-5</f>
        <v>-93</v>
      </c>
      <c r="H350" s="280">
        <v>-13</v>
      </c>
      <c r="I350" s="280">
        <v>4</v>
      </c>
      <c r="J350" s="279">
        <v>0</v>
      </c>
      <c r="K350" s="280">
        <v>0</v>
      </c>
      <c r="L350" s="280">
        <v>0</v>
      </c>
      <c r="M350" s="280">
        <v>0</v>
      </c>
      <c r="N350" s="279">
        <v>0</v>
      </c>
      <c r="O350" s="280">
        <v>0</v>
      </c>
      <c r="P350" s="280">
        <v>-17</v>
      </c>
      <c r="Q350" s="280">
        <v>0</v>
      </c>
      <c r="R350" s="279">
        <v>-19</v>
      </c>
      <c r="S350" s="280">
        <v>-8</v>
      </c>
      <c r="T350" s="280">
        <f t="shared" si="2170"/>
        <v>0</v>
      </c>
      <c r="U350" s="280">
        <f>X350-W350</f>
        <v>0</v>
      </c>
      <c r="V350" s="280">
        <f t="shared" si="2068"/>
        <v>-27</v>
      </c>
      <c r="W350" s="281">
        <v>-27</v>
      </c>
      <c r="X350" s="282">
        <v>-27</v>
      </c>
      <c r="Y350" s="283">
        <v>0</v>
      </c>
      <c r="Z350" s="281">
        <f>AC350-Y350</f>
        <v>0</v>
      </c>
      <c r="AA350" s="280">
        <f t="shared" si="2171"/>
        <v>0</v>
      </c>
      <c r="AB350" s="280">
        <f>AE350-AD350</f>
        <v>-508</v>
      </c>
      <c r="AC350" s="281">
        <v>0</v>
      </c>
      <c r="AD350" s="281">
        <v>0</v>
      </c>
      <c r="AE350" s="282">
        <v>-508</v>
      </c>
      <c r="AF350" s="281">
        <v>0</v>
      </c>
      <c r="AG350" s="281">
        <f>AJ350-AF350</f>
        <v>0</v>
      </c>
      <c r="AH350" s="280">
        <f t="shared" si="2172"/>
        <v>0</v>
      </c>
      <c r="AI350" s="280">
        <f>AL350-AK350</f>
        <v>0</v>
      </c>
      <c r="AJ350" s="281">
        <v>0</v>
      </c>
      <c r="AK350" s="281">
        <v>0</v>
      </c>
      <c r="AL350" s="282">
        <v>0</v>
      </c>
      <c r="AM350" s="281">
        <v>23</v>
      </c>
      <c r="AN350" s="281">
        <f t="shared" si="1848"/>
        <v>-24791</v>
      </c>
      <c r="AO350" s="281">
        <f t="shared" si="1849"/>
        <v>-2888.1541636096845</v>
      </c>
      <c r="AP350" s="281">
        <f t="shared" si="1849"/>
        <v>214.46650370963107</v>
      </c>
      <c r="AQ350" s="281">
        <v>-24768</v>
      </c>
      <c r="AR350" s="281">
        <v>-27656.154163609684</v>
      </c>
      <c r="AS350" s="282">
        <v>-27441.687659900053</v>
      </c>
      <c r="AT350" s="281">
        <v>-1126.6007602399986</v>
      </c>
      <c r="AU350" s="302">
        <f t="shared" si="2134"/>
        <v>-1876.7670729280012</v>
      </c>
      <c r="AV350" s="281">
        <f t="shared" ref="AV350:AV354" si="2173">AY350-AX350</f>
        <v>-5254.7098999999998</v>
      </c>
      <c r="AW350" s="281">
        <f t="shared" ref="AW350:AW354" si="2174">AZ350-AY350</f>
        <v>700.55040000000008</v>
      </c>
      <c r="AX350" s="281">
        <v>-3003.3678331679998</v>
      </c>
      <c r="AY350" s="281">
        <v>-8258.0777331680001</v>
      </c>
      <c r="AZ350" s="281">
        <v>-7557.527333168</v>
      </c>
      <c r="BA350" s="281">
        <v>-356</v>
      </c>
      <c r="BB350" s="281">
        <f t="shared" ref="BB350:BB354" si="2175">BE350-BA350</f>
        <v>2231</v>
      </c>
      <c r="BC350" s="281">
        <f t="shared" ref="BC350:BC354" si="2176">BF350-BE350</f>
        <v>-13892</v>
      </c>
      <c r="BD350" s="281">
        <f t="shared" ref="BD350:BD354" si="2177">BG350-BF350</f>
        <v>-9691</v>
      </c>
      <c r="BE350" s="281">
        <v>1875</v>
      </c>
      <c r="BF350" s="281">
        <v>-12017</v>
      </c>
      <c r="BG350" s="281">
        <v>-21708</v>
      </c>
      <c r="BH350" s="281">
        <v>-454</v>
      </c>
      <c r="BI350" s="281">
        <f t="shared" ref="BI350:BI354" si="2178">BL350-BH350</f>
        <v>-399</v>
      </c>
      <c r="BJ350" s="281">
        <f t="shared" ref="BJ350:BJ354" si="2179">BM350-BL350</f>
        <v>553</v>
      </c>
      <c r="BK350" s="281">
        <f t="shared" ref="BK350:BK354" si="2180">BN350-BM350</f>
        <v>341</v>
      </c>
      <c r="BL350" s="281">
        <v>-853</v>
      </c>
      <c r="BM350" s="281">
        <v>-300</v>
      </c>
      <c r="BN350" s="281">
        <v>41</v>
      </c>
      <c r="BO350" s="281">
        <v>-807</v>
      </c>
      <c r="BP350" s="281">
        <f t="shared" ref="BP350:BP354" si="2181">BS350-BO350</f>
        <v>578</v>
      </c>
      <c r="BQ350" s="281">
        <f t="shared" ref="BQ350:BQ354" si="2182">BT350-BS350</f>
        <v>-2038</v>
      </c>
      <c r="BR350" s="281">
        <f t="shared" ref="BR350:BR354" si="2183">BU350-BT350</f>
        <v>1492</v>
      </c>
      <c r="BS350" s="281">
        <v>-229</v>
      </c>
      <c r="BT350" s="281">
        <v>-2267</v>
      </c>
      <c r="BU350" s="281">
        <v>-775</v>
      </c>
      <c r="BV350" s="281">
        <v>-318</v>
      </c>
      <c r="BW350" s="289">
        <f>BZ350-BV350</f>
        <v>-236</v>
      </c>
      <c r="BX350" s="289">
        <f>CA350-BZ350</f>
        <v>10</v>
      </c>
      <c r="BY350" s="289">
        <f>CB350-CA350</f>
        <v>-3038</v>
      </c>
      <c r="BZ350" s="281">
        <v>-554</v>
      </c>
      <c r="CA350" s="281">
        <v>-544</v>
      </c>
      <c r="CB350" s="281">
        <v>-3582</v>
      </c>
      <c r="CC350" s="281">
        <v>125</v>
      </c>
      <c r="CD350" s="281">
        <f>CG350-CC350</f>
        <v>0</v>
      </c>
      <c r="CE350" s="281">
        <f>CH350-CG350</f>
        <v>-141</v>
      </c>
      <c r="CF350" s="281"/>
      <c r="CG350" s="281">
        <v>125</v>
      </c>
      <c r="CH350" s="281">
        <v>-16</v>
      </c>
      <c r="CI350" s="281">
        <v>5680</v>
      </c>
      <c r="CJ350" s="281">
        <v>-4779</v>
      </c>
      <c r="CK350" s="281">
        <f>CN350-CJ350</f>
        <v>1885</v>
      </c>
      <c r="CL350" s="281"/>
      <c r="CM350" s="281"/>
      <c r="CN350" s="281">
        <v>-2894</v>
      </c>
      <c r="CO350" s="281"/>
    </row>
    <row r="351" spans="1:93" s="289" customFormat="1" x14ac:dyDescent="0.25">
      <c r="A351" s="455" t="str">
        <f>Language!C276</f>
        <v>Econorte</v>
      </c>
      <c r="B351" s="280">
        <v>0</v>
      </c>
      <c r="C351" s="280">
        <v>0</v>
      </c>
      <c r="D351" s="280">
        <v>0</v>
      </c>
      <c r="E351" s="280">
        <v>0</v>
      </c>
      <c r="F351" s="279">
        <v>0</v>
      </c>
      <c r="G351" s="280">
        <v>0</v>
      </c>
      <c r="H351" s="280">
        <v>0</v>
      </c>
      <c r="I351" s="280">
        <v>0</v>
      </c>
      <c r="J351" s="279">
        <v>0</v>
      </c>
      <c r="K351" s="280">
        <v>0</v>
      </c>
      <c r="L351" s="280">
        <v>-12</v>
      </c>
      <c r="M351" s="280">
        <v>0</v>
      </c>
      <c r="N351" s="279">
        <v>0</v>
      </c>
      <c r="O351" s="280">
        <v>0</v>
      </c>
      <c r="P351" s="280">
        <v>0</v>
      </c>
      <c r="Q351" s="280">
        <v>0</v>
      </c>
      <c r="R351" s="279">
        <v>0</v>
      </c>
      <c r="S351" s="280">
        <v>0</v>
      </c>
      <c r="T351" s="280">
        <f t="shared" si="2170"/>
        <v>-20</v>
      </c>
      <c r="U351" s="280">
        <f>X351-W351</f>
        <v>0</v>
      </c>
      <c r="V351" s="280">
        <f t="shared" si="2068"/>
        <v>0</v>
      </c>
      <c r="W351" s="281">
        <v>-20</v>
      </c>
      <c r="X351" s="282">
        <v>-20</v>
      </c>
      <c r="Y351" s="283">
        <v>0</v>
      </c>
      <c r="Z351" s="281">
        <f>AC351-Y351</f>
        <v>0</v>
      </c>
      <c r="AA351" s="280">
        <f t="shared" si="2171"/>
        <v>0</v>
      </c>
      <c r="AB351" s="280">
        <f>AE351-AD351</f>
        <v>0</v>
      </c>
      <c r="AC351" s="281">
        <v>0</v>
      </c>
      <c r="AD351" s="281">
        <v>0</v>
      </c>
      <c r="AE351" s="282">
        <v>0</v>
      </c>
      <c r="AF351" s="281">
        <v>0</v>
      </c>
      <c r="AG351" s="281">
        <f>AJ351-AF351</f>
        <v>0</v>
      </c>
      <c r="AH351" s="280">
        <f t="shared" si="2172"/>
        <v>-54</v>
      </c>
      <c r="AI351" s="280">
        <f>AL351-AK351</f>
        <v>-233</v>
      </c>
      <c r="AJ351" s="281">
        <v>0</v>
      </c>
      <c r="AK351" s="281">
        <v>-54</v>
      </c>
      <c r="AL351" s="282">
        <v>-287</v>
      </c>
      <c r="AM351" s="281">
        <v>0</v>
      </c>
      <c r="AN351" s="281">
        <f t="shared" si="1848"/>
        <v>0</v>
      </c>
      <c r="AO351" s="281">
        <f t="shared" si="1849"/>
        <v>0</v>
      </c>
      <c r="AP351" s="281">
        <f t="shared" si="1849"/>
        <v>-185975.10613777107</v>
      </c>
      <c r="AQ351" s="281">
        <v>0</v>
      </c>
      <c r="AR351" s="281"/>
      <c r="AS351" s="282">
        <v>-185975.10613777107</v>
      </c>
      <c r="AT351" s="281">
        <v>0</v>
      </c>
      <c r="AU351" s="302">
        <f t="shared" si="2134"/>
        <v>0</v>
      </c>
      <c r="AV351" s="281">
        <f t="shared" si="2173"/>
        <v>1262</v>
      </c>
      <c r="AW351" s="281">
        <f t="shared" si="2174"/>
        <v>13456</v>
      </c>
      <c r="AX351" s="281">
        <v>0</v>
      </c>
      <c r="AY351" s="281">
        <v>1262</v>
      </c>
      <c r="AZ351" s="281">
        <v>14718</v>
      </c>
      <c r="BA351" s="281">
        <v>0</v>
      </c>
      <c r="BB351" s="281">
        <f t="shared" si="2175"/>
        <v>-310</v>
      </c>
      <c r="BC351" s="281">
        <f t="shared" si="2176"/>
        <v>79</v>
      </c>
      <c r="BD351" s="281">
        <f t="shared" si="2177"/>
        <v>2674</v>
      </c>
      <c r="BE351" s="281">
        <v>-310</v>
      </c>
      <c r="BF351" s="281">
        <v>-231</v>
      </c>
      <c r="BG351" s="281">
        <v>2443</v>
      </c>
      <c r="BH351" s="281">
        <v>-114</v>
      </c>
      <c r="BI351" s="281">
        <f t="shared" si="2178"/>
        <v>58</v>
      </c>
      <c r="BJ351" s="281">
        <f t="shared" si="2179"/>
        <v>76</v>
      </c>
      <c r="BK351" s="281">
        <f t="shared" si="2180"/>
        <v>10056</v>
      </c>
      <c r="BL351" s="281">
        <v>-56</v>
      </c>
      <c r="BM351" s="281">
        <v>20</v>
      </c>
      <c r="BN351" s="281">
        <v>10076</v>
      </c>
      <c r="BO351" s="281">
        <v>64</v>
      </c>
      <c r="BP351" s="281">
        <f t="shared" si="2181"/>
        <v>-64</v>
      </c>
      <c r="BQ351" s="281">
        <f t="shared" si="2182"/>
        <v>144</v>
      </c>
      <c r="BR351" s="281">
        <f t="shared" si="2183"/>
        <v>48</v>
      </c>
      <c r="BS351" s="281">
        <v>0</v>
      </c>
      <c r="BT351" s="281">
        <v>144</v>
      </c>
      <c r="BU351" s="281">
        <v>192</v>
      </c>
      <c r="BV351" s="281">
        <v>0</v>
      </c>
      <c r="BW351" s="289">
        <f t="shared" ref="BW351:BW353" si="2184">BZ351-BV351</f>
        <v>0</v>
      </c>
      <c r="BX351" s="281">
        <v>0</v>
      </c>
      <c r="BY351" s="289">
        <f t="shared" ref="BY351:BY353" si="2185">CB351-CA351</f>
        <v>0</v>
      </c>
      <c r="BZ351" s="281">
        <v>0</v>
      </c>
      <c r="CA351" s="281">
        <v>0</v>
      </c>
      <c r="CB351" s="281">
        <v>0</v>
      </c>
      <c r="CC351" s="281">
        <v>0</v>
      </c>
      <c r="CD351" s="281">
        <v>0</v>
      </c>
      <c r="CE351" s="281">
        <f t="shared" ref="CE351:CE353" si="2186">CH351-CG351</f>
        <v>0</v>
      </c>
      <c r="CF351" s="281">
        <v>0</v>
      </c>
      <c r="CG351" s="281">
        <v>0</v>
      </c>
      <c r="CH351" s="281">
        <v>0</v>
      </c>
      <c r="CI351" s="281">
        <v>0</v>
      </c>
      <c r="CJ351" s="281">
        <v>0</v>
      </c>
      <c r="CK351" s="281">
        <f t="shared" ref="CK351:CK353" si="2187">CN351-CJ351</f>
        <v>0</v>
      </c>
      <c r="CL351" s="281"/>
      <c r="CM351" s="281"/>
      <c r="CN351" s="281">
        <v>0</v>
      </c>
      <c r="CO351" s="281"/>
    </row>
    <row r="352" spans="1:93" s="289" customFormat="1" x14ac:dyDescent="0.25">
      <c r="A352" s="455" t="str">
        <f>Language!C277</f>
        <v>Concebra</v>
      </c>
      <c r="B352" s="280">
        <v>0</v>
      </c>
      <c r="C352" s="280">
        <v>0</v>
      </c>
      <c r="D352" s="280">
        <v>0</v>
      </c>
      <c r="E352" s="280">
        <v>0</v>
      </c>
      <c r="F352" s="279">
        <v>0</v>
      </c>
      <c r="G352" s="280">
        <v>0</v>
      </c>
      <c r="H352" s="280">
        <v>0</v>
      </c>
      <c r="I352" s="280">
        <v>0</v>
      </c>
      <c r="J352" s="279">
        <v>0</v>
      </c>
      <c r="K352" s="280">
        <v>0</v>
      </c>
      <c r="L352" s="280">
        <v>0</v>
      </c>
      <c r="M352" s="280">
        <v>0</v>
      </c>
      <c r="N352" s="279">
        <v>0</v>
      </c>
      <c r="O352" s="280">
        <v>0</v>
      </c>
      <c r="P352" s="280">
        <v>0</v>
      </c>
      <c r="Q352" s="280">
        <v>0</v>
      </c>
      <c r="R352" s="279">
        <v>6015</v>
      </c>
      <c r="S352" s="280">
        <v>0</v>
      </c>
      <c r="T352" s="280">
        <f t="shared" si="2170"/>
        <v>735</v>
      </c>
      <c r="U352" s="280">
        <f>X352-W352</f>
        <v>2491</v>
      </c>
      <c r="V352" s="280">
        <f t="shared" si="2068"/>
        <v>6015</v>
      </c>
      <c r="W352" s="281">
        <v>6750</v>
      </c>
      <c r="X352" s="282">
        <v>9241</v>
      </c>
      <c r="Y352" s="283">
        <v>-92</v>
      </c>
      <c r="Z352" s="281">
        <f>AC352-Y352</f>
        <v>0</v>
      </c>
      <c r="AA352" s="280">
        <f t="shared" si="2171"/>
        <v>0</v>
      </c>
      <c r="AB352" s="280">
        <f>AE352-AD352</f>
        <v>4408</v>
      </c>
      <c r="AC352" s="281">
        <v>-92</v>
      </c>
      <c r="AD352" s="281">
        <v>-92</v>
      </c>
      <c r="AE352" s="282">
        <v>4316</v>
      </c>
      <c r="AF352" s="281">
        <v>21</v>
      </c>
      <c r="AG352" s="281">
        <f>AJ352-AF352</f>
        <v>7403.9185610240602</v>
      </c>
      <c r="AH352" s="280">
        <f t="shared" si="2172"/>
        <v>2336.0814389759398</v>
      </c>
      <c r="AI352" s="280">
        <f>AL352-AK352</f>
        <v>0</v>
      </c>
      <c r="AJ352" s="281">
        <v>7424.9185610240602</v>
      </c>
      <c r="AK352" s="281">
        <v>9761</v>
      </c>
      <c r="AL352" s="282">
        <v>9761</v>
      </c>
      <c r="AM352" s="281">
        <v>0</v>
      </c>
      <c r="AN352" s="281">
        <f t="shared" si="1848"/>
        <v>0</v>
      </c>
      <c r="AO352" s="281">
        <f t="shared" si="1849"/>
        <v>0</v>
      </c>
      <c r="AP352" s="281">
        <f t="shared" si="1849"/>
        <v>0</v>
      </c>
      <c r="AQ352" s="281">
        <v>0</v>
      </c>
      <c r="AR352" s="281"/>
      <c r="AS352" s="282"/>
      <c r="AT352" s="281">
        <v>0</v>
      </c>
      <c r="AU352" s="302">
        <f t="shared" si="2134"/>
        <v>0</v>
      </c>
      <c r="AV352" s="281">
        <f t="shared" si="2173"/>
        <v>-6931</v>
      </c>
      <c r="AW352" s="281">
        <f t="shared" si="2174"/>
        <v>6931</v>
      </c>
      <c r="AX352" s="281">
        <v>0</v>
      </c>
      <c r="AY352" s="281">
        <v>-6931</v>
      </c>
      <c r="AZ352" s="281">
        <v>0</v>
      </c>
      <c r="BA352" s="281">
        <v>0</v>
      </c>
      <c r="BB352" s="281">
        <f t="shared" si="2175"/>
        <v>-4222</v>
      </c>
      <c r="BC352" s="281">
        <f t="shared" si="2176"/>
        <v>-2159</v>
      </c>
      <c r="BD352" s="281">
        <f t="shared" si="2177"/>
        <v>221117</v>
      </c>
      <c r="BE352" s="281">
        <v>-4222</v>
      </c>
      <c r="BF352" s="281">
        <v>-6381</v>
      </c>
      <c r="BG352" s="281">
        <v>214736</v>
      </c>
      <c r="BH352" s="281">
        <v>0</v>
      </c>
      <c r="BI352" s="281">
        <f t="shared" si="2178"/>
        <v>0</v>
      </c>
      <c r="BJ352" s="281">
        <f t="shared" si="2179"/>
        <v>0</v>
      </c>
      <c r="BK352" s="281">
        <f t="shared" si="2180"/>
        <v>0</v>
      </c>
      <c r="BL352" s="281">
        <v>0</v>
      </c>
      <c r="BM352" s="281">
        <v>0</v>
      </c>
      <c r="BN352" s="281">
        <v>0</v>
      </c>
      <c r="BO352" s="281">
        <v>0</v>
      </c>
      <c r="BP352" s="281">
        <f t="shared" si="2181"/>
        <v>0</v>
      </c>
      <c r="BQ352" s="281">
        <f t="shared" si="2182"/>
        <v>0</v>
      </c>
      <c r="BR352" s="281">
        <f t="shared" si="2183"/>
        <v>0</v>
      </c>
      <c r="BS352" s="281">
        <v>0</v>
      </c>
      <c r="BT352" s="281">
        <v>0</v>
      </c>
      <c r="BU352" s="281">
        <v>0</v>
      </c>
      <c r="BV352" s="281">
        <v>0</v>
      </c>
      <c r="BW352" s="289">
        <f t="shared" si="2184"/>
        <v>0</v>
      </c>
      <c r="BX352" s="281">
        <v>0</v>
      </c>
      <c r="BY352" s="289">
        <f t="shared" si="2185"/>
        <v>0</v>
      </c>
      <c r="BZ352" s="281">
        <v>0</v>
      </c>
      <c r="CA352" s="281">
        <v>0</v>
      </c>
      <c r="CB352" s="281">
        <v>0</v>
      </c>
      <c r="CC352" s="281">
        <v>0</v>
      </c>
      <c r="CD352" s="281">
        <v>0</v>
      </c>
      <c r="CE352" s="281">
        <f t="shared" si="2186"/>
        <v>0</v>
      </c>
      <c r="CF352" s="281">
        <v>0</v>
      </c>
      <c r="CG352" s="281">
        <v>0</v>
      </c>
      <c r="CH352" s="281">
        <v>0</v>
      </c>
      <c r="CI352" s="281">
        <v>0</v>
      </c>
      <c r="CJ352" s="281">
        <v>0</v>
      </c>
      <c r="CK352" s="281">
        <f t="shared" si="2187"/>
        <v>0</v>
      </c>
      <c r="CL352" s="281"/>
      <c r="CM352" s="281"/>
      <c r="CN352" s="281">
        <v>0</v>
      </c>
      <c r="CO352" s="281"/>
    </row>
    <row r="353" spans="1:93" s="289" customFormat="1" x14ac:dyDescent="0.25">
      <c r="A353" s="455" t="str">
        <f>Language!C278</f>
        <v>Transbrasiliana</v>
      </c>
      <c r="B353" s="280">
        <v>0</v>
      </c>
      <c r="C353" s="280">
        <v>0</v>
      </c>
      <c r="D353" s="280">
        <v>0</v>
      </c>
      <c r="E353" s="280">
        <v>0</v>
      </c>
      <c r="F353" s="279">
        <v>0</v>
      </c>
      <c r="G353" s="280">
        <v>0</v>
      </c>
      <c r="H353" s="280">
        <v>0</v>
      </c>
      <c r="I353" s="280">
        <v>0</v>
      </c>
      <c r="J353" s="279">
        <v>0</v>
      </c>
      <c r="K353" s="280">
        <v>0</v>
      </c>
      <c r="L353" s="280">
        <v>0</v>
      </c>
      <c r="M353" s="280">
        <v>0</v>
      </c>
      <c r="N353" s="279">
        <v>0</v>
      </c>
      <c r="O353" s="280">
        <v>0</v>
      </c>
      <c r="P353" s="280">
        <v>0</v>
      </c>
      <c r="Q353" s="280">
        <v>0</v>
      </c>
      <c r="R353" s="279">
        <v>0</v>
      </c>
      <c r="S353" s="280">
        <v>0</v>
      </c>
      <c r="T353" s="280">
        <f t="shared" si="2170"/>
        <v>0</v>
      </c>
      <c r="U353" s="280">
        <f>X353-W353</f>
        <v>-40</v>
      </c>
      <c r="V353" s="280">
        <f t="shared" si="2068"/>
        <v>0</v>
      </c>
      <c r="W353" s="281">
        <v>0</v>
      </c>
      <c r="X353" s="282">
        <v>-40</v>
      </c>
      <c r="Y353" s="283">
        <v>0</v>
      </c>
      <c r="Z353" s="281">
        <f>AC353-Y353</f>
        <v>0</v>
      </c>
      <c r="AA353" s="280">
        <f t="shared" si="2171"/>
        <v>2604</v>
      </c>
      <c r="AB353" s="280">
        <f>AE353-AD353</f>
        <v>-2604</v>
      </c>
      <c r="AC353" s="281">
        <v>0</v>
      </c>
      <c r="AD353" s="281">
        <v>2604</v>
      </c>
      <c r="AE353" s="282">
        <v>0</v>
      </c>
      <c r="AF353" s="281">
        <v>0</v>
      </c>
      <c r="AG353" s="281">
        <f>AJ353-AF353</f>
        <v>4261.5407194879699</v>
      </c>
      <c r="AH353" s="280">
        <f t="shared" si="2172"/>
        <v>-4261.5407194879699</v>
      </c>
      <c r="AI353" s="280">
        <f>AL353-AK353</f>
        <v>0</v>
      </c>
      <c r="AJ353" s="281">
        <v>4261.5407194879699</v>
      </c>
      <c r="AK353" s="281">
        <v>0</v>
      </c>
      <c r="AL353" s="282">
        <v>0</v>
      </c>
      <c r="AM353" s="281">
        <v>0</v>
      </c>
      <c r="AN353" s="281">
        <f t="shared" si="1848"/>
        <v>0</v>
      </c>
      <c r="AO353" s="281">
        <f t="shared" si="1849"/>
        <v>0</v>
      </c>
      <c r="AP353" s="281">
        <f t="shared" si="1849"/>
        <v>0</v>
      </c>
      <c r="AQ353" s="281">
        <v>0</v>
      </c>
      <c r="AR353" s="281"/>
      <c r="AS353" s="282"/>
      <c r="AT353" s="281">
        <v>0</v>
      </c>
      <c r="AU353" s="302">
        <f t="shared" si="2134"/>
        <v>0</v>
      </c>
      <c r="AV353" s="281">
        <f t="shared" si="2173"/>
        <v>-1516</v>
      </c>
      <c r="AW353" s="281">
        <f t="shared" si="2174"/>
        <v>1516</v>
      </c>
      <c r="AX353" s="281">
        <v>0</v>
      </c>
      <c r="AY353" s="281">
        <v>-1516</v>
      </c>
      <c r="AZ353" s="281">
        <v>0</v>
      </c>
      <c r="BA353" s="281">
        <v>0</v>
      </c>
      <c r="BB353" s="281">
        <f t="shared" si="2175"/>
        <v>-366</v>
      </c>
      <c r="BC353" s="281">
        <f t="shared" si="2176"/>
        <v>630</v>
      </c>
      <c r="BD353" s="281">
        <f t="shared" si="2177"/>
        <v>-723</v>
      </c>
      <c r="BE353" s="281">
        <v>-366</v>
      </c>
      <c r="BF353" s="281">
        <v>264</v>
      </c>
      <c r="BG353" s="281">
        <v>-459</v>
      </c>
      <c r="BH353" s="281">
        <v>243</v>
      </c>
      <c r="BI353" s="281">
        <f t="shared" si="2178"/>
        <v>-122</v>
      </c>
      <c r="BJ353" s="281">
        <f t="shared" si="2179"/>
        <v>-739</v>
      </c>
      <c r="BK353" s="281">
        <f t="shared" si="2180"/>
        <v>70</v>
      </c>
      <c r="BL353" s="281">
        <v>121</v>
      </c>
      <c r="BM353" s="281">
        <v>-618</v>
      </c>
      <c r="BN353" s="281">
        <v>-548</v>
      </c>
      <c r="BO353" s="281">
        <v>-199</v>
      </c>
      <c r="BP353" s="281">
        <f t="shared" si="2181"/>
        <v>-265</v>
      </c>
      <c r="BQ353" s="281">
        <f t="shared" si="2182"/>
        <v>4604</v>
      </c>
      <c r="BR353" s="281">
        <f t="shared" si="2183"/>
        <v>-136</v>
      </c>
      <c r="BS353" s="281">
        <v>-464</v>
      </c>
      <c r="BT353" s="281">
        <v>4140</v>
      </c>
      <c r="BU353" s="281">
        <v>4004</v>
      </c>
      <c r="BV353" s="281">
        <v>-386</v>
      </c>
      <c r="BW353" s="289">
        <f t="shared" si="2184"/>
        <v>-106</v>
      </c>
      <c r="BX353" s="289">
        <f>CA353-BZ353</f>
        <v>-860</v>
      </c>
      <c r="BY353" s="289">
        <f t="shared" si="2185"/>
        <v>945</v>
      </c>
      <c r="BZ353" s="281">
        <v>-492</v>
      </c>
      <c r="CA353" s="281">
        <v>-1352</v>
      </c>
      <c r="CB353" s="281">
        <v>-407</v>
      </c>
      <c r="CC353" s="281">
        <v>20</v>
      </c>
      <c r="CD353" s="281">
        <f>CG353-CC353</f>
        <v>451</v>
      </c>
      <c r="CE353" s="281">
        <f t="shared" si="2186"/>
        <v>-132</v>
      </c>
      <c r="CF353" s="281"/>
      <c r="CG353" s="281">
        <v>471</v>
      </c>
      <c r="CH353" s="281">
        <v>339</v>
      </c>
      <c r="CI353" s="281">
        <v>454</v>
      </c>
      <c r="CJ353" s="281">
        <v>-507</v>
      </c>
      <c r="CK353" s="281">
        <f t="shared" si="2187"/>
        <v>292</v>
      </c>
      <c r="CL353" s="281"/>
      <c r="CM353" s="281"/>
      <c r="CN353" s="281">
        <v>-215</v>
      </c>
      <c r="CO353" s="281"/>
    </row>
    <row r="354" spans="1:93" s="289" customFormat="1" x14ac:dyDescent="0.25">
      <c r="A354" s="713" t="s">
        <v>320</v>
      </c>
      <c r="B354" s="280"/>
      <c r="C354" s="280"/>
      <c r="D354" s="280"/>
      <c r="E354" s="280"/>
      <c r="F354" s="279"/>
      <c r="G354" s="280"/>
      <c r="H354" s="280"/>
      <c r="I354" s="280"/>
      <c r="J354" s="279"/>
      <c r="K354" s="280"/>
      <c r="L354" s="280"/>
      <c r="M354" s="280"/>
      <c r="N354" s="279"/>
      <c r="O354" s="280"/>
      <c r="P354" s="280"/>
      <c r="Q354" s="280"/>
      <c r="R354" s="279"/>
      <c r="S354" s="280"/>
      <c r="T354" s="280"/>
      <c r="U354" s="280"/>
      <c r="V354" s="280"/>
      <c r="W354" s="281"/>
      <c r="X354" s="282"/>
      <c r="Y354" s="283"/>
      <c r="Z354" s="281"/>
      <c r="AA354" s="280"/>
      <c r="AB354" s="280"/>
      <c r="AC354" s="281"/>
      <c r="AD354" s="281"/>
      <c r="AE354" s="282"/>
      <c r="AF354" s="281"/>
      <c r="AG354" s="281"/>
      <c r="AH354" s="280"/>
      <c r="AI354" s="280"/>
      <c r="AJ354" s="281"/>
      <c r="AK354" s="281"/>
      <c r="AL354" s="282"/>
      <c r="AM354" s="281"/>
      <c r="AN354" s="281"/>
      <c r="AO354" s="281"/>
      <c r="AP354" s="281"/>
      <c r="AQ354" s="281"/>
      <c r="AR354" s="281"/>
      <c r="AS354" s="282"/>
      <c r="AT354" s="281">
        <v>0</v>
      </c>
      <c r="AU354" s="302">
        <f t="shared" si="2134"/>
        <v>11</v>
      </c>
      <c r="AV354" s="281">
        <f t="shared" si="2173"/>
        <v>-529</v>
      </c>
      <c r="AW354" s="281">
        <f t="shared" si="2174"/>
        <v>518</v>
      </c>
      <c r="AX354" s="281">
        <v>11</v>
      </c>
      <c r="AY354" s="281">
        <v>-518</v>
      </c>
      <c r="AZ354" s="281">
        <v>0</v>
      </c>
      <c r="BA354" s="281">
        <v>0</v>
      </c>
      <c r="BB354" s="281">
        <f t="shared" si="2175"/>
        <v>0</v>
      </c>
      <c r="BC354" s="281">
        <f t="shared" si="2176"/>
        <v>0</v>
      </c>
      <c r="BD354" s="281">
        <f t="shared" si="2177"/>
        <v>0</v>
      </c>
      <c r="BE354" s="281"/>
      <c r="BF354" s="281"/>
      <c r="BG354" s="281"/>
      <c r="BH354" s="281"/>
      <c r="BI354" s="281">
        <f t="shared" si="2178"/>
        <v>0</v>
      </c>
      <c r="BJ354" s="281">
        <f t="shared" si="2179"/>
        <v>0</v>
      </c>
      <c r="BK354" s="281">
        <f t="shared" si="2180"/>
        <v>0</v>
      </c>
      <c r="BL354" s="281"/>
      <c r="BM354" s="281"/>
      <c r="BN354" s="281"/>
      <c r="BO354" s="281"/>
      <c r="BP354" s="281">
        <f t="shared" si="2181"/>
        <v>0</v>
      </c>
      <c r="BQ354" s="281">
        <f t="shared" si="2182"/>
        <v>0</v>
      </c>
      <c r="BR354" s="281">
        <f t="shared" si="2183"/>
        <v>0</v>
      </c>
      <c r="BS354" s="281"/>
      <c r="BT354" s="281"/>
      <c r="BU354" s="281"/>
      <c r="BV354" s="281"/>
    </row>
    <row r="355" spans="1:93" s="289" customFormat="1" ht="13" x14ac:dyDescent="0.3">
      <c r="A355" s="525" t="str">
        <f>Language!C279</f>
        <v>Dívida Líquida</v>
      </c>
      <c r="B355" s="526">
        <f t="shared" ref="B355:M355" si="2188">SUM(B356,B357,B358,B359,B360)</f>
        <v>221701</v>
      </c>
      <c r="C355" s="526">
        <f t="shared" si="2188"/>
        <v>289343</v>
      </c>
      <c r="D355" s="526">
        <f t="shared" si="2188"/>
        <v>275970</v>
      </c>
      <c r="E355" s="526">
        <f t="shared" si="2188"/>
        <v>270139</v>
      </c>
      <c r="F355" s="527">
        <f t="shared" si="2188"/>
        <v>315783</v>
      </c>
      <c r="G355" s="526">
        <f t="shared" si="2188"/>
        <v>315006</v>
      </c>
      <c r="H355" s="526">
        <f t="shared" si="2188"/>
        <v>340676</v>
      </c>
      <c r="I355" s="526">
        <f t="shared" si="2188"/>
        <v>338992</v>
      </c>
      <c r="J355" s="527">
        <f t="shared" si="2188"/>
        <v>336523</v>
      </c>
      <c r="K355" s="526">
        <f t="shared" si="2188"/>
        <v>392294</v>
      </c>
      <c r="L355" s="526">
        <f t="shared" si="2188"/>
        <v>398322</v>
      </c>
      <c r="M355" s="526">
        <f t="shared" si="2188"/>
        <v>459066</v>
      </c>
      <c r="N355" s="527">
        <f>SUM(N356,N357,N358,N359,N360)</f>
        <v>257712</v>
      </c>
      <c r="O355" s="526">
        <f t="shared" ref="O355:R355" si="2189">SUM(O356,O357,O358,O359,O360)</f>
        <v>433165</v>
      </c>
      <c r="P355" s="526">
        <f t="shared" si="2189"/>
        <v>669815</v>
      </c>
      <c r="Q355" s="526">
        <f t="shared" si="2189"/>
        <v>1068486</v>
      </c>
      <c r="R355" s="527">
        <f t="shared" si="2189"/>
        <v>1861325</v>
      </c>
      <c r="S355" s="526">
        <f t="shared" ref="S355:W355" si="2190">SUM(S356,S357,S358,S359,S360)</f>
        <v>2084819</v>
      </c>
      <c r="T355" s="526">
        <f t="shared" ref="T355:V355" si="2191">SUM(T356,T357,T358,T359,T360)</f>
        <v>2157761</v>
      </c>
      <c r="U355" s="526">
        <f t="shared" si="2191"/>
        <v>2192673</v>
      </c>
      <c r="V355" s="526">
        <f t="shared" si="2191"/>
        <v>3946144</v>
      </c>
      <c r="W355" s="528">
        <f t="shared" si="2190"/>
        <v>2157761</v>
      </c>
      <c r="X355" s="529">
        <f t="shared" ref="X355" si="2192">SUM(X356,X357,X358,X359,X360)</f>
        <v>2192673</v>
      </c>
      <c r="Y355" s="530">
        <f>SUM(Y356,Y357,Y358,Y359,Y360)</f>
        <v>2182545</v>
      </c>
      <c r="Z355" s="528">
        <f t="shared" ref="Z355:AC355" si="2193">SUM(Z356,Z357,Z358,Z359,Z360)</f>
        <v>2015700</v>
      </c>
      <c r="AA355" s="526">
        <f t="shared" si="2193"/>
        <v>2034044</v>
      </c>
      <c r="AB355" s="526">
        <f t="shared" si="2193"/>
        <v>1992020</v>
      </c>
      <c r="AC355" s="528">
        <f t="shared" si="2193"/>
        <v>2015700</v>
      </c>
      <c r="AD355" s="528">
        <f t="shared" ref="AD355:AE355" si="2194">SUM(AD356,AD357,AD358,AD359,AD360)</f>
        <v>2034044</v>
      </c>
      <c r="AE355" s="529">
        <f t="shared" si="2194"/>
        <v>1992020</v>
      </c>
      <c r="AF355" s="528">
        <f t="shared" ref="AF355:AJ355" si="2195">SUM(AF356,AF357,AF358,AF359,AF360)</f>
        <v>1971226</v>
      </c>
      <c r="AG355" s="528">
        <f>AJ355</f>
        <v>1961691</v>
      </c>
      <c r="AH355" s="526">
        <f t="shared" ref="AH355:AH360" si="2196">AK355</f>
        <v>1899341</v>
      </c>
      <c r="AI355" s="526">
        <f t="shared" ref="AI355:AI360" si="2197">AL355</f>
        <v>1777557</v>
      </c>
      <c r="AJ355" s="528">
        <f t="shared" si="2195"/>
        <v>1961691</v>
      </c>
      <c r="AK355" s="528">
        <f t="shared" ref="AK355" si="2198">SUM(AK356,AK357,AK358,AK359,AK360)</f>
        <v>1899341</v>
      </c>
      <c r="AL355" s="529">
        <f t="shared" ref="AL355:AM355" si="2199">SUM(AL356,AL357,AL358,AL359,AL360)</f>
        <v>1777557</v>
      </c>
      <c r="AM355" s="528">
        <f t="shared" si="2199"/>
        <v>1751411</v>
      </c>
      <c r="AN355" s="528">
        <f t="shared" si="1848"/>
        <v>-48930</v>
      </c>
      <c r="AO355" s="528">
        <f t="shared" si="1849"/>
        <v>2611</v>
      </c>
      <c r="AP355" s="528">
        <f t="shared" si="1849"/>
        <v>18210</v>
      </c>
      <c r="AQ355" s="528">
        <f t="shared" ref="AQ355:AR355" si="2200">SUM(AQ356,AQ357,AQ358,AQ359,AQ360)</f>
        <v>1702481</v>
      </c>
      <c r="AR355" s="528">
        <f t="shared" si="2200"/>
        <v>1705092</v>
      </c>
      <c r="AS355" s="529">
        <f t="shared" ref="AS355:AT355" si="2201">SUM(AS356,AS357,AS358,AS359,AS360)</f>
        <v>1723302</v>
      </c>
      <c r="AT355" s="528">
        <f t="shared" si="2201"/>
        <v>1751065</v>
      </c>
      <c r="AU355" s="528">
        <f>SUM(AU356,AU357,AU358,AU359,AU360,AU361)</f>
        <v>1770604</v>
      </c>
      <c r="AV355" s="528">
        <f t="shared" ref="AV355:AZ355" si="2202">SUM(AV356,AV357,AV358,AV359,AV360)</f>
        <v>1774755</v>
      </c>
      <c r="AW355" s="528">
        <f t="shared" ref="AW355" si="2203">SUM(AW356,AW357,AW358,AW359,AW360)</f>
        <v>1757910</v>
      </c>
      <c r="AX355" s="528">
        <f>SUM(AX356,AX357,AX358,AX359,AX360,AX361)</f>
        <v>1770604</v>
      </c>
      <c r="AY355" s="528">
        <f>SUM(AY356,AY357,AY358,AY359,AY360,AY361)</f>
        <v>1774622</v>
      </c>
      <c r="AZ355" s="528">
        <f t="shared" si="2202"/>
        <v>1757910</v>
      </c>
      <c r="BA355" s="528">
        <f t="shared" ref="BA355:BB355" si="2204">SUM(BA356,BA357,BA358,BA359,BA360)</f>
        <v>1705115</v>
      </c>
      <c r="BB355" s="528">
        <f t="shared" si="2204"/>
        <v>1665980</v>
      </c>
      <c r="BC355" s="528">
        <f t="shared" ref="BC355:BE355" si="2205">SUM(BC356,BC357,BC358,BC359,BC360)</f>
        <v>1658663</v>
      </c>
      <c r="BD355" s="528">
        <f t="shared" ref="BD355" si="2206">SUM(BD356,BD357,BD358,BD359,BD360)</f>
        <v>1609216</v>
      </c>
      <c r="BE355" s="528">
        <f t="shared" si="2205"/>
        <v>1665980</v>
      </c>
      <c r="BF355" s="528">
        <f t="shared" ref="BF355:BG355" si="2207">SUM(BF356,BF357,BF358,BF359,BF360)</f>
        <v>1658663</v>
      </c>
      <c r="BG355" s="509">
        <f t="shared" si="2207"/>
        <v>1609216</v>
      </c>
      <c r="BH355" s="509">
        <f t="shared" ref="BH355:BL355" si="2208">SUM(BH356,BH357,BH358,BH359,BH360)</f>
        <v>1616439</v>
      </c>
      <c r="BI355" s="509">
        <f t="shared" si="2208"/>
        <v>1610373</v>
      </c>
      <c r="BJ355" s="509">
        <f t="shared" si="2208"/>
        <v>1542348</v>
      </c>
      <c r="BK355" s="509">
        <f t="shared" si="2208"/>
        <v>1556492</v>
      </c>
      <c r="BL355" s="509">
        <f t="shared" si="2208"/>
        <v>1610373</v>
      </c>
      <c r="BM355" s="509">
        <f t="shared" ref="BM355:BN355" si="2209">SUM(BM356,BM357,BM358,BM359,BM360)</f>
        <v>1542348</v>
      </c>
      <c r="BN355" s="509">
        <f t="shared" si="2209"/>
        <v>1556492</v>
      </c>
      <c r="BO355" s="509">
        <f t="shared" ref="BO355:BS355" si="2210">SUM(BO356,BO357,BO358,BO359,BO360)</f>
        <v>1549290</v>
      </c>
      <c r="BP355" s="509">
        <f t="shared" si="2210"/>
        <v>1616364</v>
      </c>
      <c r="BQ355" s="509">
        <f t="shared" si="2210"/>
        <v>1574058</v>
      </c>
      <c r="BR355" s="509">
        <f t="shared" si="2210"/>
        <v>1546532</v>
      </c>
      <c r="BS355" s="509">
        <f t="shared" si="2210"/>
        <v>1616364</v>
      </c>
      <c r="BT355" s="509">
        <f t="shared" ref="BT355:BU355" si="2211">SUM(BT356,BT357,BT358,BT359,BT360)</f>
        <v>1574058</v>
      </c>
      <c r="BU355" s="509">
        <f t="shared" si="2211"/>
        <v>1546532</v>
      </c>
      <c r="BV355" s="509">
        <f t="shared" ref="BV355:BZ355" si="2212">SUM(BV356,BV357,BV358,BV359,BV360)</f>
        <v>1534168</v>
      </c>
      <c r="BW355" s="509">
        <f t="shared" si="2212"/>
        <v>1528398</v>
      </c>
      <c r="BX355" s="509">
        <f t="shared" si="2212"/>
        <v>1481302</v>
      </c>
      <c r="BY355" s="509">
        <f t="shared" si="2212"/>
        <v>1428223</v>
      </c>
      <c r="BZ355" s="509">
        <f t="shared" si="2212"/>
        <v>1528398</v>
      </c>
      <c r="CA355" s="509">
        <f t="shared" ref="CA355:CB355" si="2213">SUM(CA356,CA357,CA358,CA359,CA360)</f>
        <v>1481302</v>
      </c>
      <c r="CB355" s="509">
        <f t="shared" si="2213"/>
        <v>1428223</v>
      </c>
      <c r="CC355" s="509">
        <f t="shared" ref="CC355:CD355" si="2214">SUM(CC356,CC357,CC358,CC359,CC360)</f>
        <v>1393965</v>
      </c>
      <c r="CD355" s="509">
        <f t="shared" si="2214"/>
        <v>1361613</v>
      </c>
      <c r="CE355" s="509">
        <f t="shared" ref="CE355:CG355" si="2215">SUM(CE356,CE357,CE358,CE359,CE360)</f>
        <v>1324511</v>
      </c>
      <c r="CF355" s="509">
        <f t="shared" si="2215"/>
        <v>1352559</v>
      </c>
      <c r="CG355" s="509">
        <f t="shared" si="2215"/>
        <v>1361613</v>
      </c>
      <c r="CH355" s="509">
        <f t="shared" ref="CH355:CI355" si="2216">SUM(CH356,CH357,CH358,CH359,CH360)</f>
        <v>1324511</v>
      </c>
      <c r="CI355" s="509">
        <f t="shared" si="2216"/>
        <v>1352559</v>
      </c>
      <c r="CJ355" s="509">
        <v>1303623</v>
      </c>
      <c r="CK355" s="509">
        <f t="shared" ref="CK355" si="2217">SUM(CK356,CK357,CK358,CK359,CK360)</f>
        <v>1278819</v>
      </c>
      <c r="CL355" s="509">
        <f t="shared" ref="CL355:CO355" si="2218">SUM(CL356,CL357,CL358,CL359,CL360)</f>
        <v>0</v>
      </c>
      <c r="CM355" s="509">
        <f t="shared" si="2218"/>
        <v>0</v>
      </c>
      <c r="CN355" s="509">
        <f t="shared" si="2218"/>
        <v>1278819</v>
      </c>
      <c r="CO355" s="509">
        <f t="shared" si="2218"/>
        <v>0</v>
      </c>
    </row>
    <row r="356" spans="1:93" s="289" customFormat="1" x14ac:dyDescent="0.25">
      <c r="A356" s="455" t="str">
        <f>Language!C280</f>
        <v>Concepa</v>
      </c>
      <c r="B356" s="280">
        <v>144455</v>
      </c>
      <c r="C356" s="280">
        <v>141748</v>
      </c>
      <c r="D356" s="280">
        <v>133195</v>
      </c>
      <c r="E356" s="280">
        <v>137249</v>
      </c>
      <c r="F356" s="279">
        <v>178870</v>
      </c>
      <c r="G356" s="280">
        <v>177587</v>
      </c>
      <c r="H356" s="280">
        <v>186912</v>
      </c>
      <c r="I356" s="280">
        <v>181449</v>
      </c>
      <c r="J356" s="279">
        <v>173165</v>
      </c>
      <c r="K356" s="280">
        <v>167109</v>
      </c>
      <c r="L356" s="280">
        <v>156965</v>
      </c>
      <c r="M356" s="280">
        <v>166113</v>
      </c>
      <c r="N356" s="279">
        <v>155502</v>
      </c>
      <c r="O356" s="280">
        <v>151001</v>
      </c>
      <c r="P356" s="280">
        <v>156282</v>
      </c>
      <c r="Q356" s="280">
        <v>255366</v>
      </c>
      <c r="R356" s="279">
        <v>397227</v>
      </c>
      <c r="S356" s="280">
        <v>389308</v>
      </c>
      <c r="T356" s="280">
        <f t="shared" ref="T356:T360" si="2219">W356</f>
        <v>380168</v>
      </c>
      <c r="U356" s="280">
        <f>X356</f>
        <v>336572</v>
      </c>
      <c r="V356" s="280">
        <f t="shared" si="2068"/>
        <v>786535</v>
      </c>
      <c r="W356" s="281">
        <v>380168</v>
      </c>
      <c r="X356" s="282">
        <v>336572</v>
      </c>
      <c r="Y356" s="283">
        <v>299251</v>
      </c>
      <c r="Z356" s="281">
        <f>AC356</f>
        <v>112310</v>
      </c>
      <c r="AA356" s="280">
        <f t="shared" ref="AA356:AA360" si="2220">AD356</f>
        <v>107693</v>
      </c>
      <c r="AB356" s="280">
        <f>AE356</f>
        <v>75878</v>
      </c>
      <c r="AC356" s="281">
        <v>112310</v>
      </c>
      <c r="AD356" s="281">
        <v>107693</v>
      </c>
      <c r="AE356" s="282">
        <v>75878</v>
      </c>
      <c r="AF356" s="281">
        <v>25996</v>
      </c>
      <c r="AG356" s="281">
        <f t="shared" ref="AG356:AG360" si="2221">AJ356</f>
        <v>5143</v>
      </c>
      <c r="AH356" s="280">
        <f t="shared" si="2196"/>
        <v>-4755</v>
      </c>
      <c r="AI356" s="280">
        <f t="shared" si="2197"/>
        <v>-6501</v>
      </c>
      <c r="AJ356" s="281">
        <v>5143</v>
      </c>
      <c r="AK356" s="281">
        <v>-4755</v>
      </c>
      <c r="AL356" s="282">
        <v>-6501</v>
      </c>
      <c r="AM356" s="281">
        <f>Consolidated!AM179</f>
        <v>-4491</v>
      </c>
      <c r="AN356" s="281">
        <f t="shared" si="1848"/>
        <v>-4262</v>
      </c>
      <c r="AO356" s="281">
        <f t="shared" si="1849"/>
        <v>7768.1316937583561</v>
      </c>
      <c r="AP356" s="281">
        <f t="shared" si="1849"/>
        <v>17.936759506771864</v>
      </c>
      <c r="AQ356" s="281">
        <f>Consolidated!AQ179</f>
        <v>-8753</v>
      </c>
      <c r="AR356" s="281">
        <f>Consolidated!AR179</f>
        <v>-984.86830624164384</v>
      </c>
      <c r="AS356" s="282">
        <v>-966.93154673487197</v>
      </c>
      <c r="AT356" s="281">
        <v>0</v>
      </c>
      <c r="AU356" s="281">
        <f>AX356</f>
        <v>-591</v>
      </c>
      <c r="AV356" s="281">
        <f>AY356</f>
        <v>-39</v>
      </c>
      <c r="AW356" s="281">
        <f>AZ356</f>
        <v>-24</v>
      </c>
      <c r="AX356" s="281">
        <v>-591</v>
      </c>
      <c r="AY356" s="281">
        <v>-39</v>
      </c>
      <c r="AZ356" s="578">
        <f>Consolidated!AZ179</f>
        <v>-24</v>
      </c>
      <c r="BA356" s="578">
        <f>Consolidated!BA179</f>
        <v>0</v>
      </c>
      <c r="BB356" s="578">
        <f>Consolidated!BB179</f>
        <v>0</v>
      </c>
      <c r="BC356" s="578">
        <f>Consolidated!BC179</f>
        <v>0</v>
      </c>
      <c r="BD356" s="578">
        <f>Consolidated!BD179</f>
        <v>0</v>
      </c>
      <c r="BE356" s="578">
        <f>Consolidated!BE179</f>
        <v>0</v>
      </c>
      <c r="BF356" s="578">
        <f>Consolidated!BF179</f>
        <v>0</v>
      </c>
      <c r="BG356" s="578">
        <f>Consolidated!BG179</f>
        <v>0</v>
      </c>
      <c r="BH356" s="578">
        <f>Consolidated!BH179</f>
        <v>0</v>
      </c>
      <c r="BI356" s="578">
        <f>Consolidated!BI179</f>
        <v>0</v>
      </c>
      <c r="BJ356" s="578">
        <f>Consolidated!BJ179</f>
        <v>0</v>
      </c>
      <c r="BK356" s="578">
        <f>Consolidated!BK179</f>
        <v>0</v>
      </c>
      <c r="BL356" s="578">
        <f>Consolidated!BL179</f>
        <v>0</v>
      </c>
      <c r="BM356" s="578">
        <f>Consolidated!BM179</f>
        <v>0</v>
      </c>
      <c r="BN356" s="578">
        <f>Consolidated!BN179</f>
        <v>0</v>
      </c>
      <c r="BO356" s="578">
        <f>Consolidated!BO179</f>
        <v>0</v>
      </c>
      <c r="BP356" s="578">
        <f>Consolidated!BP179</f>
        <v>0</v>
      </c>
      <c r="BQ356" s="578">
        <f>Consolidated!BQ179</f>
        <v>0</v>
      </c>
      <c r="BR356" s="578">
        <f>Consolidated!BR179</f>
        <v>0</v>
      </c>
      <c r="BS356" s="578">
        <f>Consolidated!BS179</f>
        <v>0</v>
      </c>
      <c r="BT356" s="578">
        <f>Consolidated!BT179</f>
        <v>0</v>
      </c>
      <c r="BU356" s="578">
        <f>Consolidated!BU179</f>
        <v>0</v>
      </c>
      <c r="BV356" s="578">
        <f>Consolidated!BV179</f>
        <v>0</v>
      </c>
      <c r="BW356" s="578">
        <f>Consolidated!BW179</f>
        <v>0</v>
      </c>
      <c r="BX356" s="578">
        <f>Consolidated!BX179</f>
        <v>0</v>
      </c>
      <c r="BY356" s="578">
        <f>Consolidated!BY179</f>
        <v>0</v>
      </c>
      <c r="BZ356" s="578">
        <f>Consolidated!BZ179</f>
        <v>0</v>
      </c>
      <c r="CA356" s="578">
        <f>Consolidated!CA179</f>
        <v>0</v>
      </c>
      <c r="CB356" s="578">
        <f>Consolidated!CB179</f>
        <v>0</v>
      </c>
      <c r="CC356" s="578">
        <f>Consolidated!CC179</f>
        <v>0</v>
      </c>
      <c r="CD356" s="578">
        <f>Consolidated!CD179</f>
        <v>0</v>
      </c>
      <c r="CE356" s="578">
        <f>Consolidated!CE179</f>
        <v>0</v>
      </c>
      <c r="CF356" s="578">
        <f>Consolidated!CF179</f>
        <v>0</v>
      </c>
      <c r="CG356" s="578">
        <f>Consolidated!CG179</f>
        <v>0</v>
      </c>
      <c r="CH356" s="578">
        <f>Consolidated!CH179</f>
        <v>0</v>
      </c>
      <c r="CI356" s="578">
        <f>Consolidated!CI179</f>
        <v>0</v>
      </c>
      <c r="CJ356" s="578">
        <v>0</v>
      </c>
      <c r="CK356" s="578">
        <f>Consolidated!CK179</f>
        <v>0</v>
      </c>
      <c r="CL356" s="578">
        <f>Consolidated!CL179</f>
        <v>0</v>
      </c>
      <c r="CM356" s="578">
        <f>Consolidated!CM179</f>
        <v>0</v>
      </c>
      <c r="CN356" s="578">
        <f>Consolidated!CN179</f>
        <v>0</v>
      </c>
      <c r="CO356" s="578">
        <f>Consolidated!CO179</f>
        <v>0</v>
      </c>
    </row>
    <row r="357" spans="1:93" s="289" customFormat="1" x14ac:dyDescent="0.25">
      <c r="A357" s="455" t="str">
        <f>Language!C281</f>
        <v>Concer</v>
      </c>
      <c r="B357" s="280">
        <v>42624</v>
      </c>
      <c r="C357" s="280">
        <v>41609</v>
      </c>
      <c r="D357" s="280">
        <v>38302</v>
      </c>
      <c r="E357" s="280">
        <v>36091</v>
      </c>
      <c r="F357" s="279">
        <v>40273</v>
      </c>
      <c r="G357" s="280">
        <v>38230</v>
      </c>
      <c r="H357" s="280">
        <v>49191</v>
      </c>
      <c r="I357" s="280">
        <v>54110</v>
      </c>
      <c r="J357" s="279">
        <v>57397</v>
      </c>
      <c r="K357" s="280">
        <v>109632</v>
      </c>
      <c r="L357" s="280">
        <v>126267</v>
      </c>
      <c r="M357" s="280">
        <v>147935</v>
      </c>
      <c r="N357" s="279">
        <v>165187</v>
      </c>
      <c r="O357" s="280">
        <v>198813</v>
      </c>
      <c r="P357" s="280">
        <v>238283</v>
      </c>
      <c r="Q357" s="280">
        <v>333794</v>
      </c>
      <c r="R357" s="279">
        <v>429032</v>
      </c>
      <c r="S357" s="280">
        <v>440451</v>
      </c>
      <c r="T357" s="280">
        <f t="shared" si="2219"/>
        <v>448804</v>
      </c>
      <c r="U357" s="280">
        <f>X357</f>
        <v>452241</v>
      </c>
      <c r="V357" s="280">
        <f t="shared" si="2068"/>
        <v>869483</v>
      </c>
      <c r="W357" s="281">
        <v>448804</v>
      </c>
      <c r="X357" s="282">
        <v>452241</v>
      </c>
      <c r="Y357" s="283">
        <v>454857</v>
      </c>
      <c r="Z357" s="281">
        <f>AC357</f>
        <v>459080</v>
      </c>
      <c r="AA357" s="280">
        <f t="shared" si="2220"/>
        <v>449410</v>
      </c>
      <c r="AB357" s="280">
        <f>AE357</f>
        <v>446544</v>
      </c>
      <c r="AC357" s="281">
        <v>459080</v>
      </c>
      <c r="AD357" s="281">
        <v>449410</v>
      </c>
      <c r="AE357" s="282">
        <v>446544</v>
      </c>
      <c r="AF357" s="281">
        <v>440047</v>
      </c>
      <c r="AG357" s="281">
        <f t="shared" si="2221"/>
        <v>443531</v>
      </c>
      <c r="AH357" s="280">
        <f t="shared" si="2196"/>
        <v>442719</v>
      </c>
      <c r="AI357" s="280">
        <f t="shared" si="2197"/>
        <v>415403</v>
      </c>
      <c r="AJ357" s="281">
        <v>443531</v>
      </c>
      <c r="AK357" s="281">
        <v>442719</v>
      </c>
      <c r="AL357" s="282">
        <v>415403</v>
      </c>
      <c r="AM357" s="281">
        <f>Consolidated!AM180</f>
        <v>399410</v>
      </c>
      <c r="AN357" s="281">
        <f t="shared" si="1848"/>
        <v>-15926</v>
      </c>
      <c r="AO357" s="281">
        <f t="shared" si="1849"/>
        <v>602.64103863202035</v>
      </c>
      <c r="AP357" s="281">
        <f t="shared" si="1849"/>
        <v>-7870.2750219118316</v>
      </c>
      <c r="AQ357" s="281">
        <f>Consolidated!AQ180</f>
        <v>383484</v>
      </c>
      <c r="AR357" s="281">
        <f>Consolidated!AR180</f>
        <v>384086.64103863202</v>
      </c>
      <c r="AS357" s="282">
        <v>376216.36601672019</v>
      </c>
      <c r="AT357" s="281">
        <v>377745</v>
      </c>
      <c r="AU357" s="281">
        <f t="shared" ref="AU357:AU361" si="2222">AX357</f>
        <v>365971</v>
      </c>
      <c r="AV357" s="281">
        <f t="shared" ref="AV357:AW360" si="2223">AY357</f>
        <v>343415</v>
      </c>
      <c r="AW357" s="281">
        <f t="shared" si="2223"/>
        <v>318716</v>
      </c>
      <c r="AX357" s="281">
        <v>365971</v>
      </c>
      <c r="AY357" s="281">
        <v>343415</v>
      </c>
      <c r="AZ357" s="578">
        <f>Consolidated!AZ180</f>
        <v>318716</v>
      </c>
      <c r="BA357" s="650">
        <f>Consolidated!BA180</f>
        <v>297126</v>
      </c>
      <c r="BB357" s="578">
        <f>Consolidated!BB180</f>
        <v>286646</v>
      </c>
      <c r="BC357" s="578">
        <f>Consolidated!BC180</f>
        <v>268370</v>
      </c>
      <c r="BD357" s="578">
        <f>Consolidated!BD180</f>
        <v>221272</v>
      </c>
      <c r="BE357" s="578">
        <f>Consolidated!BE180</f>
        <v>286646</v>
      </c>
      <c r="BF357" s="578">
        <f>Consolidated!BF180</f>
        <v>268370</v>
      </c>
      <c r="BG357" s="578">
        <f>Consolidated!BG180</f>
        <v>221272</v>
      </c>
      <c r="BH357" s="578">
        <f>Consolidated!BH180</f>
        <v>213480</v>
      </c>
      <c r="BI357" s="578">
        <f>Consolidated!BI180</f>
        <v>201253</v>
      </c>
      <c r="BJ357" s="578">
        <f>Consolidated!BJ180</f>
        <v>195201</v>
      </c>
      <c r="BK357" s="578">
        <f>Consolidated!BK180</f>
        <v>181268</v>
      </c>
      <c r="BL357" s="578">
        <f>Consolidated!BL180</f>
        <v>201253</v>
      </c>
      <c r="BM357" s="578">
        <f>Consolidated!BM180</f>
        <v>195201</v>
      </c>
      <c r="BN357" s="578">
        <f>Consolidated!BN180</f>
        <v>181268</v>
      </c>
      <c r="BO357" s="578">
        <f>Consolidated!BO180</f>
        <v>166105</v>
      </c>
      <c r="BP357" s="578">
        <f>Consolidated!BP180</f>
        <v>151185</v>
      </c>
      <c r="BQ357" s="578">
        <f>Consolidated!BQ180</f>
        <v>132241</v>
      </c>
      <c r="BR357" s="578">
        <f>Consolidated!BR180</f>
        <v>113703</v>
      </c>
      <c r="BS357" s="578">
        <f>Consolidated!BS180</f>
        <v>151185</v>
      </c>
      <c r="BT357" s="578">
        <f>Consolidated!BT180</f>
        <v>132241</v>
      </c>
      <c r="BU357" s="578">
        <f>Consolidated!BU180</f>
        <v>113703</v>
      </c>
      <c r="BV357" s="578">
        <f>Consolidated!BV180</f>
        <v>96717</v>
      </c>
      <c r="BW357" s="578">
        <f>Consolidated!BW180</f>
        <v>79230</v>
      </c>
      <c r="BX357" s="578">
        <f>Consolidated!BX180</f>
        <v>61986</v>
      </c>
      <c r="BY357" s="578">
        <f>Consolidated!BY180</f>
        <v>44151</v>
      </c>
      <c r="BZ357" s="578">
        <f>Consolidated!BZ180</f>
        <v>79230</v>
      </c>
      <c r="CA357" s="578">
        <f>Consolidated!CA180</f>
        <v>61986</v>
      </c>
      <c r="CB357" s="578">
        <f>Consolidated!CB180</f>
        <v>44151</v>
      </c>
      <c r="CC357" s="578">
        <f>Consolidated!CC180</f>
        <v>26063</v>
      </c>
      <c r="CD357" s="578">
        <f>Consolidated!CD180</f>
        <v>10863</v>
      </c>
      <c r="CE357" s="578">
        <f>Consolidated!CE180</f>
        <v>9370</v>
      </c>
      <c r="CF357" s="578">
        <f>Consolidated!CF180</f>
        <v>58686</v>
      </c>
      <c r="CG357" s="578">
        <f>Consolidated!CG180</f>
        <v>10863</v>
      </c>
      <c r="CH357" s="578">
        <f>Consolidated!CH180</f>
        <v>9370</v>
      </c>
      <c r="CI357" s="578">
        <f>Consolidated!CI180</f>
        <v>58686</v>
      </c>
      <c r="CJ357" s="578">
        <v>35673</v>
      </c>
      <c r="CK357" s="578">
        <f>Consolidated!CK180</f>
        <v>13309</v>
      </c>
      <c r="CL357" s="578">
        <f>Consolidated!CL180</f>
        <v>0</v>
      </c>
      <c r="CM357" s="578">
        <f>Consolidated!CM180</f>
        <v>0</v>
      </c>
      <c r="CN357" s="578">
        <f>Consolidated!CN180</f>
        <v>13309</v>
      </c>
      <c r="CO357" s="578">
        <f>Consolidated!CO180</f>
        <v>0</v>
      </c>
    </row>
    <row r="358" spans="1:93" s="289" customFormat="1" x14ac:dyDescent="0.25">
      <c r="A358" s="455" t="str">
        <f>Language!C282</f>
        <v>Econorte</v>
      </c>
      <c r="B358" s="280">
        <v>34622</v>
      </c>
      <c r="C358" s="280">
        <v>105986</v>
      </c>
      <c r="D358" s="280">
        <v>104473</v>
      </c>
      <c r="E358" s="280">
        <v>96799</v>
      </c>
      <c r="F358" s="279">
        <v>96640</v>
      </c>
      <c r="G358" s="280">
        <v>99189</v>
      </c>
      <c r="H358" s="280">
        <v>104573</v>
      </c>
      <c r="I358" s="280">
        <v>103433</v>
      </c>
      <c r="J358" s="279">
        <v>105961</v>
      </c>
      <c r="K358" s="280">
        <v>115553</v>
      </c>
      <c r="L358" s="280">
        <v>115090</v>
      </c>
      <c r="M358" s="280">
        <v>145018</v>
      </c>
      <c r="N358" s="279">
        <v>165211</v>
      </c>
      <c r="O358" s="280">
        <v>179136</v>
      </c>
      <c r="P358" s="280">
        <v>198662</v>
      </c>
      <c r="Q358" s="280">
        <v>194034</v>
      </c>
      <c r="R358" s="279">
        <v>198271</v>
      </c>
      <c r="S358" s="280">
        <v>222040</v>
      </c>
      <c r="T358" s="280">
        <f t="shared" si="2219"/>
        <v>215352</v>
      </c>
      <c r="U358" s="280">
        <f>X358</f>
        <v>212187</v>
      </c>
      <c r="V358" s="280">
        <f t="shared" si="2068"/>
        <v>420311</v>
      </c>
      <c r="W358" s="281">
        <v>215352</v>
      </c>
      <c r="X358" s="282">
        <v>212187</v>
      </c>
      <c r="Y358" s="283">
        <v>202440</v>
      </c>
      <c r="Z358" s="281">
        <f>AC358</f>
        <v>194140</v>
      </c>
      <c r="AA358" s="280">
        <f t="shared" si="2220"/>
        <v>205779</v>
      </c>
      <c r="AB358" s="280">
        <f>AE358</f>
        <v>211636</v>
      </c>
      <c r="AC358" s="281">
        <v>194140</v>
      </c>
      <c r="AD358" s="281">
        <v>205779</v>
      </c>
      <c r="AE358" s="282">
        <v>211636</v>
      </c>
      <c r="AF358" s="281">
        <v>210075</v>
      </c>
      <c r="AG358" s="281">
        <f t="shared" si="2221"/>
        <v>200401</v>
      </c>
      <c r="AH358" s="280">
        <f t="shared" si="2196"/>
        <v>186673</v>
      </c>
      <c r="AI358" s="280">
        <f t="shared" si="2197"/>
        <v>177650</v>
      </c>
      <c r="AJ358" s="281">
        <v>200401</v>
      </c>
      <c r="AK358" s="281">
        <v>186673</v>
      </c>
      <c r="AL358" s="282">
        <v>177650</v>
      </c>
      <c r="AM358" s="281">
        <f>Consolidated!AM181</f>
        <v>163044</v>
      </c>
      <c r="AN358" s="281">
        <f t="shared" si="1848"/>
        <v>-50507</v>
      </c>
      <c r="AO358" s="281">
        <f t="shared" si="1849"/>
        <v>-19876.390310322982</v>
      </c>
      <c r="AP358" s="281">
        <f t="shared" si="1849"/>
        <v>-5391.7878269200883</v>
      </c>
      <c r="AQ358" s="281">
        <f>Consolidated!AQ181</f>
        <v>112537</v>
      </c>
      <c r="AR358" s="281">
        <f>Consolidated!AR181</f>
        <v>92660.609689677018</v>
      </c>
      <c r="AS358" s="282">
        <v>87268.821862756929</v>
      </c>
      <c r="AT358" s="281">
        <v>98380</v>
      </c>
      <c r="AU358" s="281">
        <f t="shared" si="2222"/>
        <v>103706</v>
      </c>
      <c r="AV358" s="281">
        <f t="shared" si="2223"/>
        <v>95227</v>
      </c>
      <c r="AW358" s="281">
        <f t="shared" si="2223"/>
        <v>78881</v>
      </c>
      <c r="AX358" s="281">
        <v>103706</v>
      </c>
      <c r="AY358" s="281">
        <v>95227</v>
      </c>
      <c r="AZ358" s="578">
        <f>Consolidated!AZ181</f>
        <v>78881</v>
      </c>
      <c r="BA358" s="578">
        <f>Consolidated!BA181</f>
        <v>58333</v>
      </c>
      <c r="BB358" s="578">
        <f>Consolidated!BB181</f>
        <v>19632</v>
      </c>
      <c r="BC358" s="578">
        <f>Consolidated!BC181</f>
        <v>4744</v>
      </c>
      <c r="BD358" s="578">
        <f>Consolidated!BD181</f>
        <v>-3737</v>
      </c>
      <c r="BE358" s="578">
        <f>Consolidated!BE181</f>
        <v>19632</v>
      </c>
      <c r="BF358" s="578">
        <f>Consolidated!BF181</f>
        <v>4744</v>
      </c>
      <c r="BG358" s="578">
        <f>Consolidated!BG181</f>
        <v>-3737</v>
      </c>
      <c r="BH358" s="578">
        <f>Consolidated!BH181</f>
        <v>-11241</v>
      </c>
      <c r="BI358" s="578">
        <f>Consolidated!BI181</f>
        <v>-3541</v>
      </c>
      <c r="BJ358" s="578">
        <f>Consolidated!BJ181</f>
        <v>-4459</v>
      </c>
      <c r="BK358" s="578">
        <f>Consolidated!BK181</f>
        <v>-5593</v>
      </c>
      <c r="BL358" s="578">
        <f>Consolidated!BL181</f>
        <v>-3541</v>
      </c>
      <c r="BM358" s="578">
        <f>Consolidated!BM181</f>
        <v>-4459</v>
      </c>
      <c r="BN358" s="578">
        <f>Consolidated!BN181</f>
        <v>-5593</v>
      </c>
      <c r="BO358" s="578">
        <f>Consolidated!BO181</f>
        <v>-720</v>
      </c>
      <c r="BP358" s="578">
        <f>Consolidated!BP181</f>
        <v>-174</v>
      </c>
      <c r="BQ358" s="578">
        <f>Consolidated!BQ181</f>
        <v>-31</v>
      </c>
      <c r="BR358" s="578">
        <f>Consolidated!BR181</f>
        <v>-14</v>
      </c>
      <c r="BS358" s="578">
        <f>Consolidated!BS181</f>
        <v>-174</v>
      </c>
      <c r="BT358" s="578">
        <f>Consolidated!BT181</f>
        <v>-31</v>
      </c>
      <c r="BU358" s="578">
        <f>Consolidated!BU181</f>
        <v>-14</v>
      </c>
      <c r="BV358" s="578">
        <f>Consolidated!BV181</f>
        <v>-22</v>
      </c>
      <c r="BW358" s="578">
        <f>Consolidated!BW181</f>
        <v>-26</v>
      </c>
      <c r="BX358" s="578">
        <f>Consolidated!BX181</f>
        <v>-55</v>
      </c>
      <c r="BY358" s="578">
        <f>Consolidated!BY181</f>
        <v>-67</v>
      </c>
      <c r="BZ358" s="578">
        <f>Consolidated!BZ181</f>
        <v>-26</v>
      </c>
      <c r="CA358" s="578">
        <f>Consolidated!CA181</f>
        <v>-55</v>
      </c>
      <c r="CB358" s="578">
        <f>Consolidated!CB181</f>
        <v>-67</v>
      </c>
      <c r="CC358" s="578">
        <f>Consolidated!CC181</f>
        <v>-29</v>
      </c>
      <c r="CD358" s="578">
        <f>Consolidated!CD181</f>
        <v>-61</v>
      </c>
      <c r="CE358" s="578">
        <f>Consolidated!CE181</f>
        <v>-182</v>
      </c>
      <c r="CF358" s="578">
        <f>Consolidated!CF181</f>
        <v>-276</v>
      </c>
      <c r="CG358" s="578">
        <f>Consolidated!CG181</f>
        <v>-61</v>
      </c>
      <c r="CH358" s="578">
        <f>Consolidated!CH181</f>
        <v>-182</v>
      </c>
      <c r="CI358" s="578">
        <f>Consolidated!CI181</f>
        <v>-276</v>
      </c>
      <c r="CJ358" s="578">
        <v>126</v>
      </c>
      <c r="CK358" s="578">
        <f>Consolidated!CK181</f>
        <v>41</v>
      </c>
      <c r="CL358" s="578">
        <f>Consolidated!CL181</f>
        <v>0</v>
      </c>
      <c r="CM358" s="578">
        <f>Consolidated!CM181</f>
        <v>0</v>
      </c>
      <c r="CN358" s="578">
        <f>Consolidated!CN181</f>
        <v>41</v>
      </c>
      <c r="CO358" s="578">
        <f>Consolidated!CO181</f>
        <v>0</v>
      </c>
    </row>
    <row r="359" spans="1:93" s="289" customFormat="1" x14ac:dyDescent="0.25">
      <c r="A359" s="455" t="str">
        <f>Language!C283</f>
        <v>Concebra</v>
      </c>
      <c r="B359" s="280">
        <v>0</v>
      </c>
      <c r="C359" s="280">
        <v>0</v>
      </c>
      <c r="D359" s="280">
        <v>0</v>
      </c>
      <c r="E359" s="280">
        <v>0</v>
      </c>
      <c r="F359" s="279">
        <v>0</v>
      </c>
      <c r="G359" s="280">
        <v>0</v>
      </c>
      <c r="H359" s="280">
        <v>0</v>
      </c>
      <c r="I359" s="280">
        <v>0</v>
      </c>
      <c r="J359" s="279">
        <v>0</v>
      </c>
      <c r="K359" s="280">
        <v>0</v>
      </c>
      <c r="L359" s="280">
        <v>0</v>
      </c>
      <c r="M359" s="280">
        <v>0</v>
      </c>
      <c r="N359" s="279">
        <v>-228188</v>
      </c>
      <c r="O359" s="280">
        <v>-95785</v>
      </c>
      <c r="P359" s="280">
        <v>76588</v>
      </c>
      <c r="Q359" s="280">
        <v>285292</v>
      </c>
      <c r="R359" s="279">
        <v>510412</v>
      </c>
      <c r="S359" s="280">
        <v>702840</v>
      </c>
      <c r="T359" s="280">
        <f t="shared" si="2219"/>
        <v>772935</v>
      </c>
      <c r="U359" s="280">
        <f>X359</f>
        <v>865241</v>
      </c>
      <c r="V359" s="280">
        <f t="shared" si="2068"/>
        <v>1213252</v>
      </c>
      <c r="W359" s="281">
        <v>772935</v>
      </c>
      <c r="X359" s="282">
        <v>865241</v>
      </c>
      <c r="Y359" s="283">
        <v>878828</v>
      </c>
      <c r="Z359" s="281">
        <f>AC359</f>
        <v>898258</v>
      </c>
      <c r="AA359" s="280">
        <f t="shared" si="2220"/>
        <v>916224</v>
      </c>
      <c r="AB359" s="280">
        <f>AE359</f>
        <v>899147</v>
      </c>
      <c r="AC359" s="281">
        <v>898258</v>
      </c>
      <c r="AD359" s="281">
        <v>916224</v>
      </c>
      <c r="AE359" s="282">
        <v>899147</v>
      </c>
      <c r="AF359" s="281">
        <v>945814</v>
      </c>
      <c r="AG359" s="281">
        <f t="shared" si="2221"/>
        <v>962105</v>
      </c>
      <c r="AH359" s="280">
        <f t="shared" si="2196"/>
        <v>922571</v>
      </c>
      <c r="AI359" s="280">
        <f t="shared" si="2197"/>
        <v>929030</v>
      </c>
      <c r="AJ359" s="281">
        <v>962105</v>
      </c>
      <c r="AK359" s="281">
        <v>922571</v>
      </c>
      <c r="AL359" s="282">
        <v>929030</v>
      </c>
      <c r="AM359" s="281">
        <f>Consolidated!AM182</f>
        <v>941831</v>
      </c>
      <c r="AN359" s="281">
        <f t="shared" si="1848"/>
        <v>19771</v>
      </c>
      <c r="AO359" s="281">
        <f t="shared" si="1849"/>
        <v>11804.838836112875</v>
      </c>
      <c r="AP359" s="281">
        <f t="shared" si="1849"/>
        <v>23043.618127466645</v>
      </c>
      <c r="AQ359" s="281">
        <f>Consolidated!AQ182</f>
        <v>961602</v>
      </c>
      <c r="AR359" s="281">
        <f>Consolidated!AR182</f>
        <v>973406.83883611287</v>
      </c>
      <c r="AS359" s="282">
        <v>996450.45696357952</v>
      </c>
      <c r="AT359" s="281">
        <v>1011667</v>
      </c>
      <c r="AU359" s="281">
        <f t="shared" si="2222"/>
        <v>1040774</v>
      </c>
      <c r="AV359" s="281">
        <f t="shared" si="2223"/>
        <v>1078982</v>
      </c>
      <c r="AW359" s="281">
        <f t="shared" si="2223"/>
        <v>1087476</v>
      </c>
      <c r="AX359" s="281">
        <v>1040774</v>
      </c>
      <c r="AY359" s="281">
        <v>1078982</v>
      </c>
      <c r="AZ359" s="578">
        <f>Consolidated!AZ182</f>
        <v>1087476</v>
      </c>
      <c r="BA359" s="578">
        <f>Consolidated!BA182</f>
        <v>1073186</v>
      </c>
      <c r="BB359" s="578">
        <f>Consolidated!BB182</f>
        <v>1080063</v>
      </c>
      <c r="BC359" s="578">
        <f>Consolidated!BC182</f>
        <v>1097647</v>
      </c>
      <c r="BD359" s="578">
        <f>Consolidated!BD182</f>
        <v>1122919</v>
      </c>
      <c r="BE359" s="578">
        <f>Consolidated!BE182</f>
        <v>1080063</v>
      </c>
      <c r="BF359" s="578">
        <f>Consolidated!BF182</f>
        <v>1097647</v>
      </c>
      <c r="BG359" s="578">
        <f>Consolidated!BG182</f>
        <v>1122919</v>
      </c>
      <c r="BH359" s="578">
        <f>Consolidated!BH182</f>
        <v>1147026</v>
      </c>
      <c r="BI359" s="578">
        <f>Consolidated!BI182</f>
        <v>1162278</v>
      </c>
      <c r="BJ359" s="578">
        <f>Consolidated!BJ182</f>
        <v>1170107</v>
      </c>
      <c r="BK359" s="578">
        <f>Consolidated!BK182</f>
        <v>1204534</v>
      </c>
      <c r="BL359" s="578">
        <f>Consolidated!BL182</f>
        <v>1162278</v>
      </c>
      <c r="BM359" s="578">
        <f>Consolidated!BM182</f>
        <v>1170107</v>
      </c>
      <c r="BN359" s="578">
        <f>Consolidated!BN182</f>
        <v>1204534</v>
      </c>
      <c r="BO359" s="578">
        <f>Consolidated!BO182</f>
        <v>1223961</v>
      </c>
      <c r="BP359" s="578">
        <f>Consolidated!BP182</f>
        <v>1241154</v>
      </c>
      <c r="BQ359" s="578">
        <f>Consolidated!BQ182</f>
        <v>1196498</v>
      </c>
      <c r="BR359" s="578">
        <f>Consolidated!BR182</f>
        <v>1177984</v>
      </c>
      <c r="BS359" s="578">
        <f>Consolidated!BS182</f>
        <v>1241154</v>
      </c>
      <c r="BT359" s="578">
        <f>Consolidated!BT182</f>
        <v>1196498</v>
      </c>
      <c r="BU359" s="578">
        <f>Consolidated!BU182</f>
        <v>1177984</v>
      </c>
      <c r="BV359" s="578">
        <f>Consolidated!BV182</f>
        <v>1168360</v>
      </c>
      <c r="BW359" s="578">
        <f>Consolidated!BW182</f>
        <v>1155801</v>
      </c>
      <c r="BX359" s="578">
        <f>Consolidated!BX182</f>
        <v>1122151</v>
      </c>
      <c r="BY359" s="578">
        <f>Consolidated!BY182</f>
        <v>1090344</v>
      </c>
      <c r="BZ359" s="578">
        <f>Consolidated!BZ182</f>
        <v>1155801</v>
      </c>
      <c r="CA359" s="578">
        <f>Consolidated!CA182</f>
        <v>1122151</v>
      </c>
      <c r="CB359" s="578">
        <f>Consolidated!CB182</f>
        <v>1090344</v>
      </c>
      <c r="CC359" s="578">
        <f>Consolidated!CC182</f>
        <v>1071936</v>
      </c>
      <c r="CD359" s="578">
        <f>Consolidated!CD182</f>
        <v>1051748</v>
      </c>
      <c r="CE359" s="578">
        <f>Consolidated!CE182</f>
        <v>1019075</v>
      </c>
      <c r="CF359" s="578">
        <f>Consolidated!CF182</f>
        <v>989655</v>
      </c>
      <c r="CG359" s="578">
        <f>Consolidated!CG182</f>
        <v>1051748</v>
      </c>
      <c r="CH359" s="578">
        <f>Consolidated!CH182</f>
        <v>1019075</v>
      </c>
      <c r="CI359" s="578">
        <f>Consolidated!CI182</f>
        <v>989655</v>
      </c>
      <c r="CJ359" s="578">
        <v>963077</v>
      </c>
      <c r="CK359" s="578">
        <f>Consolidated!CK182</f>
        <v>957050</v>
      </c>
      <c r="CL359" s="578">
        <f>Consolidated!CL182</f>
        <v>0</v>
      </c>
      <c r="CM359" s="578">
        <f>Consolidated!CM182</f>
        <v>0</v>
      </c>
      <c r="CN359" s="578">
        <f>Consolidated!CN182</f>
        <v>957050</v>
      </c>
      <c r="CO359" s="578">
        <f>Consolidated!CO182</f>
        <v>0</v>
      </c>
    </row>
    <row r="360" spans="1:93" s="289" customFormat="1" x14ac:dyDescent="0.25">
      <c r="A360" s="455" t="str">
        <f>Language!C284</f>
        <v>Transbrasiliana</v>
      </c>
      <c r="B360" s="280">
        <v>0</v>
      </c>
      <c r="C360" s="280">
        <v>0</v>
      </c>
      <c r="D360" s="280">
        <v>0</v>
      </c>
      <c r="E360" s="280">
        <v>0</v>
      </c>
      <c r="F360" s="279">
        <v>0</v>
      </c>
      <c r="G360" s="280">
        <v>0</v>
      </c>
      <c r="H360" s="280">
        <v>0</v>
      </c>
      <c r="I360" s="280">
        <v>0</v>
      </c>
      <c r="J360" s="279">
        <v>0</v>
      </c>
      <c r="K360" s="280">
        <v>0</v>
      </c>
      <c r="L360" s="280">
        <v>0</v>
      </c>
      <c r="M360" s="280">
        <v>0</v>
      </c>
      <c r="N360" s="279">
        <v>0</v>
      </c>
      <c r="O360" s="280">
        <v>0</v>
      </c>
      <c r="P360" s="280">
        <v>0</v>
      </c>
      <c r="Q360" s="280">
        <v>0</v>
      </c>
      <c r="R360" s="279">
        <v>326383</v>
      </c>
      <c r="S360" s="280">
        <v>330180</v>
      </c>
      <c r="T360" s="280">
        <f t="shared" si="2219"/>
        <v>340502</v>
      </c>
      <c r="U360" s="280">
        <f>X360</f>
        <v>326432</v>
      </c>
      <c r="V360" s="280">
        <f t="shared" si="2068"/>
        <v>656563</v>
      </c>
      <c r="W360" s="281">
        <v>340502</v>
      </c>
      <c r="X360" s="282">
        <v>326432</v>
      </c>
      <c r="Y360" s="283">
        <v>347169</v>
      </c>
      <c r="Z360" s="281">
        <f>AC360</f>
        <v>351912</v>
      </c>
      <c r="AA360" s="280">
        <f t="shared" si="2220"/>
        <v>354938</v>
      </c>
      <c r="AB360" s="280">
        <f>AE360</f>
        <v>358815</v>
      </c>
      <c r="AC360" s="281">
        <v>351912</v>
      </c>
      <c r="AD360" s="281">
        <v>354938</v>
      </c>
      <c r="AE360" s="282">
        <v>358815</v>
      </c>
      <c r="AF360" s="281">
        <v>349294</v>
      </c>
      <c r="AG360" s="281">
        <f t="shared" si="2221"/>
        <v>350511</v>
      </c>
      <c r="AH360" s="280">
        <f t="shared" si="2196"/>
        <v>352133</v>
      </c>
      <c r="AI360" s="280">
        <f t="shared" si="2197"/>
        <v>261975</v>
      </c>
      <c r="AJ360" s="281">
        <v>350511</v>
      </c>
      <c r="AK360" s="281">
        <v>352133</v>
      </c>
      <c r="AL360" s="282">
        <v>261975</v>
      </c>
      <c r="AM360" s="281">
        <f>Consolidated!AM183</f>
        <v>251617</v>
      </c>
      <c r="AN360" s="281">
        <f t="shared" si="1848"/>
        <v>1994</v>
      </c>
      <c r="AO360" s="281">
        <f t="shared" si="1849"/>
        <v>2311.7787418197258</v>
      </c>
      <c r="AP360" s="281">
        <f t="shared" si="1849"/>
        <v>8410.5079618585296</v>
      </c>
      <c r="AQ360" s="281">
        <f>Consolidated!AQ183</f>
        <v>253611</v>
      </c>
      <c r="AR360" s="281">
        <f>Consolidated!AR183</f>
        <v>255922.77874181973</v>
      </c>
      <c r="AS360" s="282">
        <v>264333.28670367826</v>
      </c>
      <c r="AT360" s="281">
        <v>263273</v>
      </c>
      <c r="AU360" s="281">
        <f t="shared" si="2222"/>
        <v>260783</v>
      </c>
      <c r="AV360" s="281">
        <f t="shared" si="2223"/>
        <v>257170</v>
      </c>
      <c r="AW360" s="281">
        <f t="shared" si="2223"/>
        <v>272861</v>
      </c>
      <c r="AX360" s="281">
        <v>260783</v>
      </c>
      <c r="AY360" s="281">
        <v>257170</v>
      </c>
      <c r="AZ360" s="578">
        <f>Consolidated!AZ183</f>
        <v>272861</v>
      </c>
      <c r="BA360" s="578">
        <f>Consolidated!BA183</f>
        <v>276470</v>
      </c>
      <c r="BB360" s="578">
        <f>Consolidated!BB183</f>
        <v>279639</v>
      </c>
      <c r="BC360" s="578">
        <f>Consolidated!BC183</f>
        <v>287902</v>
      </c>
      <c r="BD360" s="578">
        <f>Consolidated!BD183</f>
        <v>268762</v>
      </c>
      <c r="BE360" s="578">
        <f>Consolidated!BE183</f>
        <v>279639</v>
      </c>
      <c r="BF360" s="578">
        <f>Consolidated!BF183</f>
        <v>287902</v>
      </c>
      <c r="BG360" s="578">
        <f>Consolidated!BG183</f>
        <v>268762</v>
      </c>
      <c r="BH360" s="578">
        <f>Consolidated!BH183</f>
        <v>267174</v>
      </c>
      <c r="BI360" s="578">
        <f>Consolidated!BI183</f>
        <v>250383</v>
      </c>
      <c r="BJ360" s="578">
        <f>Consolidated!BJ183</f>
        <v>181499</v>
      </c>
      <c r="BK360" s="578">
        <f>Consolidated!BK183</f>
        <v>176283</v>
      </c>
      <c r="BL360" s="578">
        <f>Consolidated!BL183</f>
        <v>250383</v>
      </c>
      <c r="BM360" s="578">
        <f>Consolidated!BM183</f>
        <v>181499</v>
      </c>
      <c r="BN360" s="578">
        <f>Consolidated!BN183</f>
        <v>176283</v>
      </c>
      <c r="BO360" s="578">
        <f>Consolidated!BO183</f>
        <v>159944</v>
      </c>
      <c r="BP360" s="578">
        <f>Consolidated!BP183</f>
        <v>224199</v>
      </c>
      <c r="BQ360" s="578">
        <f>Consolidated!BQ183</f>
        <v>245350</v>
      </c>
      <c r="BR360" s="578">
        <f>Consolidated!BR183</f>
        <v>254859</v>
      </c>
      <c r="BS360" s="578">
        <f>Consolidated!BS183</f>
        <v>224199</v>
      </c>
      <c r="BT360" s="578">
        <f>Consolidated!BT183</f>
        <v>245350</v>
      </c>
      <c r="BU360" s="578">
        <f>Consolidated!BU183</f>
        <v>254859</v>
      </c>
      <c r="BV360" s="578">
        <f>Consolidated!BV183</f>
        <v>269113</v>
      </c>
      <c r="BW360" s="578">
        <f>Consolidated!BW183</f>
        <v>293393</v>
      </c>
      <c r="BX360" s="578">
        <f>Consolidated!BX183</f>
        <v>297220</v>
      </c>
      <c r="BY360" s="578">
        <f>Consolidated!BY183</f>
        <v>293795</v>
      </c>
      <c r="BZ360" s="578">
        <f>Consolidated!BZ183</f>
        <v>293393</v>
      </c>
      <c r="CA360" s="578">
        <f>Consolidated!CA183</f>
        <v>297220</v>
      </c>
      <c r="CB360" s="578">
        <f>Consolidated!CB183</f>
        <v>293795</v>
      </c>
      <c r="CC360" s="578">
        <f>Consolidated!CC183</f>
        <v>295995</v>
      </c>
      <c r="CD360" s="578">
        <f>Consolidated!CD183</f>
        <v>299063</v>
      </c>
      <c r="CE360" s="578">
        <f>Consolidated!CE183</f>
        <v>296248</v>
      </c>
      <c r="CF360" s="578">
        <f>Consolidated!CF183</f>
        <v>304494</v>
      </c>
      <c r="CG360" s="578">
        <f>Consolidated!CG183</f>
        <v>299063</v>
      </c>
      <c r="CH360" s="578">
        <f>Consolidated!CH183</f>
        <v>296248</v>
      </c>
      <c r="CI360" s="578">
        <f>Consolidated!CI183</f>
        <v>304494</v>
      </c>
      <c r="CJ360" s="578">
        <v>304747</v>
      </c>
      <c r="CK360" s="578">
        <f>Consolidated!CK183</f>
        <v>308419</v>
      </c>
      <c r="CL360" s="578">
        <f>Consolidated!CL183</f>
        <v>0</v>
      </c>
      <c r="CM360" s="578">
        <f>Consolidated!CM183</f>
        <v>0</v>
      </c>
      <c r="CN360" s="578">
        <f>Consolidated!CN183</f>
        <v>308419</v>
      </c>
      <c r="CO360" s="578">
        <f>Consolidated!CO183</f>
        <v>0</v>
      </c>
    </row>
    <row r="361" spans="1:93" s="289" customFormat="1" x14ac:dyDescent="0.25">
      <c r="A361" s="713" t="s">
        <v>670</v>
      </c>
      <c r="B361" s="280"/>
      <c r="C361" s="280"/>
      <c r="D361" s="280"/>
      <c r="E361" s="280"/>
      <c r="F361" s="279"/>
      <c r="G361" s="280"/>
      <c r="H361" s="280"/>
      <c r="I361" s="280"/>
      <c r="J361" s="279"/>
      <c r="K361" s="280"/>
      <c r="L361" s="280"/>
      <c r="M361" s="280"/>
      <c r="N361" s="279"/>
      <c r="O361" s="280"/>
      <c r="P361" s="280"/>
      <c r="Q361" s="280"/>
      <c r="R361" s="279"/>
      <c r="S361" s="280"/>
      <c r="T361" s="280"/>
      <c r="U361" s="280"/>
      <c r="V361" s="280"/>
      <c r="W361" s="281"/>
      <c r="X361" s="282"/>
      <c r="Y361" s="283"/>
      <c r="Z361" s="281"/>
      <c r="AA361" s="280"/>
      <c r="AB361" s="280"/>
      <c r="AC361" s="281"/>
      <c r="AD361" s="281"/>
      <c r="AE361" s="282"/>
      <c r="AF361" s="281"/>
      <c r="AG361" s="281"/>
      <c r="AH361" s="280"/>
      <c r="AI361" s="280"/>
      <c r="AJ361" s="281"/>
      <c r="AK361" s="281"/>
      <c r="AL361" s="282"/>
      <c r="AM361" s="281"/>
      <c r="AN361" s="281"/>
      <c r="AO361" s="281"/>
      <c r="AP361" s="281"/>
      <c r="AQ361" s="281"/>
      <c r="AR361" s="281"/>
      <c r="AS361" s="282"/>
      <c r="AT361" s="281"/>
      <c r="AU361" s="281">
        <f t="shared" si="2222"/>
        <v>-39</v>
      </c>
      <c r="AV361" s="281"/>
      <c r="AW361" s="281"/>
      <c r="AX361" s="281">
        <v>-39</v>
      </c>
      <c r="AY361" s="281">
        <v>-133</v>
      </c>
      <c r="AZ361" s="578"/>
      <c r="BA361" s="578"/>
      <c r="BB361" s="578"/>
      <c r="BC361" s="578"/>
      <c r="BD361" s="578"/>
      <c r="BE361" s="578"/>
      <c r="BF361" s="578"/>
      <c r="BG361" s="578"/>
      <c r="BH361" s="578"/>
      <c r="BI361" s="578"/>
      <c r="BJ361" s="578"/>
      <c r="BK361" s="578"/>
      <c r="BL361" s="578"/>
      <c r="BM361" s="578"/>
      <c r="BN361" s="578"/>
      <c r="BO361" s="578"/>
      <c r="BP361" s="578"/>
      <c r="BQ361" s="578"/>
      <c r="BR361" s="578"/>
      <c r="BS361" s="578"/>
      <c r="BT361" s="578"/>
      <c r="BU361" s="578"/>
      <c r="BV361" s="578"/>
    </row>
    <row r="362" spans="1:93" s="483" customFormat="1" ht="13" x14ac:dyDescent="0.3">
      <c r="A362" s="469" t="str">
        <f>Language!C285</f>
        <v>Receita Líquida Ajustada</v>
      </c>
      <c r="B362" s="470">
        <f t="shared" ref="B362:M362" si="2224">SUM(B363,-B364,B365)</f>
        <v>103684</v>
      </c>
      <c r="C362" s="470">
        <f t="shared" si="2224"/>
        <v>95027</v>
      </c>
      <c r="D362" s="470">
        <f t="shared" si="2224"/>
        <v>99888</v>
      </c>
      <c r="E362" s="470">
        <f t="shared" si="2224"/>
        <v>111535</v>
      </c>
      <c r="F362" s="471">
        <f t="shared" si="2224"/>
        <v>117524</v>
      </c>
      <c r="G362" s="470">
        <f t="shared" si="2224"/>
        <v>104708</v>
      </c>
      <c r="H362" s="470">
        <f t="shared" si="2224"/>
        <v>111663</v>
      </c>
      <c r="I362" s="470">
        <f t="shared" si="2224"/>
        <v>128058</v>
      </c>
      <c r="J362" s="471">
        <f t="shared" si="2224"/>
        <v>129782</v>
      </c>
      <c r="K362" s="470">
        <f t="shared" si="2224"/>
        <v>112636</v>
      </c>
      <c r="L362" s="470">
        <f t="shared" si="2224"/>
        <v>122988</v>
      </c>
      <c r="M362" s="470">
        <f t="shared" si="2224"/>
        <v>136975</v>
      </c>
      <c r="N362" s="471">
        <f>SUM(N363,-N364,N365)</f>
        <v>141129</v>
      </c>
      <c r="O362" s="470">
        <f t="shared" ref="O362" si="2225">SUM(O363,-O364,O365)</f>
        <v>150897</v>
      </c>
      <c r="P362" s="470">
        <f t="shared" ref="P362" si="2226">SUM(P363,-P364,P365)</f>
        <v>185375</v>
      </c>
      <c r="Q362" s="470">
        <f t="shared" ref="Q362" si="2227">SUM(Q363,-Q364,Q365)</f>
        <v>145238</v>
      </c>
      <c r="R362" s="471">
        <f t="shared" ref="R362:S362" si="2228">SUM(R363,-R364,R365)</f>
        <v>317206</v>
      </c>
      <c r="S362" s="470">
        <f t="shared" si="2228"/>
        <v>197358</v>
      </c>
      <c r="T362" s="470">
        <f t="shared" ref="T362:U362" si="2229">SUM(T363,-T364,T365)</f>
        <v>275827</v>
      </c>
      <c r="U362" s="470">
        <f t="shared" si="2229"/>
        <v>248161</v>
      </c>
      <c r="V362" s="470">
        <f t="shared" ref="V362" si="2230">SUM(V363,-V364,V365)</f>
        <v>514564</v>
      </c>
      <c r="W362" s="561">
        <f>SUM(W363,-W364,W365)</f>
        <v>790391</v>
      </c>
      <c r="X362" s="562">
        <f>SUM(X363,-X364,X365)</f>
        <v>1038552</v>
      </c>
      <c r="Y362" s="563">
        <f>SUM(Y363,-Y364,Y365)</f>
        <v>284461</v>
      </c>
      <c r="Z362" s="561">
        <f t="shared" ref="Z362:AC362" si="2231">SUM(Z363,-Z364,Z365)</f>
        <v>258349</v>
      </c>
      <c r="AA362" s="470">
        <f t="shared" si="2231"/>
        <v>270212</v>
      </c>
      <c r="AB362" s="470">
        <f t="shared" si="2231"/>
        <v>286585</v>
      </c>
      <c r="AC362" s="561">
        <f t="shared" si="2231"/>
        <v>542810</v>
      </c>
      <c r="AD362" s="561">
        <f t="shared" ref="AD362:AE362" si="2232">SUM(AD363,-AD364,AD365)</f>
        <v>813022</v>
      </c>
      <c r="AE362" s="562">
        <f t="shared" si="2232"/>
        <v>1099607</v>
      </c>
      <c r="AF362" s="561">
        <f t="shared" ref="AF362:AJ362" si="2233">SUM(AF363,-AF364,AF365)</f>
        <v>292557</v>
      </c>
      <c r="AG362" s="561">
        <f t="shared" si="2233"/>
        <v>269296</v>
      </c>
      <c r="AH362" s="470">
        <f t="shared" si="2233"/>
        <v>277824</v>
      </c>
      <c r="AI362" s="470">
        <f t="shared" si="2233"/>
        <v>280339</v>
      </c>
      <c r="AJ362" s="561">
        <f t="shared" si="2233"/>
        <v>561853</v>
      </c>
      <c r="AK362" s="561">
        <f t="shared" ref="AK362" si="2234">SUM(AK363,-AK364,AK365)</f>
        <v>839677</v>
      </c>
      <c r="AL362" s="562">
        <f t="shared" ref="AL362:AM362" si="2235">SUM(AL363,-AL364,AL365)</f>
        <v>1120016</v>
      </c>
      <c r="AM362" s="561">
        <f t="shared" si="2235"/>
        <v>262573</v>
      </c>
      <c r="AN362" s="561">
        <f t="shared" si="1848"/>
        <v>239468</v>
      </c>
      <c r="AO362" s="561">
        <f t="shared" si="1849"/>
        <v>227129</v>
      </c>
      <c r="AP362" s="561">
        <f t="shared" si="1849"/>
        <v>208940</v>
      </c>
      <c r="AQ362" s="561">
        <f t="shared" ref="AQ362:AR362" si="2236">SUM(AQ363,-AQ364,AQ365)</f>
        <v>502041</v>
      </c>
      <c r="AR362" s="561">
        <f t="shared" si="2236"/>
        <v>729170</v>
      </c>
      <c r="AS362" s="562">
        <f t="shared" ref="AS362:AT362" si="2237">SUM(AS363,-AS364,AS365)</f>
        <v>938110</v>
      </c>
      <c r="AT362" s="561">
        <f t="shared" si="2237"/>
        <v>182897.4412</v>
      </c>
      <c r="AU362" s="561">
        <f t="shared" ref="AU362:AX362" si="2238">SUM(AU363,-AU364,AU365)</f>
        <v>196767.49039999998</v>
      </c>
      <c r="AV362" s="561">
        <f>SUM(AV363,-AV364,AV365)-1</f>
        <v>225227.43219999998</v>
      </c>
      <c r="AW362" s="561">
        <f t="shared" si="2238"/>
        <v>239935.94239999994</v>
      </c>
      <c r="AX362" s="561">
        <f t="shared" si="2238"/>
        <v>379664.93160000001</v>
      </c>
      <c r="AY362" s="561">
        <f t="shared" ref="AY362" si="2239">SUM(AY363,-AY364,AY365)</f>
        <v>604892.36380000005</v>
      </c>
      <c r="AZ362" s="561">
        <f t="shared" ref="AZ362:BA362" si="2240">SUM(AZ363,-AZ364,AZ365)</f>
        <v>845037.19339999999</v>
      </c>
      <c r="BA362" s="561">
        <f t="shared" si="2240"/>
        <v>216858</v>
      </c>
      <c r="BB362" s="561">
        <f t="shared" ref="BB362:BC362" si="2241">SUM(BB363,-BB364,BB365)</f>
        <v>184332</v>
      </c>
      <c r="BC362" s="561">
        <f t="shared" si="2241"/>
        <v>200590</v>
      </c>
      <c r="BD362" s="561">
        <f t="shared" ref="BD362" si="2242">SUM(BD363,-BD364,BD365)</f>
        <v>214531</v>
      </c>
      <c r="BE362" s="561">
        <f t="shared" ref="BE362:BF362" si="2243">SUM(BE363,-BE364,BE365)</f>
        <v>401190</v>
      </c>
      <c r="BF362" s="561">
        <f t="shared" si="2243"/>
        <v>601780</v>
      </c>
      <c r="BG362" s="561">
        <f t="shared" ref="BG362:BH362" si="2244">SUM(BG363,-BG364,BG365)</f>
        <v>816318</v>
      </c>
      <c r="BH362" s="561">
        <f t="shared" si="2244"/>
        <v>199621</v>
      </c>
      <c r="BI362" s="561">
        <f t="shared" ref="BI362:BL362" si="2245">SUM(BI363,-BI364,BI365)</f>
        <v>210382</v>
      </c>
      <c r="BJ362" s="561">
        <f t="shared" si="2245"/>
        <v>229825</v>
      </c>
      <c r="BK362" s="561">
        <f t="shared" si="2245"/>
        <v>204670</v>
      </c>
      <c r="BL362" s="561">
        <f t="shared" si="2245"/>
        <v>410003</v>
      </c>
      <c r="BM362" s="561">
        <f t="shared" ref="BM362:BN362" si="2246">SUM(BM363,-BM364,BM365)</f>
        <v>639828</v>
      </c>
      <c r="BN362" s="561">
        <f t="shared" si="2246"/>
        <v>844498</v>
      </c>
      <c r="BO362" s="561">
        <f t="shared" ref="BO362:BS362" si="2247">SUM(BO363,-BO364,BO365)</f>
        <v>150479</v>
      </c>
      <c r="BP362" s="561">
        <f t="shared" si="2247"/>
        <v>157986</v>
      </c>
      <c r="BQ362" s="561">
        <f>SUM(BQ363,-BQ364,BQ365)</f>
        <v>147282</v>
      </c>
      <c r="BR362" s="561">
        <f>SUM(BR363,-BR364,BR365)</f>
        <v>197909</v>
      </c>
      <c r="BS362" s="561">
        <f t="shared" si="2247"/>
        <v>612314</v>
      </c>
      <c r="BT362" s="561">
        <f t="shared" ref="BT362:BU362" si="2248">SUM(BT363,-BT364,BT365)</f>
        <v>759596</v>
      </c>
      <c r="BU362" s="561">
        <f t="shared" si="2248"/>
        <v>957505</v>
      </c>
      <c r="BV362" s="561">
        <f t="shared" ref="BV362:BZ362" si="2249">SUM(BV363,-BV364,BV365)</f>
        <v>173226</v>
      </c>
      <c r="BW362" s="561">
        <f t="shared" si="2249"/>
        <v>159073</v>
      </c>
      <c r="BX362" s="561">
        <f t="shared" si="2249"/>
        <v>188866</v>
      </c>
      <c r="BY362" s="561">
        <f t="shared" si="2249"/>
        <v>209334</v>
      </c>
      <c r="BZ362" s="561">
        <f t="shared" si="2249"/>
        <v>332299</v>
      </c>
      <c r="CA362" s="561">
        <f t="shared" ref="CA362:CB362" si="2250">SUM(CA363,-CA364,CA365)</f>
        <v>521165</v>
      </c>
      <c r="CB362" s="561">
        <f t="shared" si="2250"/>
        <v>727049</v>
      </c>
      <c r="CC362" s="561">
        <f t="shared" ref="CC362:CD362" si="2251">SUM(CC363,-CC364,CC365)</f>
        <v>225295</v>
      </c>
      <c r="CD362" s="561">
        <f t="shared" si="2251"/>
        <v>230578</v>
      </c>
      <c r="CE362" s="561">
        <f t="shared" ref="CE362:CG362" si="2252">SUM(CE363,-CE364,CE365)</f>
        <v>361553</v>
      </c>
      <c r="CF362" s="561">
        <f t="shared" si="2252"/>
        <v>285342</v>
      </c>
      <c r="CG362" s="561">
        <f t="shared" si="2252"/>
        <v>455873</v>
      </c>
      <c r="CH362" s="561">
        <f t="shared" ref="CH362:CI362" si="2253">SUM(CH363,-CH364,CH365)</f>
        <v>815919</v>
      </c>
      <c r="CI362" s="561">
        <f t="shared" si="2253"/>
        <v>1101261</v>
      </c>
      <c r="CJ362" s="561">
        <v>243176</v>
      </c>
      <c r="CK362" s="561">
        <f t="shared" ref="CK362" si="2254">SUM(CK363,-CK364,CK365)</f>
        <v>229913</v>
      </c>
      <c r="CL362" s="561">
        <f t="shared" ref="CL362:CO362" si="2255">SUM(CL363,-CL364,CL365)</f>
        <v>0</v>
      </c>
      <c r="CM362" s="561">
        <f t="shared" si="2255"/>
        <v>0</v>
      </c>
      <c r="CN362" s="561">
        <f t="shared" si="2255"/>
        <v>473089</v>
      </c>
      <c r="CO362" s="561">
        <f t="shared" si="2255"/>
        <v>0</v>
      </c>
    </row>
    <row r="363" spans="1:93" s="483" customFormat="1" x14ac:dyDescent="0.25">
      <c r="A363" s="564" t="str">
        <f>Language!C286</f>
        <v>(+) Receita Líquida</v>
      </c>
      <c r="B363" s="565">
        <f t="shared" ref="B363:AM363" si="2256">B139</f>
        <v>132220</v>
      </c>
      <c r="C363" s="565">
        <f t="shared" si="2256"/>
        <v>100496</v>
      </c>
      <c r="D363" s="565">
        <f t="shared" si="2256"/>
        <v>123737</v>
      </c>
      <c r="E363" s="565">
        <f t="shared" si="2256"/>
        <v>148336</v>
      </c>
      <c r="F363" s="566">
        <f t="shared" si="2256"/>
        <v>146244</v>
      </c>
      <c r="G363" s="565">
        <f t="shared" si="2256"/>
        <v>138973</v>
      </c>
      <c r="H363" s="565">
        <f t="shared" si="2256"/>
        <v>144473</v>
      </c>
      <c r="I363" s="565">
        <f t="shared" si="2256"/>
        <v>180493</v>
      </c>
      <c r="J363" s="566">
        <f t="shared" si="2256"/>
        <v>162398</v>
      </c>
      <c r="K363" s="565">
        <f t="shared" si="2256"/>
        <v>145965</v>
      </c>
      <c r="L363" s="565">
        <f t="shared" si="2256"/>
        <v>156098</v>
      </c>
      <c r="M363" s="565">
        <f t="shared" si="2256"/>
        <v>206555</v>
      </c>
      <c r="N363" s="566">
        <f t="shared" si="2256"/>
        <v>203754</v>
      </c>
      <c r="O363" s="565">
        <f t="shared" si="2256"/>
        <v>340207</v>
      </c>
      <c r="P363" s="565">
        <f t="shared" si="2256"/>
        <v>409619</v>
      </c>
      <c r="Q363" s="565">
        <f t="shared" si="2256"/>
        <v>508999</v>
      </c>
      <c r="R363" s="566">
        <f t="shared" si="2256"/>
        <v>628176</v>
      </c>
      <c r="S363" s="565">
        <f t="shared" si="2256"/>
        <v>525862</v>
      </c>
      <c r="T363" s="565">
        <f t="shared" si="2256"/>
        <v>510882</v>
      </c>
      <c r="U363" s="565">
        <f t="shared" si="2256"/>
        <v>485567</v>
      </c>
      <c r="V363" s="565">
        <f t="shared" si="2256"/>
        <v>1154038</v>
      </c>
      <c r="W363" s="567">
        <f t="shared" si="2256"/>
        <v>1664920</v>
      </c>
      <c r="X363" s="568">
        <f t="shared" si="2256"/>
        <v>2150487</v>
      </c>
      <c r="Y363" s="569">
        <f t="shared" si="2256"/>
        <v>376967</v>
      </c>
      <c r="Z363" s="567">
        <f t="shared" si="2256"/>
        <v>344802</v>
      </c>
      <c r="AA363" s="565">
        <f t="shared" si="2256"/>
        <v>318066</v>
      </c>
      <c r="AB363" s="565">
        <f t="shared" si="2256"/>
        <v>378988</v>
      </c>
      <c r="AC363" s="567">
        <f t="shared" si="2256"/>
        <v>721769</v>
      </c>
      <c r="AD363" s="567">
        <f t="shared" si="2256"/>
        <v>1039835</v>
      </c>
      <c r="AE363" s="568">
        <f t="shared" si="2256"/>
        <v>1418823</v>
      </c>
      <c r="AF363" s="567">
        <f t="shared" si="2256"/>
        <v>326882</v>
      </c>
      <c r="AG363" s="567">
        <f t="shared" si="2256"/>
        <v>357149</v>
      </c>
      <c r="AH363" s="565">
        <f t="shared" si="2256"/>
        <v>348793</v>
      </c>
      <c r="AI363" s="565">
        <f t="shared" si="2256"/>
        <v>336689</v>
      </c>
      <c r="AJ363" s="567">
        <f t="shared" si="2256"/>
        <v>684031</v>
      </c>
      <c r="AK363" s="567">
        <f t="shared" si="2256"/>
        <v>1032824</v>
      </c>
      <c r="AL363" s="568">
        <f t="shared" si="2256"/>
        <v>1369513</v>
      </c>
      <c r="AM363" s="567">
        <f t="shared" si="2256"/>
        <v>295433</v>
      </c>
      <c r="AN363" s="567">
        <f t="shared" si="1848"/>
        <v>281484</v>
      </c>
      <c r="AO363" s="567">
        <f t="shared" si="1849"/>
        <v>278609</v>
      </c>
      <c r="AP363" s="567">
        <f t="shared" si="1849"/>
        <v>258039</v>
      </c>
      <c r="AQ363" s="567">
        <f t="shared" ref="AQ363:CI363" si="2257">AQ139</f>
        <v>576917</v>
      </c>
      <c r="AR363" s="567">
        <f t="shared" si="2257"/>
        <v>855526</v>
      </c>
      <c r="AS363" s="568">
        <f t="shared" si="2257"/>
        <v>1113565</v>
      </c>
      <c r="AT363" s="567">
        <f t="shared" si="2257"/>
        <v>205713.7114</v>
      </c>
      <c r="AU363" s="567">
        <f t="shared" si="2257"/>
        <v>210951.29259999999</v>
      </c>
      <c r="AV363" s="567">
        <f t="shared" si="2257"/>
        <v>252465.10019999999</v>
      </c>
      <c r="AW363" s="567">
        <f t="shared" si="2257"/>
        <v>270613.05519999994</v>
      </c>
      <c r="AX363" s="567">
        <f t="shared" si="2257"/>
        <v>416665.00399999996</v>
      </c>
      <c r="AY363" s="567">
        <f t="shared" si="2257"/>
        <v>669129.10420000006</v>
      </c>
      <c r="AZ363" s="567">
        <f t="shared" si="2257"/>
        <v>939742.1594</v>
      </c>
      <c r="BA363" s="567">
        <f t="shared" si="2257"/>
        <v>242710</v>
      </c>
      <c r="BB363" s="567">
        <f t="shared" si="2257"/>
        <v>207740</v>
      </c>
      <c r="BC363" s="567">
        <f t="shared" si="2257"/>
        <v>227606</v>
      </c>
      <c r="BD363" s="567">
        <f t="shared" si="2257"/>
        <v>249157</v>
      </c>
      <c r="BE363" s="567">
        <f t="shared" si="2257"/>
        <v>450450</v>
      </c>
      <c r="BF363" s="567">
        <f t="shared" si="2257"/>
        <v>678056</v>
      </c>
      <c r="BG363" s="567">
        <f t="shared" si="2257"/>
        <v>927220</v>
      </c>
      <c r="BH363" s="567">
        <f t="shared" si="2257"/>
        <v>232837</v>
      </c>
      <c r="BI363" s="567">
        <f t="shared" si="2257"/>
        <v>247543</v>
      </c>
      <c r="BJ363" s="567">
        <f t="shared" si="2257"/>
        <v>276259</v>
      </c>
      <c r="BK363" s="567">
        <f t="shared" si="2257"/>
        <v>246217</v>
      </c>
      <c r="BL363" s="567">
        <f t="shared" si="2257"/>
        <v>480380</v>
      </c>
      <c r="BM363" s="567">
        <f t="shared" si="2257"/>
        <v>756639</v>
      </c>
      <c r="BN363" s="567">
        <f t="shared" si="2257"/>
        <v>1002856</v>
      </c>
      <c r="BO363" s="567">
        <f t="shared" si="2257"/>
        <v>172554</v>
      </c>
      <c r="BP363" s="567">
        <f t="shared" si="2257"/>
        <v>185064</v>
      </c>
      <c r="BQ363" s="567">
        <f t="shared" si="2257"/>
        <v>185224</v>
      </c>
      <c r="BR363" s="567">
        <f t="shared" si="2257"/>
        <v>225957</v>
      </c>
      <c r="BS363" s="567">
        <f t="shared" si="2257"/>
        <v>661585</v>
      </c>
      <c r="BT363" s="567">
        <f t="shared" si="2257"/>
        <v>846809</v>
      </c>
      <c r="BU363" s="567">
        <f t="shared" si="2257"/>
        <v>1072766</v>
      </c>
      <c r="BV363" s="567">
        <f t="shared" si="2257"/>
        <v>208301</v>
      </c>
      <c r="BW363" s="567">
        <f t="shared" si="2257"/>
        <v>201839</v>
      </c>
      <c r="BX363" s="567">
        <f t="shared" si="2257"/>
        <v>309511</v>
      </c>
      <c r="BY363" s="567">
        <f t="shared" si="2257"/>
        <v>251825</v>
      </c>
      <c r="BZ363" s="567">
        <f t="shared" si="2257"/>
        <v>411620</v>
      </c>
      <c r="CA363" s="567">
        <f t="shared" si="2257"/>
        <v>721131</v>
      </c>
      <c r="CB363" s="567">
        <f t="shared" si="2257"/>
        <v>972956</v>
      </c>
      <c r="CC363" s="567">
        <f t="shared" si="2257"/>
        <v>242115</v>
      </c>
      <c r="CD363" s="567">
        <f t="shared" si="2257"/>
        <v>302029</v>
      </c>
      <c r="CE363" s="567">
        <f t="shared" si="2257"/>
        <v>403178</v>
      </c>
      <c r="CF363" s="567">
        <f t="shared" si="2257"/>
        <v>307500</v>
      </c>
      <c r="CG363" s="567">
        <f t="shared" si="2257"/>
        <v>544144</v>
      </c>
      <c r="CH363" s="567">
        <f t="shared" si="2257"/>
        <v>947322</v>
      </c>
      <c r="CI363" s="567">
        <f t="shared" si="2257"/>
        <v>1254822</v>
      </c>
      <c r="CJ363" s="567">
        <v>259500</v>
      </c>
      <c r="CK363" s="567">
        <f t="shared" ref="CK363:CO363" si="2258">CK139</f>
        <v>239878</v>
      </c>
      <c r="CL363" s="567">
        <f t="shared" si="2258"/>
        <v>0</v>
      </c>
      <c r="CM363" s="567">
        <f t="shared" si="2258"/>
        <v>0</v>
      </c>
      <c r="CN363" s="567">
        <f t="shared" si="2258"/>
        <v>499378</v>
      </c>
      <c r="CO363" s="567">
        <f t="shared" si="2258"/>
        <v>0</v>
      </c>
    </row>
    <row r="364" spans="1:93" s="513" customFormat="1" x14ac:dyDescent="0.25">
      <c r="A364" s="564" t="str">
        <f>Language!C287</f>
        <v>(-) Receita de Construção</v>
      </c>
      <c r="B364" s="565">
        <f t="shared" ref="B364:AM364" si="2259">B109</f>
        <v>28536</v>
      </c>
      <c r="C364" s="565">
        <f t="shared" si="2259"/>
        <v>5469</v>
      </c>
      <c r="D364" s="565">
        <f t="shared" si="2259"/>
        <v>23849</v>
      </c>
      <c r="E364" s="565">
        <f t="shared" si="2259"/>
        <v>36801</v>
      </c>
      <c r="F364" s="566">
        <f t="shared" si="2259"/>
        <v>28720</v>
      </c>
      <c r="G364" s="565">
        <f t="shared" si="2259"/>
        <v>34265</v>
      </c>
      <c r="H364" s="565">
        <f t="shared" si="2259"/>
        <v>32810</v>
      </c>
      <c r="I364" s="565">
        <f t="shared" si="2259"/>
        <v>52435</v>
      </c>
      <c r="J364" s="566">
        <f t="shared" si="2259"/>
        <v>32616</v>
      </c>
      <c r="K364" s="565">
        <f t="shared" si="2259"/>
        <v>33329</v>
      </c>
      <c r="L364" s="565">
        <f t="shared" si="2259"/>
        <v>33110</v>
      </c>
      <c r="M364" s="565">
        <f t="shared" si="2259"/>
        <v>69580</v>
      </c>
      <c r="N364" s="566">
        <f t="shared" si="2259"/>
        <v>62625</v>
      </c>
      <c r="O364" s="565">
        <f t="shared" si="2259"/>
        <v>213824</v>
      </c>
      <c r="P364" s="565">
        <f t="shared" si="2259"/>
        <v>279233</v>
      </c>
      <c r="Q364" s="565">
        <f t="shared" si="2259"/>
        <v>360525</v>
      </c>
      <c r="R364" s="566">
        <f t="shared" si="2259"/>
        <v>455642</v>
      </c>
      <c r="S364" s="565">
        <f t="shared" si="2259"/>
        <v>369997</v>
      </c>
      <c r="T364" s="565">
        <f t="shared" si="2259"/>
        <v>269342</v>
      </c>
      <c r="U364" s="565">
        <f t="shared" si="2259"/>
        <v>202421</v>
      </c>
      <c r="V364" s="565">
        <f t="shared" si="2259"/>
        <v>825639</v>
      </c>
      <c r="W364" s="567">
        <f t="shared" si="2259"/>
        <v>1094981</v>
      </c>
      <c r="X364" s="568">
        <f t="shared" si="2259"/>
        <v>1297402</v>
      </c>
      <c r="Y364" s="569">
        <f t="shared" si="2259"/>
        <v>98870</v>
      </c>
      <c r="Z364" s="567">
        <f t="shared" si="2259"/>
        <v>92291</v>
      </c>
      <c r="AA364" s="565">
        <f t="shared" si="2259"/>
        <v>49912</v>
      </c>
      <c r="AB364" s="565">
        <f t="shared" si="2259"/>
        <v>94391</v>
      </c>
      <c r="AC364" s="567">
        <f t="shared" si="2259"/>
        <v>191161</v>
      </c>
      <c r="AD364" s="567">
        <f t="shared" si="2259"/>
        <v>241073</v>
      </c>
      <c r="AE364" s="568">
        <f t="shared" si="2259"/>
        <v>335464</v>
      </c>
      <c r="AF364" s="567">
        <f t="shared" si="2259"/>
        <v>35275</v>
      </c>
      <c r="AG364" s="567">
        <f t="shared" si="2259"/>
        <v>88214</v>
      </c>
      <c r="AH364" s="565">
        <f t="shared" si="2259"/>
        <v>70969</v>
      </c>
      <c r="AI364" s="565">
        <f t="shared" si="2259"/>
        <v>56351</v>
      </c>
      <c r="AJ364" s="567">
        <f t="shared" si="2259"/>
        <v>123489</v>
      </c>
      <c r="AK364" s="567">
        <f t="shared" si="2259"/>
        <v>194458</v>
      </c>
      <c r="AL364" s="568">
        <f t="shared" si="2259"/>
        <v>250809</v>
      </c>
      <c r="AM364" s="567">
        <f t="shared" si="2259"/>
        <v>32860</v>
      </c>
      <c r="AN364" s="567">
        <f t="shared" si="1848"/>
        <v>42016</v>
      </c>
      <c r="AO364" s="567">
        <f t="shared" si="1849"/>
        <v>51480</v>
      </c>
      <c r="AP364" s="567">
        <f t="shared" si="1849"/>
        <v>49099</v>
      </c>
      <c r="AQ364" s="567">
        <f t="shared" ref="AQ364:CI364" si="2260">AQ109</f>
        <v>74876</v>
      </c>
      <c r="AR364" s="567">
        <f t="shared" si="2260"/>
        <v>126356</v>
      </c>
      <c r="AS364" s="568">
        <f t="shared" si="2260"/>
        <v>175455</v>
      </c>
      <c r="AT364" s="567">
        <f t="shared" si="2260"/>
        <v>22871.270199999999</v>
      </c>
      <c r="AU364" s="567">
        <f t="shared" si="2260"/>
        <v>14223.766</v>
      </c>
      <c r="AV364" s="567">
        <f t="shared" si="2260"/>
        <v>27474.833999999999</v>
      </c>
      <c r="AW364" s="567">
        <f t="shared" si="2260"/>
        <v>30677.11280000001</v>
      </c>
      <c r="AX364" s="567">
        <f t="shared" si="2260"/>
        <v>37095.036200000002</v>
      </c>
      <c r="AY364" s="567">
        <f t="shared" si="2260"/>
        <v>64569.870199999998</v>
      </c>
      <c r="AZ364" s="567">
        <f t="shared" si="2260"/>
        <v>95246.983000000007</v>
      </c>
      <c r="BA364" s="567">
        <f t="shared" si="2260"/>
        <v>25914</v>
      </c>
      <c r="BB364" s="567">
        <f t="shared" si="2260"/>
        <v>23506</v>
      </c>
      <c r="BC364" s="567">
        <f t="shared" si="2260"/>
        <v>27244</v>
      </c>
      <c r="BD364" s="567">
        <f t="shared" si="2260"/>
        <v>34804</v>
      </c>
      <c r="BE364" s="567">
        <f t="shared" si="2260"/>
        <v>49420</v>
      </c>
      <c r="BF364" s="567">
        <f t="shared" si="2260"/>
        <v>76664</v>
      </c>
      <c r="BG364" s="567">
        <f t="shared" si="2260"/>
        <v>111468</v>
      </c>
      <c r="BH364" s="567">
        <f t="shared" si="2260"/>
        <v>33293</v>
      </c>
      <c r="BI364" s="567">
        <f t="shared" si="2260"/>
        <v>37194</v>
      </c>
      <c r="BJ364" s="567">
        <f t="shared" si="2260"/>
        <v>46450</v>
      </c>
      <c r="BK364" s="567">
        <f t="shared" si="2260"/>
        <v>41562</v>
      </c>
      <c r="BL364" s="567">
        <f t="shared" si="2260"/>
        <v>70487</v>
      </c>
      <c r="BM364" s="567">
        <f t="shared" si="2260"/>
        <v>116937</v>
      </c>
      <c r="BN364" s="567">
        <f t="shared" si="2260"/>
        <v>158499</v>
      </c>
      <c r="BO364" s="567">
        <f t="shared" si="2260"/>
        <v>22238</v>
      </c>
      <c r="BP364" s="567">
        <f t="shared" si="2260"/>
        <v>27369</v>
      </c>
      <c r="BQ364" s="567">
        <f t="shared" si="2260"/>
        <v>38233</v>
      </c>
      <c r="BR364" s="567">
        <f t="shared" si="2260"/>
        <v>28349</v>
      </c>
      <c r="BS364" s="567">
        <f t="shared" si="2260"/>
        <v>49607</v>
      </c>
      <c r="BT364" s="567">
        <f t="shared" si="2260"/>
        <v>87840</v>
      </c>
      <c r="BU364" s="567">
        <f t="shared" si="2260"/>
        <v>116189</v>
      </c>
      <c r="BV364" s="567">
        <f t="shared" si="2260"/>
        <v>35456</v>
      </c>
      <c r="BW364" s="567">
        <f t="shared" si="2260"/>
        <v>43324</v>
      </c>
      <c r="BX364" s="567">
        <f t="shared" si="2260"/>
        <v>123156</v>
      </c>
      <c r="BY364" s="567">
        <f t="shared" si="2260"/>
        <v>42491</v>
      </c>
      <c r="BZ364" s="567">
        <f t="shared" si="2260"/>
        <v>80260</v>
      </c>
      <c r="CA364" s="567">
        <f t="shared" si="2260"/>
        <v>203416</v>
      </c>
      <c r="CB364" s="567">
        <f t="shared" si="2260"/>
        <v>245907</v>
      </c>
      <c r="CC364" s="567">
        <f t="shared" si="2260"/>
        <v>16939</v>
      </c>
      <c r="CD364" s="567">
        <f t="shared" si="2260"/>
        <v>72839</v>
      </c>
      <c r="CE364" s="567">
        <f t="shared" si="2260"/>
        <v>41625</v>
      </c>
      <c r="CF364" s="567">
        <f t="shared" si="2260"/>
        <v>22158</v>
      </c>
      <c r="CG364" s="567">
        <f t="shared" si="2260"/>
        <v>89778</v>
      </c>
      <c r="CH364" s="567">
        <f t="shared" si="2260"/>
        <v>131403</v>
      </c>
      <c r="CI364" s="567">
        <f t="shared" si="2260"/>
        <v>153561</v>
      </c>
      <c r="CJ364" s="567">
        <v>16324</v>
      </c>
      <c r="CK364" s="567">
        <f t="shared" ref="CK364:CO364" si="2261">CK109</f>
        <v>9965</v>
      </c>
      <c r="CL364" s="567">
        <f t="shared" si="2261"/>
        <v>0</v>
      </c>
      <c r="CM364" s="567">
        <f t="shared" si="2261"/>
        <v>0</v>
      </c>
      <c r="CN364" s="567">
        <f t="shared" si="2261"/>
        <v>26289</v>
      </c>
      <c r="CO364" s="567">
        <f t="shared" si="2261"/>
        <v>0</v>
      </c>
    </row>
    <row r="365" spans="1:93" s="483" customFormat="1" x14ac:dyDescent="0.25">
      <c r="A365" s="570" t="str">
        <f>Language!C288</f>
        <v>(+) Margem de Construção: Aditivos</v>
      </c>
      <c r="B365" s="571">
        <f t="shared" ref="B365:AM365" si="2262">SUM(B110,B111,B171,B172)</f>
        <v>0</v>
      </c>
      <c r="C365" s="571">
        <f t="shared" si="2262"/>
        <v>0</v>
      </c>
      <c r="D365" s="571">
        <f t="shared" si="2262"/>
        <v>0</v>
      </c>
      <c r="E365" s="571">
        <f t="shared" si="2262"/>
        <v>0</v>
      </c>
      <c r="F365" s="572">
        <f t="shared" si="2262"/>
        <v>0</v>
      </c>
      <c r="G365" s="571">
        <f t="shared" si="2262"/>
        <v>0</v>
      </c>
      <c r="H365" s="571">
        <f t="shared" si="2262"/>
        <v>0</v>
      </c>
      <c r="I365" s="571">
        <f t="shared" si="2262"/>
        <v>0</v>
      </c>
      <c r="J365" s="572">
        <f t="shared" si="2262"/>
        <v>0</v>
      </c>
      <c r="K365" s="571">
        <f t="shared" si="2262"/>
        <v>0</v>
      </c>
      <c r="L365" s="571">
        <f t="shared" si="2262"/>
        <v>0</v>
      </c>
      <c r="M365" s="571">
        <f t="shared" si="2262"/>
        <v>0</v>
      </c>
      <c r="N365" s="572">
        <f t="shared" si="2262"/>
        <v>0</v>
      </c>
      <c r="O365" s="571">
        <f t="shared" si="2262"/>
        <v>24514</v>
      </c>
      <c r="P365" s="571">
        <f t="shared" si="2262"/>
        <v>54989</v>
      </c>
      <c r="Q365" s="571">
        <f t="shared" si="2262"/>
        <v>-3236</v>
      </c>
      <c r="R365" s="572">
        <f t="shared" si="2262"/>
        <v>144672</v>
      </c>
      <c r="S365" s="571">
        <f t="shared" si="2262"/>
        <v>41493</v>
      </c>
      <c r="T365" s="571">
        <f t="shared" si="2262"/>
        <v>34287</v>
      </c>
      <c r="U365" s="571">
        <f t="shared" si="2262"/>
        <v>-34985</v>
      </c>
      <c r="V365" s="571">
        <f t="shared" si="2262"/>
        <v>186165</v>
      </c>
      <c r="W365" s="573">
        <f t="shared" si="2262"/>
        <v>220452</v>
      </c>
      <c r="X365" s="574">
        <f t="shared" si="2262"/>
        <v>185467</v>
      </c>
      <c r="Y365" s="575">
        <f t="shared" si="2262"/>
        <v>6364</v>
      </c>
      <c r="Z365" s="573">
        <f t="shared" si="2262"/>
        <v>5838</v>
      </c>
      <c r="AA365" s="571">
        <f t="shared" si="2262"/>
        <v>2058</v>
      </c>
      <c r="AB365" s="571">
        <f t="shared" si="2262"/>
        <v>1988</v>
      </c>
      <c r="AC365" s="573">
        <f t="shared" si="2262"/>
        <v>12202</v>
      </c>
      <c r="AD365" s="573">
        <f t="shared" si="2262"/>
        <v>14260</v>
      </c>
      <c r="AE365" s="574">
        <f t="shared" si="2262"/>
        <v>16248</v>
      </c>
      <c r="AF365" s="573">
        <f t="shared" si="2262"/>
        <v>950</v>
      </c>
      <c r="AG365" s="573">
        <f t="shared" si="2262"/>
        <v>361</v>
      </c>
      <c r="AH365" s="571">
        <f t="shared" si="2262"/>
        <v>0</v>
      </c>
      <c r="AI365" s="571">
        <f t="shared" si="2262"/>
        <v>1</v>
      </c>
      <c r="AJ365" s="573">
        <f t="shared" si="2262"/>
        <v>1311</v>
      </c>
      <c r="AK365" s="573">
        <f t="shared" si="2262"/>
        <v>1311</v>
      </c>
      <c r="AL365" s="574">
        <f t="shared" si="2262"/>
        <v>1312</v>
      </c>
      <c r="AM365" s="573">
        <f t="shared" si="2262"/>
        <v>0</v>
      </c>
      <c r="AN365" s="573">
        <f t="shared" si="1848"/>
        <v>0</v>
      </c>
      <c r="AO365" s="573">
        <f t="shared" si="1849"/>
        <v>0</v>
      </c>
      <c r="AP365" s="573">
        <f t="shared" si="1849"/>
        <v>0</v>
      </c>
      <c r="AQ365" s="573">
        <f>SUM(AQ110,AQ111,AQ171,AQ172)</f>
        <v>0</v>
      </c>
      <c r="AR365" s="573">
        <f>SUM(AR110,AR111,AR171,AR172)</f>
        <v>0</v>
      </c>
      <c r="AS365" s="574">
        <f>SUM(AS110,AS111,AS171,AS172)</f>
        <v>0</v>
      </c>
      <c r="AT365" s="573">
        <v>55</v>
      </c>
      <c r="AU365" s="573">
        <v>39.963799999997718</v>
      </c>
      <c r="AV365" s="573">
        <v>238.16600000000471</v>
      </c>
      <c r="AW365" s="573">
        <f>SUM(AW110,AW111,AW171,AW172)</f>
        <v>0</v>
      </c>
      <c r="AX365" s="745">
        <v>94.963799999997718</v>
      </c>
      <c r="AY365" s="745">
        <v>333.12980000000243</v>
      </c>
      <c r="AZ365" s="745">
        <v>542.01699999999255</v>
      </c>
      <c r="BA365" s="745">
        <v>62</v>
      </c>
      <c r="BB365" s="745">
        <v>98</v>
      </c>
      <c r="BC365" s="735">
        <f>BF365-BE365</f>
        <v>228</v>
      </c>
      <c r="BD365" s="795">
        <f>BG365-BF365</f>
        <v>178</v>
      </c>
      <c r="BE365" s="735">
        <v>160</v>
      </c>
      <c r="BF365" s="735">
        <v>388</v>
      </c>
      <c r="BG365" s="735">
        <v>566</v>
      </c>
      <c r="BH365" s="735">
        <v>77</v>
      </c>
      <c r="BI365" s="745">
        <v>33</v>
      </c>
      <c r="BJ365" s="745">
        <v>16</v>
      </c>
      <c r="BK365" s="745">
        <v>15</v>
      </c>
      <c r="BL365" s="745">
        <v>110</v>
      </c>
      <c r="BM365" s="745">
        <v>126</v>
      </c>
      <c r="BN365" s="745">
        <v>141</v>
      </c>
      <c r="BO365" s="745">
        <v>163</v>
      </c>
      <c r="BP365" s="745">
        <f>BT365-BS365</f>
        <v>291</v>
      </c>
      <c r="BQ365" s="567">
        <f>BT365-BS365</f>
        <v>291</v>
      </c>
      <c r="BR365" s="567">
        <f>BU365-BT365</f>
        <v>301</v>
      </c>
      <c r="BS365" s="745">
        <v>336</v>
      </c>
      <c r="BT365" s="745">
        <v>627</v>
      </c>
      <c r="BU365" s="745">
        <v>928</v>
      </c>
      <c r="BV365" s="745">
        <v>381</v>
      </c>
      <c r="BW365" s="745">
        <f>BZ365-BV365</f>
        <v>558</v>
      </c>
      <c r="BX365" s="745">
        <f>CA365-BZ365</f>
        <v>2511</v>
      </c>
      <c r="BY365" s="745">
        <v>0</v>
      </c>
      <c r="BZ365" s="745">
        <v>939</v>
      </c>
      <c r="CA365" s="745">
        <v>3450</v>
      </c>
      <c r="CB365" s="745"/>
      <c r="CC365" s="745">
        <v>119</v>
      </c>
      <c r="CD365" s="745">
        <f>CG365-CC365</f>
        <v>1388</v>
      </c>
      <c r="CE365" s="745"/>
      <c r="CF365" s="745"/>
      <c r="CG365" s="745">
        <v>1507</v>
      </c>
      <c r="CH365" s="745"/>
      <c r="CI365" s="745"/>
      <c r="CJ365" s="745"/>
      <c r="CK365" s="745"/>
      <c r="CL365" s="745"/>
      <c r="CM365" s="745"/>
      <c r="CN365" s="745"/>
      <c r="CO365" s="745"/>
    </row>
    <row r="366" spans="1:93" s="289" customFormat="1" x14ac:dyDescent="0.25">
      <c r="A366" s="455" t="str">
        <f>Language!C289</f>
        <v>Concepa</v>
      </c>
      <c r="B366" s="576">
        <f t="shared" ref="B366:X366" si="2263">B140+B171</f>
        <v>43393</v>
      </c>
      <c r="C366" s="576">
        <f t="shared" si="2263"/>
        <v>33919</v>
      </c>
      <c r="D366" s="576">
        <f t="shared" si="2263"/>
        <v>35037</v>
      </c>
      <c r="E366" s="576">
        <f t="shared" si="2263"/>
        <v>43838</v>
      </c>
      <c r="F366" s="577">
        <f t="shared" si="2263"/>
        <v>50112</v>
      </c>
      <c r="G366" s="576">
        <f t="shared" si="2263"/>
        <v>39070</v>
      </c>
      <c r="H366" s="576">
        <f t="shared" si="2263"/>
        <v>40891</v>
      </c>
      <c r="I366" s="576">
        <f t="shared" si="2263"/>
        <v>50414</v>
      </c>
      <c r="J366" s="577">
        <f t="shared" si="2263"/>
        <v>55891</v>
      </c>
      <c r="K366" s="576">
        <f t="shared" si="2263"/>
        <v>44992</v>
      </c>
      <c r="L366" s="576">
        <f t="shared" si="2263"/>
        <v>47559</v>
      </c>
      <c r="M366" s="576">
        <f t="shared" si="2263"/>
        <v>59515</v>
      </c>
      <c r="N366" s="577">
        <f t="shared" si="2263"/>
        <v>66136</v>
      </c>
      <c r="O366" s="576">
        <f t="shared" si="2263"/>
        <v>53073</v>
      </c>
      <c r="P366" s="576">
        <f t="shared" si="2263"/>
        <v>66757</v>
      </c>
      <c r="Q366" s="576">
        <f t="shared" si="2263"/>
        <v>92547</v>
      </c>
      <c r="R366" s="577">
        <f t="shared" si="2263"/>
        <v>96392</v>
      </c>
      <c r="S366" s="576">
        <f t="shared" si="2263"/>
        <v>76963</v>
      </c>
      <c r="T366" s="576">
        <f t="shared" si="2263"/>
        <v>77140</v>
      </c>
      <c r="U366" s="576">
        <f t="shared" si="2263"/>
        <v>37401</v>
      </c>
      <c r="V366" s="576">
        <f t="shared" si="2263"/>
        <v>173355</v>
      </c>
      <c r="W366" s="578">
        <f t="shared" si="2263"/>
        <v>250495</v>
      </c>
      <c r="X366" s="579">
        <f t="shared" si="2263"/>
        <v>287896</v>
      </c>
      <c r="Y366" s="580">
        <f>Y140-Y110</f>
        <v>88058</v>
      </c>
      <c r="Z366" s="578">
        <f>Z140-Z110</f>
        <v>62346</v>
      </c>
      <c r="AA366" s="576">
        <f t="shared" ref="AA366:AB368" si="2264">AA140+AA171</f>
        <v>70786</v>
      </c>
      <c r="AB366" s="576">
        <f t="shared" si="2264"/>
        <v>85682</v>
      </c>
      <c r="AC366" s="578">
        <f>AC140-AC110</f>
        <v>150404</v>
      </c>
      <c r="AD366" s="578">
        <f>AD140-AD110</f>
        <v>221190</v>
      </c>
      <c r="AE366" s="579">
        <f>AE140-AE110</f>
        <v>306872</v>
      </c>
      <c r="AF366" s="578">
        <f>AF140-AF110</f>
        <v>96890</v>
      </c>
      <c r="AG366" s="578">
        <f>AG140-AG110</f>
        <v>71796.761777777778</v>
      </c>
      <c r="AH366" s="576">
        <f t="shared" ref="AH366:AI368" si="2265">AH140+AH171</f>
        <v>50766.238222222222</v>
      </c>
      <c r="AI366" s="576">
        <f t="shared" si="2265"/>
        <v>50796</v>
      </c>
      <c r="AJ366" s="578">
        <f>AJ140-AJ110</f>
        <v>168686.76177777778</v>
      </c>
      <c r="AK366" s="578">
        <f>AK140-AK110</f>
        <v>219453</v>
      </c>
      <c r="AL366" s="579">
        <f>AL140-AL110</f>
        <v>270249</v>
      </c>
      <c r="AM366" s="578">
        <f>AM140-AM110</f>
        <v>54061</v>
      </c>
      <c r="AN366" s="578">
        <f t="shared" si="1848"/>
        <v>39757</v>
      </c>
      <c r="AO366" s="578">
        <f t="shared" si="1849"/>
        <v>-2147.5922835426318</v>
      </c>
      <c r="AP366" s="578">
        <f t="shared" si="1849"/>
        <v>-111.14542855983018</v>
      </c>
      <c r="AQ366" s="578">
        <f>AQ140-AQ110</f>
        <v>93818</v>
      </c>
      <c r="AR366" s="578">
        <f>AR140-AR110</f>
        <v>91670.407716457368</v>
      </c>
      <c r="AS366" s="579">
        <f>AS140-AS110</f>
        <v>91559.262287897538</v>
      </c>
      <c r="AT366" s="578">
        <f>AT140-AT110</f>
        <v>0</v>
      </c>
      <c r="AU366" s="578"/>
      <c r="AV366" s="578">
        <f>AV140-AV110</f>
        <v>65</v>
      </c>
      <c r="AW366" s="578">
        <f>AW140-AW110</f>
        <v>-638</v>
      </c>
      <c r="AX366" s="578"/>
      <c r="AY366" s="578">
        <f t="shared" ref="AY366:CI366" si="2266">AY140-AY110</f>
        <v>638</v>
      </c>
      <c r="AZ366" s="578">
        <f t="shared" si="2266"/>
        <v>0</v>
      </c>
      <c r="BA366" s="578">
        <f t="shared" si="2266"/>
        <v>0</v>
      </c>
      <c r="BB366" s="578">
        <f t="shared" si="2266"/>
        <v>0</v>
      </c>
      <c r="BC366" s="578">
        <f t="shared" si="2266"/>
        <v>0</v>
      </c>
      <c r="BD366" s="578">
        <f t="shared" si="2266"/>
        <v>0</v>
      </c>
      <c r="BE366" s="578">
        <f t="shared" si="2266"/>
        <v>0</v>
      </c>
      <c r="BF366" s="578">
        <f t="shared" si="2266"/>
        <v>0</v>
      </c>
      <c r="BG366" s="578">
        <f t="shared" si="2266"/>
        <v>0</v>
      </c>
      <c r="BH366" s="578">
        <f t="shared" si="2266"/>
        <v>0</v>
      </c>
      <c r="BI366" s="578">
        <f t="shared" si="2266"/>
        <v>0</v>
      </c>
      <c r="BJ366" s="578">
        <f t="shared" si="2266"/>
        <v>0</v>
      </c>
      <c r="BK366" s="578">
        <f t="shared" si="2266"/>
        <v>0</v>
      </c>
      <c r="BL366" s="578">
        <f t="shared" si="2266"/>
        <v>0</v>
      </c>
      <c r="BM366" s="578">
        <f t="shared" si="2266"/>
        <v>0</v>
      </c>
      <c r="BN366" s="578">
        <f t="shared" si="2266"/>
        <v>0</v>
      </c>
      <c r="BO366" s="578">
        <f t="shared" si="2266"/>
        <v>0</v>
      </c>
      <c r="BP366" s="578">
        <f t="shared" si="2266"/>
        <v>0</v>
      </c>
      <c r="BQ366" s="578">
        <f t="shared" si="2266"/>
        <v>0</v>
      </c>
      <c r="BR366" s="578">
        <f t="shared" si="2266"/>
        <v>0</v>
      </c>
      <c r="BS366" s="578">
        <f t="shared" si="2266"/>
        <v>0</v>
      </c>
      <c r="BT366" s="578">
        <f t="shared" si="2266"/>
        <v>0</v>
      </c>
      <c r="BU366" s="578">
        <f t="shared" si="2266"/>
        <v>0</v>
      </c>
      <c r="BV366" s="578">
        <f t="shared" si="2266"/>
        <v>0</v>
      </c>
      <c r="BW366" s="578">
        <f t="shared" si="2266"/>
        <v>0</v>
      </c>
      <c r="BX366" s="578">
        <f t="shared" si="2266"/>
        <v>0</v>
      </c>
      <c r="BY366" s="578">
        <f t="shared" si="2266"/>
        <v>0</v>
      </c>
      <c r="BZ366" s="578">
        <f t="shared" si="2266"/>
        <v>0</v>
      </c>
      <c r="CA366" s="578">
        <f t="shared" si="2266"/>
        <v>0</v>
      </c>
      <c r="CB366" s="578">
        <f t="shared" si="2266"/>
        <v>0</v>
      </c>
      <c r="CC366" s="578">
        <f t="shared" si="2266"/>
        <v>0</v>
      </c>
      <c r="CD366" s="578">
        <f t="shared" si="2266"/>
        <v>0</v>
      </c>
      <c r="CE366" s="578">
        <f t="shared" si="2266"/>
        <v>0</v>
      </c>
      <c r="CF366" s="578">
        <f t="shared" si="2266"/>
        <v>0</v>
      </c>
      <c r="CG366" s="578">
        <f t="shared" si="2266"/>
        <v>0</v>
      </c>
      <c r="CH366" s="578">
        <f t="shared" si="2266"/>
        <v>0</v>
      </c>
      <c r="CI366" s="578">
        <f t="shared" si="2266"/>
        <v>0</v>
      </c>
      <c r="CJ366" s="578">
        <v>0</v>
      </c>
      <c r="CK366" s="578">
        <f t="shared" ref="CK366:CO366" si="2267">CK140-CK110</f>
        <v>0</v>
      </c>
      <c r="CL366" s="578">
        <f t="shared" si="2267"/>
        <v>0</v>
      </c>
      <c r="CM366" s="578">
        <f t="shared" si="2267"/>
        <v>0</v>
      </c>
      <c r="CN366" s="578">
        <f t="shared" si="2267"/>
        <v>0</v>
      </c>
      <c r="CO366" s="578">
        <f t="shared" si="2267"/>
        <v>0</v>
      </c>
    </row>
    <row r="367" spans="1:93" s="289" customFormat="1" x14ac:dyDescent="0.25">
      <c r="A367" s="455" t="str">
        <f>Language!C290</f>
        <v>Concer</v>
      </c>
      <c r="B367" s="576">
        <f t="shared" ref="B367:X367" si="2268">B141+B172</f>
        <v>29473</v>
      </c>
      <c r="C367" s="576">
        <f t="shared" si="2268"/>
        <v>29564</v>
      </c>
      <c r="D367" s="576">
        <f t="shared" si="2268"/>
        <v>31882</v>
      </c>
      <c r="E367" s="576">
        <f t="shared" si="2268"/>
        <v>33216</v>
      </c>
      <c r="F367" s="577">
        <f t="shared" si="2268"/>
        <v>33446</v>
      </c>
      <c r="G367" s="576">
        <f t="shared" si="2268"/>
        <v>32583</v>
      </c>
      <c r="H367" s="576">
        <f t="shared" si="2268"/>
        <v>34571</v>
      </c>
      <c r="I367" s="576">
        <f t="shared" si="2268"/>
        <v>39793</v>
      </c>
      <c r="J367" s="577">
        <f t="shared" si="2268"/>
        <v>33851</v>
      </c>
      <c r="K367" s="576">
        <f t="shared" si="2268"/>
        <v>33596</v>
      </c>
      <c r="L367" s="576">
        <f t="shared" si="2268"/>
        <v>36547</v>
      </c>
      <c r="M367" s="576">
        <f t="shared" si="2268"/>
        <v>36378</v>
      </c>
      <c r="N367" s="577">
        <f t="shared" si="2268"/>
        <v>35552</v>
      </c>
      <c r="O367" s="576">
        <f t="shared" si="2268"/>
        <v>59172</v>
      </c>
      <c r="P367" s="576">
        <f t="shared" si="2268"/>
        <v>79001</v>
      </c>
      <c r="Q367" s="576">
        <f t="shared" si="2268"/>
        <v>10238</v>
      </c>
      <c r="R367" s="577">
        <f t="shared" si="2268"/>
        <v>155459</v>
      </c>
      <c r="S367" s="576">
        <f t="shared" si="2268"/>
        <v>54345</v>
      </c>
      <c r="T367" s="576">
        <f t="shared" si="2268"/>
        <v>48920</v>
      </c>
      <c r="U367" s="576">
        <f t="shared" si="2268"/>
        <v>52827</v>
      </c>
      <c r="V367" s="576">
        <f t="shared" si="2268"/>
        <v>209804</v>
      </c>
      <c r="W367" s="578">
        <f t="shared" si="2268"/>
        <v>258724</v>
      </c>
      <c r="X367" s="579">
        <f t="shared" si="2268"/>
        <v>311551</v>
      </c>
      <c r="Y367" s="580">
        <f>Y141-Y111+Y365</f>
        <v>46413</v>
      </c>
      <c r="Z367" s="578">
        <f>Z141-Z111+Z365</f>
        <v>44969</v>
      </c>
      <c r="AA367" s="576">
        <f t="shared" si="2264"/>
        <v>43190</v>
      </c>
      <c r="AB367" s="576">
        <f t="shared" si="2264"/>
        <v>45390</v>
      </c>
      <c r="AC367" s="578">
        <f>AC141-AC111+AC365</f>
        <v>91382</v>
      </c>
      <c r="AD367" s="578">
        <f>AD141-AD111+AD365</f>
        <v>134572</v>
      </c>
      <c r="AE367" s="579">
        <f>AE141-AE111+AE365</f>
        <v>179962</v>
      </c>
      <c r="AF367" s="578">
        <f>AF141-AF111</f>
        <v>43135</v>
      </c>
      <c r="AG367" s="578">
        <f>AG141-AG111+AG365</f>
        <v>41886.239111111121</v>
      </c>
      <c r="AH367" s="576">
        <f t="shared" si="2265"/>
        <v>43117.760888888879</v>
      </c>
      <c r="AI367" s="576">
        <f t="shared" si="2265"/>
        <v>43847</v>
      </c>
      <c r="AJ367" s="578">
        <f>AJ141-AJ111+AJ365</f>
        <v>85971.239111111121</v>
      </c>
      <c r="AK367" s="578">
        <f>AK141-AK111+AK365</f>
        <v>129089</v>
      </c>
      <c r="AL367" s="579">
        <f>AL141-AL111+AL365</f>
        <v>172936</v>
      </c>
      <c r="AM367" s="578">
        <f>AM141-AM111+AM365</f>
        <v>41814</v>
      </c>
      <c r="AN367" s="578">
        <f t="shared" si="1848"/>
        <v>39498</v>
      </c>
      <c r="AO367" s="578">
        <f t="shared" si="1849"/>
        <v>48234.124573143868</v>
      </c>
      <c r="AP367" s="578">
        <f t="shared" si="1849"/>
        <v>48387.55777875433</v>
      </c>
      <c r="AQ367" s="578">
        <f t="shared" ref="AQ367:CI367" si="2269">AQ141-AQ111+AQ365</f>
        <v>81312</v>
      </c>
      <c r="AR367" s="578">
        <f t="shared" si="2269"/>
        <v>129546.12457314387</v>
      </c>
      <c r="AS367" s="579">
        <f t="shared" si="2269"/>
        <v>177933.6823518982</v>
      </c>
      <c r="AT367" s="578">
        <f t="shared" si="2269"/>
        <v>48854.441199999994</v>
      </c>
      <c r="AU367" s="578">
        <f t="shared" si="2269"/>
        <v>51567.490399999995</v>
      </c>
      <c r="AV367" s="578">
        <f t="shared" si="2269"/>
        <v>51597.432199999996</v>
      </c>
      <c r="AW367" s="578">
        <f t="shared" si="2269"/>
        <v>55025.9424</v>
      </c>
      <c r="AX367" s="578">
        <f t="shared" si="2269"/>
        <v>100421.9316</v>
      </c>
      <c r="AY367" s="578">
        <f t="shared" si="2269"/>
        <v>152019.36379999999</v>
      </c>
      <c r="AZ367" s="578">
        <f t="shared" si="2269"/>
        <v>207254.19339999999</v>
      </c>
      <c r="BA367" s="578">
        <f t="shared" si="2269"/>
        <v>48900</v>
      </c>
      <c r="BB367" s="578">
        <f t="shared" si="2269"/>
        <v>34456</v>
      </c>
      <c r="BC367" s="578">
        <f t="shared" si="2269"/>
        <v>48845</v>
      </c>
      <c r="BD367" s="578">
        <f t="shared" si="2269"/>
        <v>53298</v>
      </c>
      <c r="BE367" s="578">
        <f t="shared" si="2269"/>
        <v>83356</v>
      </c>
      <c r="BF367" s="578">
        <f t="shared" si="2269"/>
        <v>132201</v>
      </c>
      <c r="BG367" s="578">
        <f t="shared" si="2269"/>
        <v>185499</v>
      </c>
      <c r="BH367" s="578">
        <f t="shared" si="2269"/>
        <v>48766</v>
      </c>
      <c r="BI367" s="578">
        <f t="shared" si="2269"/>
        <v>47387</v>
      </c>
      <c r="BJ367" s="578">
        <f t="shared" si="2269"/>
        <v>52398</v>
      </c>
      <c r="BK367" s="578">
        <f t="shared" si="2269"/>
        <v>53881</v>
      </c>
      <c r="BL367" s="578">
        <f t="shared" si="2269"/>
        <v>96153</v>
      </c>
      <c r="BM367" s="578">
        <f t="shared" si="2269"/>
        <v>148551</v>
      </c>
      <c r="BN367" s="578">
        <f t="shared" si="2269"/>
        <v>202432</v>
      </c>
      <c r="BO367" s="578">
        <f t="shared" si="2269"/>
        <v>50143</v>
      </c>
      <c r="BP367" s="578">
        <f t="shared" si="2269"/>
        <v>52722</v>
      </c>
      <c r="BQ367" s="578">
        <f t="shared" si="2269"/>
        <v>60254</v>
      </c>
      <c r="BR367" s="578">
        <f t="shared" si="2269"/>
        <v>58807</v>
      </c>
      <c r="BS367" s="578">
        <f t="shared" si="2269"/>
        <v>102747</v>
      </c>
      <c r="BT367" s="578">
        <f t="shared" si="2269"/>
        <v>163001</v>
      </c>
      <c r="BU367" s="578">
        <f t="shared" si="2269"/>
        <v>221808</v>
      </c>
      <c r="BV367" s="578">
        <f t="shared" si="2269"/>
        <v>58647</v>
      </c>
      <c r="BW367" s="578">
        <f t="shared" si="2269"/>
        <v>59110</v>
      </c>
      <c r="BX367" s="578">
        <f t="shared" si="2269"/>
        <v>63272</v>
      </c>
      <c r="BY367" s="578">
        <f t="shared" si="2269"/>
        <v>62990</v>
      </c>
      <c r="BZ367" s="578">
        <f t="shared" si="2269"/>
        <v>117757</v>
      </c>
      <c r="CA367" s="578">
        <f t="shared" si="2269"/>
        <v>181029</v>
      </c>
      <c r="CB367" s="578">
        <f t="shared" si="2269"/>
        <v>240569</v>
      </c>
      <c r="CC367" s="578">
        <f t="shared" si="2269"/>
        <v>68416</v>
      </c>
      <c r="CD367" s="578">
        <f t="shared" si="2269"/>
        <v>70520</v>
      </c>
      <c r="CE367" s="578">
        <f t="shared" si="2269"/>
        <v>72592</v>
      </c>
      <c r="CF367" s="578">
        <f t="shared" si="2269"/>
        <v>74008</v>
      </c>
      <c r="CG367" s="578">
        <f t="shared" si="2269"/>
        <v>138936</v>
      </c>
      <c r="CH367" s="578">
        <f t="shared" si="2269"/>
        <v>210021</v>
      </c>
      <c r="CI367" s="578">
        <f t="shared" si="2269"/>
        <v>284029</v>
      </c>
      <c r="CJ367" s="578">
        <v>70340</v>
      </c>
      <c r="CK367" s="578">
        <f t="shared" ref="CK367:CO367" si="2270">CK141-CK111+CK365</f>
        <v>70396</v>
      </c>
      <c r="CL367" s="578">
        <f t="shared" si="2270"/>
        <v>0</v>
      </c>
      <c r="CM367" s="578">
        <f t="shared" si="2270"/>
        <v>0</v>
      </c>
      <c r="CN367" s="578">
        <f t="shared" si="2270"/>
        <v>140736</v>
      </c>
      <c r="CO367" s="578">
        <f t="shared" si="2270"/>
        <v>0</v>
      </c>
    </row>
    <row r="368" spans="1:93" x14ac:dyDescent="0.25">
      <c r="A368" s="455" t="str">
        <f>Language!C291</f>
        <v>Econorte</v>
      </c>
      <c r="B368" s="576">
        <f t="shared" ref="B368:X368" si="2271">B142+B173</f>
        <v>30818</v>
      </c>
      <c r="C368" s="576">
        <f t="shared" si="2271"/>
        <v>31544</v>
      </c>
      <c r="D368" s="576">
        <f t="shared" si="2271"/>
        <v>32969</v>
      </c>
      <c r="E368" s="576">
        <f t="shared" si="2271"/>
        <v>34481</v>
      </c>
      <c r="F368" s="577">
        <f t="shared" si="2271"/>
        <v>33966</v>
      </c>
      <c r="G368" s="576">
        <f t="shared" si="2271"/>
        <v>33055</v>
      </c>
      <c r="H368" s="576">
        <f t="shared" si="2271"/>
        <v>36201</v>
      </c>
      <c r="I368" s="576">
        <f t="shared" si="2271"/>
        <v>37851</v>
      </c>
      <c r="J368" s="577">
        <f t="shared" si="2271"/>
        <v>40040</v>
      </c>
      <c r="K368" s="576">
        <f t="shared" si="2271"/>
        <v>34048</v>
      </c>
      <c r="L368" s="576">
        <f t="shared" si="2271"/>
        <v>38882</v>
      </c>
      <c r="M368" s="576">
        <f t="shared" si="2271"/>
        <v>41082</v>
      </c>
      <c r="N368" s="577">
        <f t="shared" si="2271"/>
        <v>39441</v>
      </c>
      <c r="O368" s="576">
        <f t="shared" si="2271"/>
        <v>38652</v>
      </c>
      <c r="P368" s="576">
        <f t="shared" si="2271"/>
        <v>39617</v>
      </c>
      <c r="Q368" s="576">
        <f t="shared" si="2271"/>
        <v>42453</v>
      </c>
      <c r="R368" s="577">
        <f t="shared" si="2271"/>
        <v>43610</v>
      </c>
      <c r="S368" s="576">
        <f t="shared" si="2271"/>
        <v>41299</v>
      </c>
      <c r="T368" s="576">
        <f t="shared" si="2271"/>
        <v>43753</v>
      </c>
      <c r="U368" s="576">
        <f t="shared" si="2271"/>
        <v>52364</v>
      </c>
      <c r="V368" s="576">
        <f t="shared" si="2271"/>
        <v>84909</v>
      </c>
      <c r="W368" s="578">
        <f t="shared" si="2271"/>
        <v>128662</v>
      </c>
      <c r="X368" s="579">
        <f t="shared" si="2271"/>
        <v>181026</v>
      </c>
      <c r="Y368" s="580">
        <f t="shared" ref="Y368:Z370" si="2272">Y142-Y112</f>
        <v>49063</v>
      </c>
      <c r="Z368" s="578">
        <f t="shared" si="2272"/>
        <v>47600</v>
      </c>
      <c r="AA368" s="576">
        <f t="shared" si="2264"/>
        <v>48639</v>
      </c>
      <c r="AB368" s="576">
        <f t="shared" si="2264"/>
        <v>50235</v>
      </c>
      <c r="AC368" s="578">
        <f t="shared" ref="AC368:AE370" si="2273">AC142-AC112</f>
        <v>96663</v>
      </c>
      <c r="AD368" s="578">
        <f t="shared" si="2273"/>
        <v>145302</v>
      </c>
      <c r="AE368" s="579">
        <f t="shared" si="2273"/>
        <v>195537</v>
      </c>
      <c r="AF368" s="578">
        <f>AF142-AF112</f>
        <v>50432</v>
      </c>
      <c r="AG368" s="578">
        <f>AG142-AG112</f>
        <v>50134.57644444445</v>
      </c>
      <c r="AH368" s="576">
        <f t="shared" si="2265"/>
        <v>54198.42355555555</v>
      </c>
      <c r="AI368" s="576">
        <f t="shared" si="2265"/>
        <v>54537</v>
      </c>
      <c r="AJ368" s="578">
        <f t="shared" ref="AJ368:AM370" si="2274">AJ142-AJ112</f>
        <v>100566.57644444445</v>
      </c>
      <c r="AK368" s="578">
        <f t="shared" si="2274"/>
        <v>154765</v>
      </c>
      <c r="AL368" s="579">
        <f t="shared" si="2274"/>
        <v>209302</v>
      </c>
      <c r="AM368" s="578">
        <f t="shared" si="2274"/>
        <v>52499</v>
      </c>
      <c r="AN368" s="578">
        <f t="shared" si="1848"/>
        <v>48455</v>
      </c>
      <c r="AO368" s="578">
        <f t="shared" si="1849"/>
        <v>54551.286640779901</v>
      </c>
      <c r="AP368" s="578">
        <f t="shared" si="1849"/>
        <v>42444.489099626691</v>
      </c>
      <c r="AQ368" s="578">
        <f t="shared" ref="AQ368:CI368" si="2275">AQ142-AQ112</f>
        <v>100954</v>
      </c>
      <c r="AR368" s="578">
        <f t="shared" si="2275"/>
        <v>155505.2866407799</v>
      </c>
      <c r="AS368" s="579">
        <f t="shared" si="2275"/>
        <v>197949.77574040659</v>
      </c>
      <c r="AT368" s="578">
        <f t="shared" si="2275"/>
        <v>25547</v>
      </c>
      <c r="AU368" s="578">
        <f t="shared" si="2275"/>
        <v>32905</v>
      </c>
      <c r="AV368" s="578">
        <f t="shared" si="2275"/>
        <v>49840</v>
      </c>
      <c r="AW368" s="578">
        <f t="shared" si="2275"/>
        <v>64301</v>
      </c>
      <c r="AX368" s="578">
        <f t="shared" si="2275"/>
        <v>58452</v>
      </c>
      <c r="AY368" s="578">
        <f t="shared" si="2275"/>
        <v>108292</v>
      </c>
      <c r="AZ368" s="578">
        <f t="shared" si="2275"/>
        <v>172593</v>
      </c>
      <c r="BA368" s="578">
        <f t="shared" si="2275"/>
        <v>57649</v>
      </c>
      <c r="BB368" s="578">
        <f t="shared" si="2275"/>
        <v>48904</v>
      </c>
      <c r="BC368" s="578">
        <f t="shared" si="2275"/>
        <v>62307</v>
      </c>
      <c r="BD368" s="578">
        <f t="shared" si="2275"/>
        <v>68142</v>
      </c>
      <c r="BE368" s="578">
        <f t="shared" si="2275"/>
        <v>106553</v>
      </c>
      <c r="BF368" s="578">
        <f t="shared" si="2275"/>
        <v>168860</v>
      </c>
      <c r="BG368" s="578">
        <f t="shared" si="2275"/>
        <v>237002</v>
      </c>
      <c r="BH368" s="578">
        <f t="shared" si="2275"/>
        <v>63553</v>
      </c>
      <c r="BI368" s="578">
        <f t="shared" si="2275"/>
        <v>64164</v>
      </c>
      <c r="BJ368" s="578">
        <f t="shared" si="2275"/>
        <v>69464</v>
      </c>
      <c r="BK368" s="578">
        <f t="shared" si="2275"/>
        <v>44762</v>
      </c>
      <c r="BL368" s="578">
        <f t="shared" si="2275"/>
        <v>127717</v>
      </c>
      <c r="BM368" s="578">
        <f t="shared" si="2275"/>
        <v>197181</v>
      </c>
      <c r="BN368" s="578">
        <f t="shared" si="2275"/>
        <v>241943</v>
      </c>
      <c r="BO368" s="578">
        <f t="shared" si="2275"/>
        <v>0</v>
      </c>
      <c r="BP368" s="578">
        <f t="shared" si="2275"/>
        <v>95</v>
      </c>
      <c r="BQ368" s="578">
        <f t="shared" si="2275"/>
        <v>-95</v>
      </c>
      <c r="BR368" s="578">
        <f t="shared" si="2275"/>
        <v>0</v>
      </c>
      <c r="BS368" s="578">
        <f t="shared" si="2275"/>
        <v>95</v>
      </c>
      <c r="BT368" s="578">
        <f t="shared" si="2275"/>
        <v>0</v>
      </c>
      <c r="BU368" s="578">
        <f t="shared" si="2275"/>
        <v>0</v>
      </c>
      <c r="BV368" s="578">
        <f t="shared" si="2275"/>
        <v>0</v>
      </c>
      <c r="BW368" s="578">
        <f t="shared" si="2275"/>
        <v>0</v>
      </c>
      <c r="BX368" s="578">
        <f t="shared" si="2275"/>
        <v>0</v>
      </c>
      <c r="BY368" s="578">
        <f t="shared" si="2275"/>
        <v>0</v>
      </c>
      <c r="BZ368" s="578">
        <f t="shared" si="2275"/>
        <v>0</v>
      </c>
      <c r="CA368" s="578">
        <f t="shared" si="2275"/>
        <v>0</v>
      </c>
      <c r="CB368" s="578">
        <f t="shared" si="2275"/>
        <v>0</v>
      </c>
      <c r="CC368" s="578">
        <f t="shared" si="2275"/>
        <v>0</v>
      </c>
      <c r="CD368" s="578">
        <f t="shared" si="2275"/>
        <v>0</v>
      </c>
      <c r="CE368" s="578">
        <f t="shared" si="2275"/>
        <v>0</v>
      </c>
      <c r="CF368" s="578">
        <f t="shared" si="2275"/>
        <v>0</v>
      </c>
      <c r="CG368" s="578">
        <f t="shared" si="2275"/>
        <v>0</v>
      </c>
      <c r="CH368" s="578">
        <f t="shared" si="2275"/>
        <v>0</v>
      </c>
      <c r="CI368" s="578">
        <f t="shared" si="2275"/>
        <v>0</v>
      </c>
      <c r="CJ368" s="578">
        <v>0</v>
      </c>
      <c r="CK368" s="578">
        <f t="shared" ref="CK368:CO368" si="2276">CK142-CK112</f>
        <v>0</v>
      </c>
      <c r="CL368" s="578">
        <f t="shared" si="2276"/>
        <v>0</v>
      </c>
      <c r="CM368" s="578">
        <f t="shared" si="2276"/>
        <v>0</v>
      </c>
      <c r="CN368" s="578">
        <f t="shared" si="2276"/>
        <v>0</v>
      </c>
      <c r="CO368" s="578">
        <f t="shared" si="2276"/>
        <v>0</v>
      </c>
    </row>
    <row r="369" spans="1:93" x14ac:dyDescent="0.25">
      <c r="A369" s="455" t="str">
        <f>Language!C292</f>
        <v>Concebra</v>
      </c>
      <c r="B369" s="576">
        <f t="shared" ref="B369:X369" si="2277">B143-B113</f>
        <v>0</v>
      </c>
      <c r="C369" s="576">
        <f t="shared" si="2277"/>
        <v>0</v>
      </c>
      <c r="D369" s="576">
        <f t="shared" si="2277"/>
        <v>0</v>
      </c>
      <c r="E369" s="576">
        <f t="shared" si="2277"/>
        <v>0</v>
      </c>
      <c r="F369" s="577">
        <f t="shared" si="2277"/>
        <v>0</v>
      </c>
      <c r="G369" s="576">
        <f t="shared" si="2277"/>
        <v>0</v>
      </c>
      <c r="H369" s="576">
        <f t="shared" si="2277"/>
        <v>0</v>
      </c>
      <c r="I369" s="576">
        <f t="shared" si="2277"/>
        <v>0</v>
      </c>
      <c r="J369" s="577">
        <f t="shared" si="2277"/>
        <v>0</v>
      </c>
      <c r="K369" s="576">
        <f t="shared" si="2277"/>
        <v>0</v>
      </c>
      <c r="L369" s="576">
        <f t="shared" si="2277"/>
        <v>0</v>
      </c>
      <c r="M369" s="576">
        <f t="shared" si="2277"/>
        <v>0</v>
      </c>
      <c r="N369" s="577">
        <f t="shared" si="2277"/>
        <v>0</v>
      </c>
      <c r="O369" s="576">
        <f t="shared" si="2277"/>
        <v>0</v>
      </c>
      <c r="P369" s="576">
        <f t="shared" si="2277"/>
        <v>0</v>
      </c>
      <c r="Q369" s="576">
        <f t="shared" si="2277"/>
        <v>0</v>
      </c>
      <c r="R369" s="577">
        <f t="shared" si="2277"/>
        <v>0</v>
      </c>
      <c r="S369" s="576">
        <f t="shared" si="2277"/>
        <v>3381</v>
      </c>
      <c r="T369" s="576">
        <f t="shared" si="2277"/>
        <v>84050</v>
      </c>
      <c r="U369" s="576">
        <f t="shared" si="2277"/>
        <v>81564</v>
      </c>
      <c r="V369" s="576">
        <f t="shared" si="2277"/>
        <v>3381</v>
      </c>
      <c r="W369" s="578">
        <f t="shared" si="2277"/>
        <v>87431</v>
      </c>
      <c r="X369" s="579">
        <f t="shared" si="2277"/>
        <v>168995</v>
      </c>
      <c r="Y369" s="580">
        <f t="shared" si="2272"/>
        <v>77234</v>
      </c>
      <c r="Z369" s="578">
        <f t="shared" si="2272"/>
        <v>79039</v>
      </c>
      <c r="AA369" s="576">
        <f>AA143-AA113</f>
        <v>83047</v>
      </c>
      <c r="AB369" s="576">
        <f>AB143-AB113</f>
        <v>81036</v>
      </c>
      <c r="AC369" s="578">
        <f t="shared" si="2273"/>
        <v>156273</v>
      </c>
      <c r="AD369" s="578">
        <f t="shared" si="2273"/>
        <v>239320</v>
      </c>
      <c r="AE369" s="579">
        <f t="shared" si="2273"/>
        <v>320356</v>
      </c>
      <c r="AF369" s="578">
        <f>AF143-AF113</f>
        <v>76187</v>
      </c>
      <c r="AG369" s="578">
        <f>AG143-AG113</f>
        <v>79903</v>
      </c>
      <c r="AH369" s="576">
        <f>AH143-AH113</f>
        <v>102383</v>
      </c>
      <c r="AI369" s="576">
        <f>AI143-AI113</f>
        <v>94660</v>
      </c>
      <c r="AJ369" s="578">
        <f t="shared" si="2274"/>
        <v>156090</v>
      </c>
      <c r="AK369" s="578">
        <f t="shared" si="2274"/>
        <v>258473</v>
      </c>
      <c r="AL369" s="579">
        <f t="shared" si="2274"/>
        <v>353133</v>
      </c>
      <c r="AM369" s="578">
        <f t="shared" si="2274"/>
        <v>87131</v>
      </c>
      <c r="AN369" s="578">
        <f t="shared" si="1848"/>
        <v>85169</v>
      </c>
      <c r="AO369" s="578">
        <f t="shared" si="1849"/>
        <v>96119.422849195835</v>
      </c>
      <c r="AP369" s="578">
        <f t="shared" si="1849"/>
        <v>86802.197840459354</v>
      </c>
      <c r="AQ369" s="578">
        <f t="shared" ref="AQ369:CI369" si="2278">AQ143-AQ113</f>
        <v>172300</v>
      </c>
      <c r="AR369" s="578">
        <f t="shared" si="2278"/>
        <v>268419.42284919583</v>
      </c>
      <c r="AS369" s="579">
        <f t="shared" si="2278"/>
        <v>355221.62068965519</v>
      </c>
      <c r="AT369" s="578">
        <f t="shared" si="2278"/>
        <v>81944</v>
      </c>
      <c r="AU369" s="578">
        <f t="shared" si="2278"/>
        <v>84506</v>
      </c>
      <c r="AV369" s="578">
        <f t="shared" si="2278"/>
        <v>92746</v>
      </c>
      <c r="AW369" s="578">
        <f t="shared" si="2278"/>
        <v>91002</v>
      </c>
      <c r="AX369" s="578">
        <f t="shared" si="2278"/>
        <v>166450</v>
      </c>
      <c r="AY369" s="578">
        <f t="shared" si="2278"/>
        <v>259196</v>
      </c>
      <c r="AZ369" s="578">
        <f t="shared" si="2278"/>
        <v>350198</v>
      </c>
      <c r="BA369" s="578">
        <f t="shared" si="2278"/>
        <v>82704</v>
      </c>
      <c r="BB369" s="578">
        <f t="shared" si="2278"/>
        <v>75217</v>
      </c>
      <c r="BC369" s="578">
        <f t="shared" si="2278"/>
        <v>59420</v>
      </c>
      <c r="BD369" s="578">
        <f t="shared" si="2278"/>
        <v>61914</v>
      </c>
      <c r="BE369" s="578">
        <f t="shared" si="2278"/>
        <v>157921</v>
      </c>
      <c r="BF369" s="578">
        <f t="shared" si="2278"/>
        <v>217341</v>
      </c>
      <c r="BG369" s="578">
        <f t="shared" si="2278"/>
        <v>279255</v>
      </c>
      <c r="BH369" s="578">
        <f t="shared" si="2278"/>
        <v>55957</v>
      </c>
      <c r="BI369" s="578">
        <f t="shared" si="2278"/>
        <v>58901</v>
      </c>
      <c r="BJ369" s="578">
        <f t="shared" si="2278"/>
        <v>63438</v>
      </c>
      <c r="BK369" s="578">
        <f t="shared" si="2278"/>
        <v>61129</v>
      </c>
      <c r="BL369" s="578">
        <f t="shared" si="2278"/>
        <v>114858</v>
      </c>
      <c r="BM369" s="578">
        <f t="shared" si="2278"/>
        <v>178296</v>
      </c>
      <c r="BN369" s="578">
        <f t="shared" si="2278"/>
        <v>239425</v>
      </c>
      <c r="BO369" s="578">
        <f t="shared" si="2278"/>
        <v>57411</v>
      </c>
      <c r="BP369" s="578">
        <f t="shared" si="2278"/>
        <v>61151</v>
      </c>
      <c r="BQ369" s="578">
        <f t="shared" si="2278"/>
        <v>39648</v>
      </c>
      <c r="BR369" s="578">
        <f t="shared" si="2278"/>
        <v>93128</v>
      </c>
      <c r="BS369" s="578">
        <f t="shared" si="2278"/>
        <v>422529</v>
      </c>
      <c r="BT369" s="578">
        <f t="shared" si="2278"/>
        <v>462177</v>
      </c>
      <c r="BU369" s="578">
        <f t="shared" si="2278"/>
        <v>555305</v>
      </c>
      <c r="BV369" s="578">
        <f t="shared" si="2278"/>
        <v>69786</v>
      </c>
      <c r="BW369" s="578">
        <f t="shared" si="2278"/>
        <v>55276</v>
      </c>
      <c r="BX369" s="578">
        <f t="shared" si="2278"/>
        <v>71963</v>
      </c>
      <c r="BY369" s="578">
        <f t="shared" si="2278"/>
        <v>91849</v>
      </c>
      <c r="BZ369" s="578">
        <f t="shared" si="2278"/>
        <v>125062</v>
      </c>
      <c r="CA369" s="578">
        <f t="shared" si="2278"/>
        <v>197025</v>
      </c>
      <c r="CB369" s="578">
        <f t="shared" si="2278"/>
        <v>288874</v>
      </c>
      <c r="CC369" s="578">
        <f t="shared" si="2278"/>
        <v>104719</v>
      </c>
      <c r="CD369" s="578">
        <f t="shared" si="2278"/>
        <v>105298</v>
      </c>
      <c r="CE369" s="578">
        <f t="shared" si="2278"/>
        <v>231917</v>
      </c>
      <c r="CF369" s="578">
        <f t="shared" si="2278"/>
        <v>158372</v>
      </c>
      <c r="CG369" s="578">
        <f t="shared" si="2278"/>
        <v>210017</v>
      </c>
      <c r="CH369" s="578">
        <f t="shared" si="2278"/>
        <v>441934</v>
      </c>
      <c r="CI369" s="578">
        <f t="shared" si="2278"/>
        <v>600306</v>
      </c>
      <c r="CJ369" s="578">
        <v>118551</v>
      </c>
      <c r="CK369" s="578">
        <f t="shared" ref="CK369:CO369" si="2279">CK143-CK113</f>
        <v>104060</v>
      </c>
      <c r="CL369" s="578">
        <f t="shared" si="2279"/>
        <v>0</v>
      </c>
      <c r="CM369" s="578">
        <f t="shared" si="2279"/>
        <v>0</v>
      </c>
      <c r="CN369" s="578">
        <f t="shared" si="2279"/>
        <v>222611</v>
      </c>
      <c r="CO369" s="578">
        <f t="shared" si="2279"/>
        <v>0</v>
      </c>
    </row>
    <row r="370" spans="1:93" s="289" customFormat="1" x14ac:dyDescent="0.25">
      <c r="A370" s="543" t="str">
        <f>Language!C293</f>
        <v>Transbrasiliana</v>
      </c>
      <c r="B370" s="581">
        <f t="shared" ref="B370:X370" si="2280">SUM(B144,-B114)</f>
        <v>0</v>
      </c>
      <c r="C370" s="581">
        <f t="shared" si="2280"/>
        <v>0</v>
      </c>
      <c r="D370" s="581">
        <f t="shared" si="2280"/>
        <v>0</v>
      </c>
      <c r="E370" s="581">
        <f t="shared" si="2280"/>
        <v>0</v>
      </c>
      <c r="F370" s="582">
        <f t="shared" si="2280"/>
        <v>0</v>
      </c>
      <c r="G370" s="581">
        <f t="shared" si="2280"/>
        <v>0</v>
      </c>
      <c r="H370" s="581">
        <f t="shared" si="2280"/>
        <v>0</v>
      </c>
      <c r="I370" s="581">
        <f t="shared" si="2280"/>
        <v>0</v>
      </c>
      <c r="J370" s="582">
        <f t="shared" si="2280"/>
        <v>0</v>
      </c>
      <c r="K370" s="581">
        <f t="shared" si="2280"/>
        <v>0</v>
      </c>
      <c r="L370" s="581">
        <f t="shared" si="2280"/>
        <v>0</v>
      </c>
      <c r="M370" s="581">
        <f t="shared" si="2280"/>
        <v>0</v>
      </c>
      <c r="N370" s="582">
        <f t="shared" si="2280"/>
        <v>0</v>
      </c>
      <c r="O370" s="581">
        <f t="shared" si="2280"/>
        <v>0</v>
      </c>
      <c r="P370" s="581">
        <f t="shared" si="2280"/>
        <v>0</v>
      </c>
      <c r="Q370" s="581">
        <f t="shared" si="2280"/>
        <v>0</v>
      </c>
      <c r="R370" s="582">
        <f t="shared" si="2280"/>
        <v>21745</v>
      </c>
      <c r="S370" s="581">
        <f t="shared" si="2280"/>
        <v>21370</v>
      </c>
      <c r="T370" s="581">
        <f t="shared" si="2280"/>
        <v>21964</v>
      </c>
      <c r="U370" s="581">
        <f t="shared" si="2280"/>
        <v>24005</v>
      </c>
      <c r="V370" s="581">
        <f t="shared" si="2280"/>
        <v>43115</v>
      </c>
      <c r="W370" s="583">
        <f t="shared" si="2280"/>
        <v>65079</v>
      </c>
      <c r="X370" s="584">
        <f t="shared" si="2280"/>
        <v>89084</v>
      </c>
      <c r="Y370" s="585">
        <f t="shared" si="2272"/>
        <v>23693</v>
      </c>
      <c r="Z370" s="583">
        <f t="shared" si="2272"/>
        <v>24395</v>
      </c>
      <c r="AA370" s="581">
        <f>SUM(AA144,-AA114)</f>
        <v>24550</v>
      </c>
      <c r="AB370" s="581">
        <f>SUM(AB144,-AB114)</f>
        <v>24242</v>
      </c>
      <c r="AC370" s="583">
        <f t="shared" si="2273"/>
        <v>48088</v>
      </c>
      <c r="AD370" s="583">
        <f t="shared" si="2273"/>
        <v>72638</v>
      </c>
      <c r="AE370" s="584">
        <f t="shared" si="2273"/>
        <v>96880</v>
      </c>
      <c r="AF370" s="583">
        <f>AF144-AF114</f>
        <v>24963</v>
      </c>
      <c r="AG370" s="583">
        <f>AG144-AG114</f>
        <v>25575.422666666665</v>
      </c>
      <c r="AH370" s="581">
        <f>SUM(AH144,-AH114)</f>
        <v>27358.577333333335</v>
      </c>
      <c r="AI370" s="581">
        <f>SUM(AI144,-AI114)</f>
        <v>36499</v>
      </c>
      <c r="AJ370" s="583">
        <f t="shared" si="2274"/>
        <v>50538.422666666665</v>
      </c>
      <c r="AK370" s="583">
        <f t="shared" si="2274"/>
        <v>77897</v>
      </c>
      <c r="AL370" s="584">
        <f t="shared" si="2274"/>
        <v>114396</v>
      </c>
      <c r="AM370" s="583">
        <f t="shared" si="2274"/>
        <v>27068</v>
      </c>
      <c r="AN370" s="583">
        <f t="shared" si="1848"/>
        <v>26589</v>
      </c>
      <c r="AO370" s="583">
        <f t="shared" si="1849"/>
        <v>30371.758220422998</v>
      </c>
      <c r="AP370" s="583">
        <f t="shared" si="1849"/>
        <v>31416.900709719499</v>
      </c>
      <c r="AQ370" s="583">
        <f t="shared" ref="AQ370:CI370" si="2281">AQ144-AQ114</f>
        <v>53657</v>
      </c>
      <c r="AR370" s="583">
        <f t="shared" si="2281"/>
        <v>84028.758220422998</v>
      </c>
      <c r="AS370" s="584">
        <f t="shared" si="2281"/>
        <v>115445.6589301425</v>
      </c>
      <c r="AT370" s="583">
        <f t="shared" si="2281"/>
        <v>26552</v>
      </c>
      <c r="AU370" s="583">
        <f t="shared" si="2281"/>
        <v>28188</v>
      </c>
      <c r="AV370" s="583">
        <f t="shared" si="2281"/>
        <v>31172</v>
      </c>
      <c r="AW370" s="583">
        <f t="shared" si="2281"/>
        <v>29876</v>
      </c>
      <c r="AX370" s="583">
        <f t="shared" si="2281"/>
        <v>54740</v>
      </c>
      <c r="AY370" s="583">
        <f t="shared" si="2281"/>
        <v>85912</v>
      </c>
      <c r="AZ370" s="583">
        <f t="shared" si="2281"/>
        <v>115788</v>
      </c>
      <c r="BA370" s="583">
        <f t="shared" si="2281"/>
        <v>27605</v>
      </c>
      <c r="BB370" s="583">
        <f t="shared" si="2281"/>
        <v>25755</v>
      </c>
      <c r="BC370" s="583">
        <f t="shared" si="2281"/>
        <v>30605</v>
      </c>
      <c r="BD370" s="583">
        <f t="shared" si="2281"/>
        <v>31378</v>
      </c>
      <c r="BE370" s="583">
        <f t="shared" si="2281"/>
        <v>53360</v>
      </c>
      <c r="BF370" s="583">
        <f t="shared" si="2281"/>
        <v>83965</v>
      </c>
      <c r="BG370" s="583">
        <f t="shared" si="2281"/>
        <v>115343</v>
      </c>
      <c r="BH370" s="583">
        <f t="shared" si="2281"/>
        <v>31540</v>
      </c>
      <c r="BI370" s="583">
        <f t="shared" si="2281"/>
        <v>40123</v>
      </c>
      <c r="BJ370" s="583">
        <f t="shared" si="2281"/>
        <v>44719</v>
      </c>
      <c r="BK370" s="583">
        <f t="shared" si="2281"/>
        <v>45092</v>
      </c>
      <c r="BL370" s="583">
        <f t="shared" si="2281"/>
        <v>71663</v>
      </c>
      <c r="BM370" s="583">
        <f t="shared" si="2281"/>
        <v>116382</v>
      </c>
      <c r="BN370" s="583">
        <f t="shared" si="2281"/>
        <v>161474</v>
      </c>
      <c r="BO370" s="583">
        <f t="shared" si="2281"/>
        <v>42925</v>
      </c>
      <c r="BP370" s="583">
        <f t="shared" si="2281"/>
        <v>44113</v>
      </c>
      <c r="BQ370" s="583">
        <f t="shared" si="2281"/>
        <v>47380</v>
      </c>
      <c r="BR370" s="583">
        <f t="shared" si="2281"/>
        <v>45974</v>
      </c>
      <c r="BS370" s="583">
        <f t="shared" si="2281"/>
        <v>87038</v>
      </c>
      <c r="BT370" s="583">
        <f t="shared" si="2281"/>
        <v>134418</v>
      </c>
      <c r="BU370" s="583">
        <f t="shared" si="2281"/>
        <v>180392</v>
      </c>
      <c r="BV370" s="583">
        <f t="shared" si="2281"/>
        <v>44793</v>
      </c>
      <c r="BW370" s="583">
        <f t="shared" si="2281"/>
        <v>44687</v>
      </c>
      <c r="BX370" s="583">
        <f t="shared" si="2281"/>
        <v>53631</v>
      </c>
      <c r="BY370" s="583">
        <f t="shared" si="2281"/>
        <v>54495</v>
      </c>
      <c r="BZ370" s="583">
        <f t="shared" si="2281"/>
        <v>89480</v>
      </c>
      <c r="CA370" s="583">
        <f t="shared" si="2281"/>
        <v>143111</v>
      </c>
      <c r="CB370" s="583">
        <f t="shared" si="2281"/>
        <v>197606</v>
      </c>
      <c r="CC370" s="583">
        <f t="shared" si="2281"/>
        <v>52160</v>
      </c>
      <c r="CD370" s="583">
        <f t="shared" si="2281"/>
        <v>54760</v>
      </c>
      <c r="CE370" s="583">
        <f t="shared" si="2281"/>
        <v>57044</v>
      </c>
      <c r="CF370" s="583">
        <f t="shared" si="2281"/>
        <v>52962</v>
      </c>
      <c r="CG370" s="583">
        <f t="shared" si="2281"/>
        <v>106920</v>
      </c>
      <c r="CH370" s="583">
        <f t="shared" si="2281"/>
        <v>163964</v>
      </c>
      <c r="CI370" s="583">
        <f t="shared" si="2281"/>
        <v>216926</v>
      </c>
      <c r="CJ370" s="583">
        <v>54285</v>
      </c>
      <c r="CK370" s="583">
        <f t="shared" ref="CK370:CO370" si="2282">CK144-CK114</f>
        <v>55457</v>
      </c>
      <c r="CL370" s="583">
        <f t="shared" si="2282"/>
        <v>0</v>
      </c>
      <c r="CM370" s="583">
        <f t="shared" si="2282"/>
        <v>0</v>
      </c>
      <c r="CN370" s="583">
        <f t="shared" si="2282"/>
        <v>109742</v>
      </c>
      <c r="CO370" s="583">
        <f t="shared" si="2282"/>
        <v>0</v>
      </c>
    </row>
    <row r="371" spans="1:93" s="289" customFormat="1" ht="13" x14ac:dyDescent="0.3">
      <c r="A371" s="525" t="str">
        <f>Language!C294</f>
        <v>Patrimônio Líquido Ajustado</v>
      </c>
      <c r="B371" s="526">
        <f>SUM(B372,-B373,-B374)</f>
        <v>298883</v>
      </c>
      <c r="C371" s="526">
        <f t="shared" ref="C371:M371" si="2283">SUM(C372,-C373,-C374)</f>
        <v>284501</v>
      </c>
      <c r="D371" s="526">
        <f t="shared" si="2283"/>
        <v>305920</v>
      </c>
      <c r="E371" s="526">
        <f t="shared" si="2283"/>
        <v>311129</v>
      </c>
      <c r="F371" s="527">
        <f t="shared" si="2283"/>
        <v>300743</v>
      </c>
      <c r="G371" s="526">
        <f t="shared" si="2283"/>
        <v>326173</v>
      </c>
      <c r="H371" s="526">
        <f t="shared" si="2283"/>
        <v>296941</v>
      </c>
      <c r="I371" s="526">
        <f t="shared" si="2283"/>
        <v>319180</v>
      </c>
      <c r="J371" s="527">
        <f t="shared" si="2283"/>
        <v>351040</v>
      </c>
      <c r="K371" s="526">
        <f t="shared" si="2283"/>
        <v>302810</v>
      </c>
      <c r="L371" s="526">
        <f t="shared" si="2283"/>
        <v>321916</v>
      </c>
      <c r="M371" s="526">
        <f t="shared" si="2283"/>
        <v>306110</v>
      </c>
      <c r="N371" s="527">
        <f t="shared" ref="N371:O371" si="2284">SUM(N372,-N373,-N374)</f>
        <v>580642</v>
      </c>
      <c r="O371" s="526">
        <f t="shared" si="2284"/>
        <v>557696</v>
      </c>
      <c r="P371" s="526">
        <f t="shared" ref="P371:T371" si="2285">SUM(P372,-P373,-P374)</f>
        <v>610274</v>
      </c>
      <c r="Q371" s="526">
        <f t="shared" si="2285"/>
        <v>588375</v>
      </c>
      <c r="R371" s="527">
        <f t="shared" si="2285"/>
        <v>663470</v>
      </c>
      <c r="S371" s="526">
        <f t="shared" si="2285"/>
        <v>616963</v>
      </c>
      <c r="T371" s="526">
        <f t="shared" si="2285"/>
        <v>609323</v>
      </c>
      <c r="U371" s="526">
        <f t="shared" ref="U371:V371" si="2286">SUM(U372,-U373,-U374)</f>
        <v>594511</v>
      </c>
      <c r="V371" s="526">
        <f t="shared" si="2286"/>
        <v>616963</v>
      </c>
      <c r="W371" s="528">
        <f>SUM(W372,-W373,-W374)</f>
        <v>609323</v>
      </c>
      <c r="X371" s="529">
        <f>SUM(X372,-X373,-X374)</f>
        <v>594511</v>
      </c>
      <c r="Y371" s="530">
        <f>SUM(Y372,-Y373,-Y374)</f>
        <v>613684</v>
      </c>
      <c r="Z371" s="528">
        <f t="shared" ref="Z371:AC371" si="2287">SUM(Z372,-Z373,-Z374)</f>
        <v>618847</v>
      </c>
      <c r="AA371" s="526">
        <f t="shared" si="2287"/>
        <v>629501</v>
      </c>
      <c r="AB371" s="526">
        <f t="shared" si="2287"/>
        <v>613328</v>
      </c>
      <c r="AC371" s="528">
        <f t="shared" si="2287"/>
        <v>618847</v>
      </c>
      <c r="AD371" s="528">
        <f t="shared" ref="AD371:AE371" si="2288">SUM(AD372,-AD373,-AD374)</f>
        <v>629501</v>
      </c>
      <c r="AE371" s="529">
        <f t="shared" si="2288"/>
        <v>613328</v>
      </c>
      <c r="AF371" s="528">
        <f>SUM(AF372,-AF373,-AF374)</f>
        <v>588140</v>
      </c>
      <c r="AG371" s="528">
        <f t="shared" ref="AG371:AG374" si="2289">AJ371</f>
        <v>701874</v>
      </c>
      <c r="AH371" s="526">
        <f t="shared" ref="AH371:AH374" si="2290">AK371</f>
        <v>783804</v>
      </c>
      <c r="AI371" s="526">
        <f t="shared" ref="AI371:AI374" si="2291">AL371</f>
        <v>541354</v>
      </c>
      <c r="AJ371" s="528">
        <f t="shared" ref="AJ371:AK371" si="2292">SUM(AJ372,-AJ373,-AJ374)</f>
        <v>701874</v>
      </c>
      <c r="AK371" s="528">
        <f t="shared" si="2292"/>
        <v>783804</v>
      </c>
      <c r="AL371" s="529">
        <f t="shared" ref="AL371:AM371" si="2293">SUM(AL372,-AL373,-AL374)</f>
        <v>541354</v>
      </c>
      <c r="AM371" s="528">
        <f t="shared" si="2293"/>
        <v>582727</v>
      </c>
      <c r="AN371" s="528">
        <f>AQ371</f>
        <v>607650</v>
      </c>
      <c r="AO371" s="528">
        <f>AR371</f>
        <v>641672</v>
      </c>
      <c r="AP371" s="528">
        <f>AS371</f>
        <v>423126</v>
      </c>
      <c r="AQ371" s="528">
        <f t="shared" ref="AQ371:AR371" si="2294">SUM(AQ372,-AQ373,-AQ374)</f>
        <v>607650</v>
      </c>
      <c r="AR371" s="528">
        <f t="shared" si="2294"/>
        <v>641672</v>
      </c>
      <c r="AS371" s="529">
        <f t="shared" ref="AS371:AT371" si="2295">SUM(AS372,-AS373,-AS374)</f>
        <v>423126</v>
      </c>
      <c r="AT371" s="528">
        <f t="shared" si="2295"/>
        <v>561394</v>
      </c>
      <c r="AU371" s="528">
        <f t="shared" ref="AU371:AY371" si="2296">SUM(AU372,-AU373,-AU374)</f>
        <v>479462</v>
      </c>
      <c r="AV371" s="528">
        <f t="shared" si="2296"/>
        <v>431253</v>
      </c>
      <c r="AW371" s="528">
        <f t="shared" ref="AW371" si="2297">SUM(AW372,-AW373,-AW374)</f>
        <v>484826</v>
      </c>
      <c r="AX371" s="528">
        <f t="shared" si="2296"/>
        <v>479462</v>
      </c>
      <c r="AY371" s="528">
        <f t="shared" si="2296"/>
        <v>431253</v>
      </c>
      <c r="AZ371" s="528">
        <f t="shared" ref="AZ371:BA371" si="2298">SUM(AZ372,-AZ373,-AZ374)</f>
        <v>484826</v>
      </c>
      <c r="BA371" s="528">
        <f t="shared" si="2298"/>
        <v>476932</v>
      </c>
      <c r="BB371" s="528">
        <f t="shared" ref="BB371:BC371" si="2299">SUM(BB372,-BB373,-BB374)</f>
        <v>484612</v>
      </c>
      <c r="BC371" s="528">
        <f t="shared" si="2299"/>
        <v>436349</v>
      </c>
      <c r="BD371" s="528">
        <f t="shared" ref="BD371" si="2300">SUM(BD372,-BD373,-BD374)</f>
        <v>602052</v>
      </c>
      <c r="BE371" s="528">
        <f t="shared" ref="BE371:BF371" si="2301">SUM(BE372,-BE373,-BE374)</f>
        <v>484612</v>
      </c>
      <c r="BF371" s="528">
        <f t="shared" si="2301"/>
        <v>436349</v>
      </c>
      <c r="BG371" s="528">
        <f t="shared" ref="BG371:BH371" si="2302">SUM(BG372,-BG373,-BG374)</f>
        <v>602052</v>
      </c>
      <c r="BH371" s="528">
        <f t="shared" si="2302"/>
        <v>558035</v>
      </c>
      <c r="BI371" s="528">
        <f t="shared" ref="BI371:BL371" si="2303">SUM(BI372,-BI373,-BI374)</f>
        <v>539439</v>
      </c>
      <c r="BJ371" s="528">
        <f t="shared" si="2303"/>
        <v>610243</v>
      </c>
      <c r="BK371" s="528">
        <f t="shared" si="2303"/>
        <v>567406</v>
      </c>
      <c r="BL371" s="528">
        <f t="shared" si="2303"/>
        <v>539439</v>
      </c>
      <c r="BM371" s="528">
        <f t="shared" ref="BM371:BN371" si="2304">SUM(BM372,-BM373,-BM374)</f>
        <v>610243</v>
      </c>
      <c r="BN371" s="528">
        <f t="shared" si="2304"/>
        <v>567406</v>
      </c>
      <c r="BO371" s="528">
        <f t="shared" ref="BO371:BS371" si="2305">SUM(BO372,-BO373,-BO374)</f>
        <v>545081</v>
      </c>
      <c r="BP371" s="528">
        <f t="shared" si="2305"/>
        <v>646024</v>
      </c>
      <c r="BQ371" s="528">
        <f t="shared" si="2305"/>
        <v>582295</v>
      </c>
      <c r="BR371" s="528">
        <f t="shared" si="2305"/>
        <v>558678</v>
      </c>
      <c r="BS371" s="528">
        <f t="shared" si="2305"/>
        <v>646024</v>
      </c>
      <c r="BT371" s="528">
        <f t="shared" ref="BT371" si="2306">SUM(BT372,-BT373,-BT374)</f>
        <v>582295</v>
      </c>
      <c r="BU371" s="528">
        <f>SUM(BU372,-BU373,-BU374)</f>
        <v>558678</v>
      </c>
      <c r="BV371" s="528">
        <f>SUM(BV372,-BV373,-BV374)</f>
        <v>479285</v>
      </c>
      <c r="BW371" s="528">
        <f t="shared" ref="BW371:BZ371" si="2307">SUM(BW372,-BW373,-BW374)</f>
        <v>417130</v>
      </c>
      <c r="BX371" s="528">
        <f t="shared" si="2307"/>
        <v>520571</v>
      </c>
      <c r="BY371" s="528">
        <f t="shared" si="2307"/>
        <v>533606</v>
      </c>
      <c r="BZ371" s="528">
        <f t="shared" si="2307"/>
        <v>417130</v>
      </c>
      <c r="CA371" s="528">
        <f t="shared" ref="CA371:CB371" si="2308">SUM(CA372,-CA373,-CA374)</f>
        <v>520571</v>
      </c>
      <c r="CB371" s="528">
        <f t="shared" si="2308"/>
        <v>533606</v>
      </c>
      <c r="CC371" s="528">
        <f t="shared" ref="CC371:CD371" si="2309">SUM(CC372,-CC373,-CC374)</f>
        <v>534328</v>
      </c>
      <c r="CD371" s="528">
        <f t="shared" si="2309"/>
        <v>553460</v>
      </c>
      <c r="CE371" s="528">
        <f t="shared" ref="CE371:CG371" si="2310">SUM(CE372,-CE373,-CE374)</f>
        <v>559747</v>
      </c>
      <c r="CF371" s="528">
        <f t="shared" si="2310"/>
        <v>499061</v>
      </c>
      <c r="CG371" s="528">
        <f t="shared" si="2310"/>
        <v>553460</v>
      </c>
      <c r="CH371" s="528">
        <f t="shared" ref="CH371:CI371" si="2311">SUM(CH372,-CH373,-CH374)</f>
        <v>559747</v>
      </c>
      <c r="CI371" s="528">
        <f t="shared" si="2311"/>
        <v>499061</v>
      </c>
      <c r="CJ371" s="528">
        <v>481867</v>
      </c>
      <c r="CK371" s="528">
        <f t="shared" ref="CK371" si="2312">SUM(CK372,-CK373,-CK374)</f>
        <v>454484</v>
      </c>
      <c r="CL371" s="528">
        <f t="shared" ref="CL371:CO371" si="2313">SUM(CL372,-CL373,-CL374)</f>
        <v>0</v>
      </c>
      <c r="CM371" s="528">
        <f t="shared" si="2313"/>
        <v>0</v>
      </c>
      <c r="CN371" s="528">
        <f t="shared" si="2313"/>
        <v>454485</v>
      </c>
      <c r="CO371" s="528">
        <f t="shared" si="2313"/>
        <v>0</v>
      </c>
    </row>
    <row r="372" spans="1:93" s="289" customFormat="1" x14ac:dyDescent="0.25">
      <c r="A372" s="301" t="str">
        <f>Language!C295</f>
        <v>(+) Patrimônio Líquido</v>
      </c>
      <c r="B372" s="291">
        <f t="shared" ref="B372:AF372" si="2314">B71</f>
        <v>533193</v>
      </c>
      <c r="C372" s="291">
        <f t="shared" si="2314"/>
        <v>505992</v>
      </c>
      <c r="D372" s="291">
        <f t="shared" si="2314"/>
        <v>514890</v>
      </c>
      <c r="E372" s="291">
        <f t="shared" si="2314"/>
        <v>508070</v>
      </c>
      <c r="F372" s="290">
        <f t="shared" si="2314"/>
        <v>485914</v>
      </c>
      <c r="G372" s="291">
        <f t="shared" si="2314"/>
        <v>498447</v>
      </c>
      <c r="H372" s="291">
        <f t="shared" si="2314"/>
        <v>477977</v>
      </c>
      <c r="I372" s="291">
        <f t="shared" si="2314"/>
        <v>490689</v>
      </c>
      <c r="J372" s="290">
        <f t="shared" si="2314"/>
        <v>514776</v>
      </c>
      <c r="K372" s="291">
        <f t="shared" si="2314"/>
        <v>460665</v>
      </c>
      <c r="L372" s="291">
        <f t="shared" si="2314"/>
        <v>473889</v>
      </c>
      <c r="M372" s="291">
        <f t="shared" si="2314"/>
        <v>452859</v>
      </c>
      <c r="N372" s="290">
        <f t="shared" si="2314"/>
        <v>721709</v>
      </c>
      <c r="O372" s="291">
        <f t="shared" si="2314"/>
        <v>692920</v>
      </c>
      <c r="P372" s="291">
        <f t="shared" si="2314"/>
        <v>740341</v>
      </c>
      <c r="Q372" s="291">
        <f t="shared" si="2314"/>
        <v>713005</v>
      </c>
      <c r="R372" s="290">
        <f t="shared" si="2314"/>
        <v>784215</v>
      </c>
      <c r="S372" s="291">
        <f t="shared" si="2314"/>
        <v>733986</v>
      </c>
      <c r="T372" s="291">
        <f t="shared" si="2314"/>
        <v>722780</v>
      </c>
      <c r="U372" s="291">
        <f t="shared" si="2314"/>
        <v>706187</v>
      </c>
      <c r="V372" s="291">
        <f t="shared" si="2314"/>
        <v>733986</v>
      </c>
      <c r="W372" s="292">
        <f t="shared" si="2314"/>
        <v>722780</v>
      </c>
      <c r="X372" s="293">
        <f t="shared" si="2314"/>
        <v>706187</v>
      </c>
      <c r="Y372" s="294">
        <f t="shared" si="2314"/>
        <v>720749</v>
      </c>
      <c r="Z372" s="292">
        <f t="shared" si="2314"/>
        <v>721381</v>
      </c>
      <c r="AA372" s="291">
        <f t="shared" si="2314"/>
        <v>727525</v>
      </c>
      <c r="AB372" s="291">
        <f t="shared" si="2314"/>
        <v>708230</v>
      </c>
      <c r="AC372" s="292">
        <f t="shared" si="2314"/>
        <v>721381</v>
      </c>
      <c r="AD372" s="292">
        <f t="shared" si="2314"/>
        <v>727525</v>
      </c>
      <c r="AE372" s="293">
        <f t="shared" si="2314"/>
        <v>708230</v>
      </c>
      <c r="AF372" s="292">
        <f t="shared" si="2314"/>
        <v>677901</v>
      </c>
      <c r="AG372" s="292">
        <f t="shared" si="2289"/>
        <v>786698</v>
      </c>
      <c r="AH372" s="291">
        <f t="shared" si="2290"/>
        <v>863543</v>
      </c>
      <c r="AI372" s="291">
        <f t="shared" si="2291"/>
        <v>616015</v>
      </c>
      <c r="AJ372" s="292">
        <f>AJ71</f>
        <v>786698</v>
      </c>
      <c r="AK372" s="292">
        <f>AK71</f>
        <v>863543</v>
      </c>
      <c r="AL372" s="293">
        <f>AL71</f>
        <v>616015</v>
      </c>
      <c r="AM372" s="292">
        <f>AM71</f>
        <v>652103</v>
      </c>
      <c r="AN372" s="292">
        <f t="shared" ref="AN372:AN374" si="2315">AQ372</f>
        <v>671960</v>
      </c>
      <c r="AO372" s="292">
        <f t="shared" ref="AO372:AP374" si="2316">AR372</f>
        <v>705819</v>
      </c>
      <c r="AP372" s="292">
        <f t="shared" si="2316"/>
        <v>466822</v>
      </c>
      <c r="AQ372" s="292">
        <f t="shared" ref="AQ372:CI372" si="2317">AQ71</f>
        <v>671960</v>
      </c>
      <c r="AR372" s="292">
        <f t="shared" si="2317"/>
        <v>705819</v>
      </c>
      <c r="AS372" s="293">
        <f t="shared" si="2317"/>
        <v>466822</v>
      </c>
      <c r="AT372" s="292">
        <f t="shared" si="2317"/>
        <v>602284</v>
      </c>
      <c r="AU372" s="292">
        <f t="shared" si="2317"/>
        <v>516500</v>
      </c>
      <c r="AV372" s="292">
        <f t="shared" si="2317"/>
        <v>462763</v>
      </c>
      <c r="AW372" s="292">
        <f t="shared" si="2317"/>
        <v>501246</v>
      </c>
      <c r="AX372" s="292">
        <f t="shared" si="2317"/>
        <v>516500</v>
      </c>
      <c r="AY372" s="292">
        <f t="shared" si="2317"/>
        <v>462763</v>
      </c>
      <c r="AZ372" s="292">
        <f t="shared" si="2317"/>
        <v>501246</v>
      </c>
      <c r="BA372" s="292">
        <f t="shared" si="2317"/>
        <v>490133</v>
      </c>
      <c r="BB372" s="292">
        <f t="shared" si="2317"/>
        <v>495388</v>
      </c>
      <c r="BC372" s="292">
        <f t="shared" si="2317"/>
        <v>443466</v>
      </c>
      <c r="BD372" s="292">
        <f t="shared" si="2317"/>
        <v>604997</v>
      </c>
      <c r="BE372" s="292">
        <f t="shared" si="2317"/>
        <v>495388</v>
      </c>
      <c r="BF372" s="292">
        <f t="shared" si="2317"/>
        <v>443466</v>
      </c>
      <c r="BG372" s="292">
        <f t="shared" si="2317"/>
        <v>604997</v>
      </c>
      <c r="BH372" s="292">
        <f t="shared" si="2317"/>
        <v>558035</v>
      </c>
      <c r="BI372" s="292">
        <f t="shared" si="2317"/>
        <v>539439</v>
      </c>
      <c r="BJ372" s="292">
        <f t="shared" si="2317"/>
        <v>610243</v>
      </c>
      <c r="BK372" s="292">
        <f t="shared" si="2317"/>
        <v>567406</v>
      </c>
      <c r="BL372" s="292">
        <f t="shared" si="2317"/>
        <v>539439</v>
      </c>
      <c r="BM372" s="292">
        <f t="shared" si="2317"/>
        <v>610243</v>
      </c>
      <c r="BN372" s="292">
        <f t="shared" si="2317"/>
        <v>567406</v>
      </c>
      <c r="BO372" s="292">
        <f t="shared" si="2317"/>
        <v>545081</v>
      </c>
      <c r="BP372" s="292">
        <f t="shared" si="2317"/>
        <v>646024</v>
      </c>
      <c r="BQ372" s="292">
        <f t="shared" si="2317"/>
        <v>582295</v>
      </c>
      <c r="BR372" s="292">
        <f t="shared" si="2317"/>
        <v>558678</v>
      </c>
      <c r="BS372" s="292">
        <f t="shared" si="2317"/>
        <v>646024</v>
      </c>
      <c r="BT372" s="292">
        <f t="shared" si="2317"/>
        <v>582295</v>
      </c>
      <c r="BU372" s="292">
        <f t="shared" si="2317"/>
        <v>558678</v>
      </c>
      <c r="BV372" s="292">
        <f t="shared" si="2317"/>
        <v>479285</v>
      </c>
      <c r="BW372" s="292">
        <f t="shared" si="2317"/>
        <v>417130</v>
      </c>
      <c r="BX372" s="292">
        <f t="shared" si="2317"/>
        <v>520571</v>
      </c>
      <c r="BY372" s="292">
        <f t="shared" si="2317"/>
        <v>533606</v>
      </c>
      <c r="BZ372" s="292">
        <f t="shared" si="2317"/>
        <v>417130</v>
      </c>
      <c r="CA372" s="292">
        <f t="shared" si="2317"/>
        <v>520571</v>
      </c>
      <c r="CB372" s="292">
        <f t="shared" si="2317"/>
        <v>533606</v>
      </c>
      <c r="CC372" s="292">
        <f t="shared" si="2317"/>
        <v>534328</v>
      </c>
      <c r="CD372" s="292">
        <f t="shared" si="2317"/>
        <v>553460</v>
      </c>
      <c r="CE372" s="292">
        <f t="shared" si="2317"/>
        <v>559747</v>
      </c>
      <c r="CF372" s="292">
        <f t="shared" si="2317"/>
        <v>499061</v>
      </c>
      <c r="CG372" s="292">
        <f t="shared" si="2317"/>
        <v>553460</v>
      </c>
      <c r="CH372" s="292">
        <f t="shared" si="2317"/>
        <v>559747</v>
      </c>
      <c r="CI372" s="292">
        <f t="shared" si="2317"/>
        <v>499061</v>
      </c>
      <c r="CJ372" s="292">
        <v>481867</v>
      </c>
      <c r="CK372" s="292">
        <f t="shared" ref="CK372:CO372" si="2318">CK71</f>
        <v>454484</v>
      </c>
      <c r="CL372" s="292">
        <f t="shared" si="2318"/>
        <v>0</v>
      </c>
      <c r="CM372" s="292">
        <f t="shared" si="2318"/>
        <v>0</v>
      </c>
      <c r="CN372" s="292">
        <f t="shared" si="2318"/>
        <v>454485</v>
      </c>
      <c r="CO372" s="292">
        <f t="shared" si="2318"/>
        <v>0</v>
      </c>
    </row>
    <row r="373" spans="1:93" s="289" customFormat="1" x14ac:dyDescent="0.25">
      <c r="A373" s="301" t="str">
        <f>Language!C296</f>
        <v>(-) Reserva de Reavaliação Líquida</v>
      </c>
      <c r="B373" s="291">
        <f t="shared" ref="B373:AF373" si="2319">B75</f>
        <v>234310</v>
      </c>
      <c r="C373" s="291">
        <f t="shared" si="2319"/>
        <v>221491</v>
      </c>
      <c r="D373" s="291">
        <f t="shared" si="2319"/>
        <v>208970</v>
      </c>
      <c r="E373" s="291">
        <f t="shared" si="2319"/>
        <v>196941</v>
      </c>
      <c r="F373" s="290">
        <f t="shared" si="2319"/>
        <v>185171</v>
      </c>
      <c r="G373" s="291">
        <f t="shared" si="2319"/>
        <v>172274</v>
      </c>
      <c r="H373" s="291">
        <f t="shared" si="2319"/>
        <v>181036</v>
      </c>
      <c r="I373" s="291">
        <f t="shared" si="2319"/>
        <v>171509</v>
      </c>
      <c r="J373" s="290">
        <f t="shared" si="2319"/>
        <v>163736</v>
      </c>
      <c r="K373" s="291">
        <f t="shared" si="2319"/>
        <v>157855</v>
      </c>
      <c r="L373" s="291">
        <f t="shared" si="2319"/>
        <v>151973</v>
      </c>
      <c r="M373" s="291">
        <f t="shared" si="2319"/>
        <v>146749</v>
      </c>
      <c r="N373" s="290">
        <f t="shared" si="2319"/>
        <v>141067</v>
      </c>
      <c r="O373" s="291">
        <f t="shared" si="2319"/>
        <v>135224</v>
      </c>
      <c r="P373" s="291">
        <f t="shared" si="2319"/>
        <v>130067</v>
      </c>
      <c r="Q373" s="291">
        <f t="shared" si="2319"/>
        <v>124630</v>
      </c>
      <c r="R373" s="290">
        <f t="shared" si="2319"/>
        <v>120745</v>
      </c>
      <c r="S373" s="291">
        <f t="shared" si="2319"/>
        <v>117023</v>
      </c>
      <c r="T373" s="291">
        <f t="shared" si="2319"/>
        <v>113457</v>
      </c>
      <c r="U373" s="291">
        <f t="shared" si="2319"/>
        <v>111676</v>
      </c>
      <c r="V373" s="291">
        <f t="shared" si="2319"/>
        <v>117023</v>
      </c>
      <c r="W373" s="292">
        <f t="shared" si="2319"/>
        <v>113457</v>
      </c>
      <c r="X373" s="293">
        <f t="shared" si="2319"/>
        <v>111676</v>
      </c>
      <c r="Y373" s="294">
        <f t="shared" si="2319"/>
        <v>107065</v>
      </c>
      <c r="Z373" s="292">
        <f t="shared" si="2319"/>
        <v>102534</v>
      </c>
      <c r="AA373" s="291">
        <f t="shared" si="2319"/>
        <v>98024</v>
      </c>
      <c r="AB373" s="291">
        <f t="shared" si="2319"/>
        <v>24011</v>
      </c>
      <c r="AC373" s="292">
        <f t="shared" si="2319"/>
        <v>102534</v>
      </c>
      <c r="AD373" s="292">
        <f t="shared" si="2319"/>
        <v>98024</v>
      </c>
      <c r="AE373" s="293">
        <f t="shared" si="2319"/>
        <v>24011</v>
      </c>
      <c r="AF373" s="292">
        <f t="shared" si="2319"/>
        <v>89761</v>
      </c>
      <c r="AG373" s="292">
        <f t="shared" si="2289"/>
        <v>84824</v>
      </c>
      <c r="AH373" s="291">
        <f t="shared" si="2290"/>
        <v>79739</v>
      </c>
      <c r="AI373" s="291">
        <f t="shared" si="2291"/>
        <v>74661</v>
      </c>
      <c r="AJ373" s="292">
        <f t="shared" ref="AJ373:AM374" si="2320">AJ75</f>
        <v>84824</v>
      </c>
      <c r="AK373" s="292">
        <f t="shared" si="2320"/>
        <v>79739</v>
      </c>
      <c r="AL373" s="293">
        <f t="shared" si="2320"/>
        <v>74661</v>
      </c>
      <c r="AM373" s="292">
        <f t="shared" si="2320"/>
        <v>69376</v>
      </c>
      <c r="AN373" s="292">
        <f t="shared" si="2315"/>
        <v>64310</v>
      </c>
      <c r="AO373" s="292">
        <f t="shared" si="2316"/>
        <v>64147</v>
      </c>
      <c r="AP373" s="292">
        <f t="shared" si="2316"/>
        <v>43696</v>
      </c>
      <c r="AQ373" s="292">
        <f t="shared" ref="AQ373:CI373" si="2321">AQ75</f>
        <v>64310</v>
      </c>
      <c r="AR373" s="292">
        <f t="shared" si="2321"/>
        <v>64147</v>
      </c>
      <c r="AS373" s="293">
        <f t="shared" si="2321"/>
        <v>43696</v>
      </c>
      <c r="AT373" s="292">
        <f t="shared" si="2321"/>
        <v>40890</v>
      </c>
      <c r="AU373" s="292">
        <f t="shared" si="2321"/>
        <v>37038</v>
      </c>
      <c r="AV373" s="292">
        <f t="shared" si="2321"/>
        <v>31510</v>
      </c>
      <c r="AW373" s="292">
        <f t="shared" si="2321"/>
        <v>16420</v>
      </c>
      <c r="AX373" s="292">
        <f t="shared" si="2321"/>
        <v>37038</v>
      </c>
      <c r="AY373" s="292">
        <f t="shared" si="2321"/>
        <v>31510</v>
      </c>
      <c r="AZ373" s="292">
        <f t="shared" si="2321"/>
        <v>16420</v>
      </c>
      <c r="BA373" s="292">
        <f t="shared" si="2321"/>
        <v>13201</v>
      </c>
      <c r="BB373" s="292">
        <f t="shared" si="2321"/>
        <v>10776</v>
      </c>
      <c r="BC373" s="292">
        <f t="shared" si="2321"/>
        <v>7117</v>
      </c>
      <c r="BD373" s="292">
        <f t="shared" si="2321"/>
        <v>2945</v>
      </c>
      <c r="BE373" s="292">
        <f t="shared" si="2321"/>
        <v>10776</v>
      </c>
      <c r="BF373" s="292">
        <f t="shared" si="2321"/>
        <v>7117</v>
      </c>
      <c r="BG373" s="292">
        <f t="shared" si="2321"/>
        <v>2945</v>
      </c>
      <c r="BH373" s="292">
        <f t="shared" si="2321"/>
        <v>0</v>
      </c>
      <c r="BI373" s="292">
        <f t="shared" si="2321"/>
        <v>0</v>
      </c>
      <c r="BJ373" s="292">
        <f t="shared" si="2321"/>
        <v>0</v>
      </c>
      <c r="BK373" s="292">
        <f t="shared" si="2321"/>
        <v>0</v>
      </c>
      <c r="BL373" s="292">
        <f t="shared" si="2321"/>
        <v>0</v>
      </c>
      <c r="BM373" s="292">
        <f t="shared" si="2321"/>
        <v>0</v>
      </c>
      <c r="BN373" s="292">
        <f t="shared" si="2321"/>
        <v>0</v>
      </c>
      <c r="BO373" s="292">
        <f t="shared" si="2321"/>
        <v>0</v>
      </c>
      <c r="BP373" s="292">
        <f t="shared" si="2321"/>
        <v>0</v>
      </c>
      <c r="BQ373" s="292">
        <f t="shared" si="2321"/>
        <v>0</v>
      </c>
      <c r="BR373" s="292">
        <f t="shared" si="2321"/>
        <v>0</v>
      </c>
      <c r="BS373" s="292">
        <f t="shared" si="2321"/>
        <v>0</v>
      </c>
      <c r="BT373" s="292">
        <f t="shared" si="2321"/>
        <v>0</v>
      </c>
      <c r="BU373" s="292">
        <f t="shared" si="2321"/>
        <v>0</v>
      </c>
      <c r="BV373" s="292">
        <f t="shared" si="2321"/>
        <v>0</v>
      </c>
      <c r="BW373" s="292">
        <f t="shared" si="2321"/>
        <v>0</v>
      </c>
      <c r="BX373" s="292">
        <f t="shared" si="2321"/>
        <v>0</v>
      </c>
      <c r="BY373" s="292">
        <f t="shared" si="2321"/>
        <v>0</v>
      </c>
      <c r="BZ373" s="292">
        <f t="shared" si="2321"/>
        <v>0</v>
      </c>
      <c r="CA373" s="292">
        <f t="shared" si="2321"/>
        <v>0</v>
      </c>
      <c r="CB373" s="292">
        <f t="shared" si="2321"/>
        <v>0</v>
      </c>
      <c r="CC373" s="292">
        <f t="shared" si="2321"/>
        <v>0</v>
      </c>
      <c r="CD373" s="292">
        <f t="shared" si="2321"/>
        <v>0</v>
      </c>
      <c r="CE373" s="292">
        <f t="shared" si="2321"/>
        <v>0</v>
      </c>
      <c r="CF373" s="292">
        <f t="shared" si="2321"/>
        <v>0</v>
      </c>
      <c r="CG373" s="292">
        <f t="shared" si="2321"/>
        <v>0</v>
      </c>
      <c r="CH373" s="292">
        <f t="shared" si="2321"/>
        <v>0</v>
      </c>
      <c r="CI373" s="292">
        <f t="shared" si="2321"/>
        <v>0</v>
      </c>
      <c r="CJ373" s="292">
        <v>0</v>
      </c>
      <c r="CK373" s="292">
        <f t="shared" ref="CK373:CO373" si="2322">CK75</f>
        <v>0</v>
      </c>
      <c r="CL373" s="292">
        <f t="shared" si="2322"/>
        <v>0</v>
      </c>
      <c r="CM373" s="292">
        <f t="shared" si="2322"/>
        <v>0</v>
      </c>
      <c r="CN373" s="292">
        <f t="shared" si="2322"/>
        <v>0</v>
      </c>
      <c r="CO373" s="292">
        <f t="shared" si="2322"/>
        <v>0</v>
      </c>
    </row>
    <row r="374" spans="1:93" s="289" customFormat="1" x14ac:dyDescent="0.25">
      <c r="A374" s="560" t="str">
        <f>Language!C297</f>
        <v>(-) Ajuste de Avaliação Patrimonial Líquida</v>
      </c>
      <c r="B374" s="586">
        <f t="shared" ref="B374:AF374" si="2323">B76</f>
        <v>0</v>
      </c>
      <c r="C374" s="586">
        <f t="shared" si="2323"/>
        <v>0</v>
      </c>
      <c r="D374" s="586">
        <f t="shared" si="2323"/>
        <v>0</v>
      </c>
      <c r="E374" s="586">
        <f t="shared" si="2323"/>
        <v>0</v>
      </c>
      <c r="F374" s="587">
        <f t="shared" si="2323"/>
        <v>0</v>
      </c>
      <c r="G374" s="586">
        <f t="shared" si="2323"/>
        <v>0</v>
      </c>
      <c r="H374" s="586">
        <f t="shared" si="2323"/>
        <v>0</v>
      </c>
      <c r="I374" s="586">
        <f t="shared" si="2323"/>
        <v>0</v>
      </c>
      <c r="J374" s="587">
        <f t="shared" si="2323"/>
        <v>0</v>
      </c>
      <c r="K374" s="586">
        <f t="shared" si="2323"/>
        <v>0</v>
      </c>
      <c r="L374" s="586">
        <f t="shared" si="2323"/>
        <v>0</v>
      </c>
      <c r="M374" s="586">
        <f t="shared" si="2323"/>
        <v>0</v>
      </c>
      <c r="N374" s="587">
        <f t="shared" si="2323"/>
        <v>0</v>
      </c>
      <c r="O374" s="586">
        <f t="shared" si="2323"/>
        <v>0</v>
      </c>
      <c r="P374" s="586">
        <f t="shared" si="2323"/>
        <v>0</v>
      </c>
      <c r="Q374" s="586">
        <f t="shared" si="2323"/>
        <v>0</v>
      </c>
      <c r="R374" s="587">
        <f t="shared" si="2323"/>
        <v>0</v>
      </c>
      <c r="S374" s="586">
        <f t="shared" si="2323"/>
        <v>0</v>
      </c>
      <c r="T374" s="586">
        <f t="shared" si="2323"/>
        <v>0</v>
      </c>
      <c r="U374" s="586">
        <f t="shared" si="2323"/>
        <v>0</v>
      </c>
      <c r="V374" s="586">
        <f t="shared" si="2323"/>
        <v>0</v>
      </c>
      <c r="W374" s="588">
        <f t="shared" si="2323"/>
        <v>0</v>
      </c>
      <c r="X374" s="589">
        <f t="shared" si="2323"/>
        <v>0</v>
      </c>
      <c r="Y374" s="590">
        <f t="shared" si="2323"/>
        <v>0</v>
      </c>
      <c r="Z374" s="588">
        <f t="shared" si="2323"/>
        <v>0</v>
      </c>
      <c r="AA374" s="586">
        <f t="shared" si="2323"/>
        <v>0</v>
      </c>
      <c r="AB374" s="586">
        <f t="shared" si="2323"/>
        <v>70891</v>
      </c>
      <c r="AC374" s="588">
        <f t="shared" si="2323"/>
        <v>0</v>
      </c>
      <c r="AD374" s="588">
        <f t="shared" si="2323"/>
        <v>0</v>
      </c>
      <c r="AE374" s="589">
        <f t="shared" si="2323"/>
        <v>70891</v>
      </c>
      <c r="AF374" s="588">
        <f t="shared" si="2323"/>
        <v>0</v>
      </c>
      <c r="AG374" s="588">
        <f t="shared" si="2289"/>
        <v>0</v>
      </c>
      <c r="AH374" s="586">
        <f t="shared" si="2290"/>
        <v>0</v>
      </c>
      <c r="AI374" s="586">
        <f t="shared" si="2291"/>
        <v>0</v>
      </c>
      <c r="AJ374" s="588">
        <f t="shared" si="2320"/>
        <v>0</v>
      </c>
      <c r="AK374" s="588">
        <f t="shared" si="2320"/>
        <v>0</v>
      </c>
      <c r="AL374" s="589">
        <f t="shared" si="2320"/>
        <v>0</v>
      </c>
      <c r="AM374" s="588">
        <f t="shared" si="2320"/>
        <v>0</v>
      </c>
      <c r="AN374" s="588">
        <f t="shared" si="2315"/>
        <v>0</v>
      </c>
      <c r="AO374" s="588">
        <f t="shared" si="2316"/>
        <v>0</v>
      </c>
      <c r="AP374" s="588">
        <f t="shared" si="2316"/>
        <v>0</v>
      </c>
      <c r="AQ374" s="588">
        <f>AQ76</f>
        <v>0</v>
      </c>
      <c r="AR374" s="588">
        <f>AR76</f>
        <v>0</v>
      </c>
      <c r="AS374" s="589">
        <f>AS76</f>
        <v>0</v>
      </c>
      <c r="AT374" s="588">
        <f>AT76</f>
        <v>0</v>
      </c>
      <c r="AU374" s="588"/>
      <c r="AV374" s="588">
        <f>AV76</f>
        <v>0</v>
      </c>
      <c r="AW374" s="588">
        <f>AW76</f>
        <v>0</v>
      </c>
      <c r="AX374" s="588"/>
      <c r="AY374" s="588">
        <f t="shared" ref="AY374:CI374" si="2324">AY76</f>
        <v>0</v>
      </c>
      <c r="AZ374" s="736">
        <f t="shared" si="2324"/>
        <v>0</v>
      </c>
      <c r="BA374" s="736">
        <f t="shared" si="2324"/>
        <v>0</v>
      </c>
      <c r="BB374" s="736">
        <f t="shared" si="2324"/>
        <v>0</v>
      </c>
      <c r="BC374" s="736">
        <f t="shared" si="2324"/>
        <v>0</v>
      </c>
      <c r="BD374" s="736">
        <f t="shared" si="2324"/>
        <v>0</v>
      </c>
      <c r="BE374" s="736">
        <f t="shared" si="2324"/>
        <v>0</v>
      </c>
      <c r="BF374" s="736">
        <f t="shared" si="2324"/>
        <v>0</v>
      </c>
      <c r="BG374" s="736">
        <f t="shared" si="2324"/>
        <v>0</v>
      </c>
      <c r="BH374" s="736">
        <f t="shared" si="2324"/>
        <v>0</v>
      </c>
      <c r="BI374" s="736">
        <f t="shared" si="2324"/>
        <v>0</v>
      </c>
      <c r="BJ374" s="736">
        <f t="shared" si="2324"/>
        <v>0</v>
      </c>
      <c r="BK374" s="736">
        <f t="shared" si="2324"/>
        <v>0</v>
      </c>
      <c r="BL374" s="736">
        <f t="shared" si="2324"/>
        <v>0</v>
      </c>
      <c r="BM374" s="736">
        <f t="shared" si="2324"/>
        <v>0</v>
      </c>
      <c r="BN374" s="736">
        <f t="shared" si="2324"/>
        <v>0</v>
      </c>
      <c r="BO374" s="736">
        <f t="shared" si="2324"/>
        <v>0</v>
      </c>
      <c r="BP374" s="736">
        <f t="shared" si="2324"/>
        <v>0</v>
      </c>
      <c r="BQ374" s="736">
        <f t="shared" si="2324"/>
        <v>0</v>
      </c>
      <c r="BR374" s="736">
        <f t="shared" si="2324"/>
        <v>0</v>
      </c>
      <c r="BS374" s="736">
        <f t="shared" si="2324"/>
        <v>0</v>
      </c>
      <c r="BT374" s="736">
        <f t="shared" si="2324"/>
        <v>0</v>
      </c>
      <c r="BU374" s="736">
        <f t="shared" si="2324"/>
        <v>0</v>
      </c>
      <c r="BV374" s="736">
        <f t="shared" si="2324"/>
        <v>0</v>
      </c>
      <c r="BW374" s="736">
        <f t="shared" si="2324"/>
        <v>0</v>
      </c>
      <c r="BX374" s="736">
        <f t="shared" si="2324"/>
        <v>0</v>
      </c>
      <c r="BY374" s="736">
        <f t="shared" si="2324"/>
        <v>0</v>
      </c>
      <c r="BZ374" s="736">
        <f t="shared" si="2324"/>
        <v>0</v>
      </c>
      <c r="CA374" s="736">
        <f t="shared" si="2324"/>
        <v>0</v>
      </c>
      <c r="CB374" s="736">
        <f t="shared" si="2324"/>
        <v>0</v>
      </c>
      <c r="CC374" s="736">
        <f t="shared" si="2324"/>
        <v>0</v>
      </c>
      <c r="CD374" s="736">
        <f t="shared" si="2324"/>
        <v>0</v>
      </c>
      <c r="CE374" s="736">
        <f t="shared" si="2324"/>
        <v>0</v>
      </c>
      <c r="CF374" s="736">
        <f t="shared" si="2324"/>
        <v>0</v>
      </c>
      <c r="CG374" s="736">
        <f t="shared" si="2324"/>
        <v>0</v>
      </c>
      <c r="CH374" s="736">
        <f t="shared" si="2324"/>
        <v>0</v>
      </c>
      <c r="CI374" s="736">
        <f t="shared" si="2324"/>
        <v>0</v>
      </c>
      <c r="CJ374" s="736">
        <v>0</v>
      </c>
      <c r="CK374" s="736">
        <f t="shared" ref="CK374:CO374" si="2325">CK76</f>
        <v>0</v>
      </c>
      <c r="CL374" s="736">
        <f t="shared" si="2325"/>
        <v>0</v>
      </c>
      <c r="CM374" s="736">
        <f t="shared" si="2325"/>
        <v>0</v>
      </c>
      <c r="CN374" s="736">
        <f t="shared" si="2325"/>
        <v>0</v>
      </c>
      <c r="CO374" s="736">
        <f t="shared" si="2325"/>
        <v>0</v>
      </c>
    </row>
    <row r="375" spans="1:93" s="289" customFormat="1" ht="13" x14ac:dyDescent="0.3">
      <c r="A375" s="525" t="str">
        <f>Language!C298</f>
        <v>EBITDA Ajustado</v>
      </c>
      <c r="B375" s="526" t="e">
        <f>SUM(B376,B377,B378,B380,-#REF!)</f>
        <v>#REF!</v>
      </c>
      <c r="C375" s="526" t="e">
        <f>SUM(C376,C377,C378,C380,-#REF!)</f>
        <v>#REF!</v>
      </c>
      <c r="D375" s="526" t="e">
        <f>SUM(D376,D377,D378,D380,-#REF!)</f>
        <v>#REF!</v>
      </c>
      <c r="E375" s="526" t="e">
        <f>SUM(E376,E377,E378,E380,-#REF!)</f>
        <v>#REF!</v>
      </c>
      <c r="F375" s="527" t="e">
        <f>SUM(F376,F377,F378,F380,-#REF!)</f>
        <v>#REF!</v>
      </c>
      <c r="G375" s="526" t="e">
        <f>SUM(G376,G377,G378,G380,-#REF!)</f>
        <v>#REF!</v>
      </c>
      <c r="H375" s="526" t="e">
        <f>SUM(H376,H377,H378,H380,-#REF!)</f>
        <v>#REF!</v>
      </c>
      <c r="I375" s="526" t="e">
        <f>SUM(I376,I377,I378,I380,-#REF!)</f>
        <v>#REF!</v>
      </c>
      <c r="J375" s="527" t="e">
        <f>SUM(J376,J377,J378,J380,-#REF!)</f>
        <v>#REF!</v>
      </c>
      <c r="K375" s="526" t="e">
        <f>SUM(K376,K377,K378,K380,-#REF!)</f>
        <v>#REF!</v>
      </c>
      <c r="L375" s="526" t="e">
        <f>SUM(L376,L377,L378,L380,-#REF!)</f>
        <v>#REF!</v>
      </c>
      <c r="M375" s="526" t="e">
        <f>SUM(M376,M377,M378,M380,-#REF!)</f>
        <v>#REF!</v>
      </c>
      <c r="N375" s="527" t="e">
        <f>SUM(N376,N377,N378,N380,-#REF!)</f>
        <v>#REF!</v>
      </c>
      <c r="O375" s="526" t="e">
        <f>SUM(O376,O377,O378,O380,-#REF!)</f>
        <v>#REF!</v>
      </c>
      <c r="P375" s="526" t="e">
        <f>SUM(P376,P377,P378,P380,-#REF!)</f>
        <v>#REF!</v>
      </c>
      <c r="Q375" s="526" t="e">
        <f>SUM(Q376,Q377,Q378,Q380,-#REF!)</f>
        <v>#REF!</v>
      </c>
      <c r="R375" s="527">
        <f>SUM(R376:R383)</f>
        <v>291520</v>
      </c>
      <c r="S375" s="526">
        <f>SUM(S376:S383)</f>
        <v>147392</v>
      </c>
      <c r="T375" s="526">
        <f>SUM(T376:T383)</f>
        <v>174059</v>
      </c>
      <c r="U375" s="526">
        <f>SUM(U376:U383)</f>
        <v>138945</v>
      </c>
      <c r="V375" s="526">
        <f>SUM(V376:V383)</f>
        <v>438912</v>
      </c>
      <c r="W375" s="528" t="e">
        <f>SUM(W376,W377,W378,W380,-#REF!)</f>
        <v>#REF!</v>
      </c>
      <c r="X375" s="529" t="e">
        <f>SUM(X376,X377,X378,X380,-#REF!)</f>
        <v>#REF!</v>
      </c>
      <c r="Y375" s="530" t="e">
        <f>SUM(Y376,Y377,Y378,Y380,-#REF!)</f>
        <v>#REF!</v>
      </c>
      <c r="Z375" s="528" t="e">
        <f>SUM(Z376,Z377,Z378,Z380,-#REF!)</f>
        <v>#REF!</v>
      </c>
      <c r="AA375" s="526">
        <f>SUM(AA376:AA383)</f>
        <v>166803</v>
      </c>
      <c r="AB375" s="526">
        <f>SUM(AB376:AB383)</f>
        <v>178678</v>
      </c>
      <c r="AC375" s="528" t="e">
        <f>SUM(AC376,AC377,AC378,AC380,-#REF!)</f>
        <v>#REF!</v>
      </c>
      <c r="AD375" s="528" t="e">
        <f>SUM(AD376,AD377,AD378,AD380,-#REF!)</f>
        <v>#REF!</v>
      </c>
      <c r="AE375" s="529" t="e">
        <f>SUM(AE376,AE377,-AE378,-AE380,-#REF!)</f>
        <v>#REF!</v>
      </c>
      <c r="AF375" s="528" t="e">
        <f>SUM(AF376,AF377,-AF378,-AF380,-#REF!)</f>
        <v>#REF!</v>
      </c>
      <c r="AG375" s="528" t="e">
        <f>SUM(AG376,AG377,AG378,AG380,-#REF!)</f>
        <v>#REF!</v>
      </c>
      <c r="AH375" s="526">
        <f>SUM(AH376:AH383)</f>
        <v>53384.221128192105</v>
      </c>
      <c r="AI375" s="526">
        <f>SUM(AI376:AI383)</f>
        <v>67465.778871807925</v>
      </c>
      <c r="AJ375" s="528" t="e">
        <f>SUM(AJ376,AJ377,AJ378,AJ380,-#REF!)</f>
        <v>#REF!</v>
      </c>
      <c r="AK375" s="528" t="e">
        <f>SUM(AK376,AK377,AK378,AK380,-#REF!)</f>
        <v>#REF!</v>
      </c>
      <c r="AL375" s="529" t="e">
        <f>SUM(AL376,AL377,AL378,AL380,-#REF!)</f>
        <v>#REF!</v>
      </c>
      <c r="AM375" s="528" t="e">
        <f>SUM(AM376,AM377,AM378,AM380,-#REF!)</f>
        <v>#REF!</v>
      </c>
      <c r="AN375" s="528" t="e">
        <f t="shared" ref="AN375:AN380" si="2326">AQ375-AM375</f>
        <v>#REF!</v>
      </c>
      <c r="AO375" s="528" t="e">
        <f>AR375-AQ375</f>
        <v>#REF!</v>
      </c>
      <c r="AP375" s="528" t="e">
        <f>AS375-AR375</f>
        <v>#REF!</v>
      </c>
      <c r="AQ375" s="528" t="e">
        <f>SUM(AQ376,AQ377,AQ378,AQ380,-#REF!)</f>
        <v>#REF!</v>
      </c>
      <c r="AR375" s="528" t="e">
        <f>SUM(AR376,AR377,AR378,AR380,-#REF!)</f>
        <v>#REF!</v>
      </c>
      <c r="AS375" s="529" t="e">
        <f>SUM(AS376,AS377,AS378,AS380,-#REF!)</f>
        <v>#REF!</v>
      </c>
      <c r="AT375" s="528">
        <f>SUM(AT376,AT377,AT378,AT380,AT381,AT383)</f>
        <v>85225.837999999989</v>
      </c>
      <c r="AU375" s="528">
        <f t="shared" ref="AU375:BR375" si="2327">SUM(AU376,AU377,AU378,AU380,AU381,AU383)</f>
        <v>87528.019693085444</v>
      </c>
      <c r="AV375" s="528">
        <f t="shared" si="2327"/>
        <v>123602.20839999999</v>
      </c>
      <c r="AW375" s="528">
        <f t="shared" si="2327"/>
        <v>122494.31039999999</v>
      </c>
      <c r="AX375" s="528">
        <f t="shared" si="2327"/>
        <v>172408.91199999998</v>
      </c>
      <c r="AY375" s="528">
        <f t="shared" si="2327"/>
        <v>287931.12040000001</v>
      </c>
      <c r="AZ375" s="528">
        <f>SUM(AZ376,AZ377,AZ378,AZ380,AZ381,AZ383)+1</f>
        <v>410426.43080000003</v>
      </c>
      <c r="BA375" s="528">
        <f t="shared" si="2327"/>
        <v>110205</v>
      </c>
      <c r="BB375" s="528">
        <f t="shared" si="2327"/>
        <v>169045</v>
      </c>
      <c r="BC375" s="528">
        <f t="shared" si="2327"/>
        <v>91120</v>
      </c>
      <c r="BD375" s="528">
        <f t="shared" si="2327"/>
        <v>111908</v>
      </c>
      <c r="BE375" s="509">
        <f t="shared" si="2327"/>
        <v>190978</v>
      </c>
      <c r="BF375" s="528">
        <f t="shared" si="2327"/>
        <v>282098</v>
      </c>
      <c r="BG375" s="528">
        <f t="shared" si="2327"/>
        <v>394345</v>
      </c>
      <c r="BH375" s="528">
        <f t="shared" si="2327"/>
        <v>84567</v>
      </c>
      <c r="BI375" s="528">
        <f t="shared" si="2327"/>
        <v>89051</v>
      </c>
      <c r="BJ375" s="528">
        <f t="shared" si="2327"/>
        <v>148461</v>
      </c>
      <c r="BK375" s="528">
        <f t="shared" si="2327"/>
        <v>89961</v>
      </c>
      <c r="BL375" s="528">
        <f t="shared" si="2327"/>
        <v>173618</v>
      </c>
      <c r="BM375" s="528">
        <f t="shared" si="2327"/>
        <v>322079</v>
      </c>
      <c r="BN375" s="528">
        <f t="shared" si="2327"/>
        <v>412040</v>
      </c>
      <c r="BO375" s="528">
        <f t="shared" si="2327"/>
        <v>47750</v>
      </c>
      <c r="BP375" s="528">
        <f t="shared" si="2327"/>
        <v>-200684</v>
      </c>
      <c r="BQ375" s="528">
        <f t="shared" si="2327"/>
        <v>84410.999999999985</v>
      </c>
      <c r="BR375" s="528">
        <f t="shared" si="2327"/>
        <v>74261.969332993918</v>
      </c>
      <c r="BS375" s="528">
        <f>SUM(BS376,BS377,BS378,BS380,BS381,BS383)</f>
        <v>151033</v>
      </c>
      <c r="BT375" s="528">
        <f>SUM(BT376,BT377,BT378,BT380,BT381,BT383)</f>
        <v>238457</v>
      </c>
      <c r="BU375" s="528">
        <f>SUM(BU376,BU377,BU378,BU380,BU381,BU383)</f>
        <v>318202.9693329939</v>
      </c>
      <c r="BV375" s="528">
        <f>SUM(BV376,BV377,BV378,BV380,BV381,BV383)</f>
        <v>85921.9014207453</v>
      </c>
      <c r="BW375" s="528">
        <f t="shared" ref="BW375:BY375" si="2328">SUM(BW376,BW377,BW378,BW380,BW381,BW383)</f>
        <v>89972.456043027007</v>
      </c>
      <c r="BX375" s="528">
        <f>SUM(BX376,BX377,BX378,BX380,BX381,BX383)-1</f>
        <v>190299.67873188615</v>
      </c>
      <c r="BY375" s="528">
        <f t="shared" si="2328"/>
        <v>152977.67873188615</v>
      </c>
      <c r="BZ375" s="528">
        <f>SUM(BZ376,BZ377,BZ378,BZ380,BZ381,BZ383)+1</f>
        <v>177375.35746377229</v>
      </c>
      <c r="CA375" s="528">
        <f t="shared" ref="CA375" si="2329">SUM(CA376,CA377,CA378,CA380,CA381,CA383)</f>
        <v>367675.0361956585</v>
      </c>
      <c r="CB375" s="528">
        <f>SUM(CB376,CB377,CB378,CB380,CB381,CB383,CB382,CB379)</f>
        <v>525282.71492754458</v>
      </c>
      <c r="CC375" s="528">
        <f>SUM(CC376,CC377,CC378,CC380,CC381,CC383,CC382,CC379)</f>
        <v>65279.682523697826</v>
      </c>
      <c r="CD375" s="528">
        <f t="shared" ref="CD375:CH375" si="2330">SUM(CD376,CD377,CD378,CD380,CD381,CD383,CD382)</f>
        <v>88458.560834805699</v>
      </c>
      <c r="CE375" s="528">
        <f t="shared" si="2330"/>
        <v>194527.75664149647</v>
      </c>
      <c r="CF375" s="528">
        <f t="shared" si="2330"/>
        <v>96137</v>
      </c>
      <c r="CG375" s="528">
        <f t="shared" si="2330"/>
        <v>153815.24335850353</v>
      </c>
      <c r="CH375" s="528">
        <f t="shared" si="2330"/>
        <v>345818</v>
      </c>
      <c r="CI375" s="528">
        <f>SUM(CI376,CI377,CI378,CI380,CI381,CI383,CI382,CI379)</f>
        <v>487016</v>
      </c>
      <c r="CJ375" s="528">
        <v>66315</v>
      </c>
      <c r="CK375" s="528">
        <f>SUM(CK376,CK377,CK378,CK380,CK381,CK383,CK382,CK379)</f>
        <v>104405</v>
      </c>
      <c r="CL375" s="528">
        <f t="shared" ref="CL375:CO375" si="2331">SUM(CL376,CL377,CL378,CL380,CL381,CL383,CL382,CL379)</f>
        <v>-99</v>
      </c>
      <c r="CM375" s="528">
        <f t="shared" si="2331"/>
        <v>-98</v>
      </c>
      <c r="CN375" s="528">
        <f t="shared" si="2331"/>
        <v>170824</v>
      </c>
      <c r="CO375" s="528">
        <f t="shared" si="2331"/>
        <v>-96</v>
      </c>
    </row>
    <row r="376" spans="1:93" s="483" customFormat="1" x14ac:dyDescent="0.25">
      <c r="A376" s="591" t="str">
        <f>Language!C299</f>
        <v>(+) EBIT</v>
      </c>
      <c r="B376" s="513">
        <f t="shared" ref="B376:AM376" si="2332">B244</f>
        <v>44810</v>
      </c>
      <c r="C376" s="513">
        <f t="shared" si="2332"/>
        <v>31778</v>
      </c>
      <c r="D376" s="513">
        <f t="shared" si="2332"/>
        <v>39978</v>
      </c>
      <c r="E376" s="513">
        <f t="shared" si="2332"/>
        <v>59329</v>
      </c>
      <c r="F376" s="514">
        <f t="shared" si="2332"/>
        <v>55521</v>
      </c>
      <c r="G376" s="513">
        <f t="shared" si="2332"/>
        <v>40041</v>
      </c>
      <c r="H376" s="513">
        <f t="shared" si="2332"/>
        <v>54138</v>
      </c>
      <c r="I376" s="513">
        <f t="shared" si="2332"/>
        <v>61479</v>
      </c>
      <c r="J376" s="514">
        <f t="shared" si="2332"/>
        <v>73654</v>
      </c>
      <c r="K376" s="513">
        <f t="shared" si="2332"/>
        <v>39408</v>
      </c>
      <c r="L376" s="513">
        <f t="shared" si="2332"/>
        <v>47995</v>
      </c>
      <c r="M376" s="513">
        <f t="shared" si="2332"/>
        <v>62684</v>
      </c>
      <c r="N376" s="514">
        <f t="shared" si="2332"/>
        <v>58741</v>
      </c>
      <c r="O376" s="513">
        <f t="shared" si="2332"/>
        <v>67701</v>
      </c>
      <c r="P376" s="513">
        <f t="shared" si="2332"/>
        <v>104769</v>
      </c>
      <c r="Q376" s="513">
        <f t="shared" si="2332"/>
        <v>65060</v>
      </c>
      <c r="R376" s="514">
        <f t="shared" si="2332"/>
        <v>232939</v>
      </c>
      <c r="S376" s="513">
        <f t="shared" si="2332"/>
        <v>94668</v>
      </c>
      <c r="T376" s="513">
        <f t="shared" si="2332"/>
        <v>117607</v>
      </c>
      <c r="U376" s="513">
        <f t="shared" si="2332"/>
        <v>62519</v>
      </c>
      <c r="V376" s="513">
        <f t="shared" si="2332"/>
        <v>327607</v>
      </c>
      <c r="W376" s="515">
        <f t="shared" si="2332"/>
        <v>445214</v>
      </c>
      <c r="X376" s="516">
        <f t="shared" si="2332"/>
        <v>507733</v>
      </c>
      <c r="Y376" s="517">
        <f t="shared" si="2332"/>
        <v>95296</v>
      </c>
      <c r="Z376" s="515">
        <f t="shared" si="2332"/>
        <v>77890</v>
      </c>
      <c r="AA376" s="513">
        <f t="shared" si="2332"/>
        <v>81636</v>
      </c>
      <c r="AB376" s="513">
        <f t="shared" si="2332"/>
        <v>98863</v>
      </c>
      <c r="AC376" s="515">
        <f t="shared" si="2332"/>
        <v>173186</v>
      </c>
      <c r="AD376" s="515">
        <f t="shared" si="2332"/>
        <v>254822</v>
      </c>
      <c r="AE376" s="516">
        <f t="shared" si="2332"/>
        <v>353685</v>
      </c>
      <c r="AF376" s="515">
        <f t="shared" si="2332"/>
        <v>72466</v>
      </c>
      <c r="AG376" s="515">
        <f t="shared" si="2332"/>
        <v>13131.000000000029</v>
      </c>
      <c r="AH376" s="513">
        <f t="shared" si="2332"/>
        <v>75618.22112819209</v>
      </c>
      <c r="AI376" s="513">
        <f t="shared" si="2332"/>
        <v>-13978.221128192061</v>
      </c>
      <c r="AJ376" s="515">
        <f t="shared" si="2332"/>
        <v>85597.000000000029</v>
      </c>
      <c r="AK376" s="515">
        <f t="shared" si="2332"/>
        <v>161215.22112819212</v>
      </c>
      <c r="AL376" s="516">
        <f t="shared" si="2332"/>
        <v>147237.00000000006</v>
      </c>
      <c r="AM376" s="515">
        <f t="shared" si="2332"/>
        <v>96559</v>
      </c>
      <c r="AN376" s="515">
        <f t="shared" si="2326"/>
        <v>29820.26855397188</v>
      </c>
      <c r="AO376" s="515">
        <f t="shared" ref="AO376:AP380" si="2333">AR376-AQ376</f>
        <v>50393.731446028236</v>
      </c>
      <c r="AP376" s="515">
        <f t="shared" si="2333"/>
        <v>-140818</v>
      </c>
      <c r="AQ376" s="515">
        <f t="shared" ref="AQ376:CI376" si="2334">AQ244</f>
        <v>126379.26855397188</v>
      </c>
      <c r="AR376" s="515">
        <f t="shared" si="2334"/>
        <v>176773.00000000012</v>
      </c>
      <c r="AS376" s="516">
        <f t="shared" si="2334"/>
        <v>35955.000000000116</v>
      </c>
      <c r="AT376" s="515">
        <f t="shared" si="2334"/>
        <v>-3994.6677602400086</v>
      </c>
      <c r="AU376" s="515">
        <f t="shared" si="2334"/>
        <v>-7892.4043798425628</v>
      </c>
      <c r="AV376" s="515">
        <f t="shared" si="2334"/>
        <v>16767.357700000008</v>
      </c>
      <c r="AW376" s="515">
        <f t="shared" si="2334"/>
        <v>25368.149599999975</v>
      </c>
      <c r="AX376" s="515">
        <f t="shared" si="2334"/>
        <v>-12232.017833168036</v>
      </c>
      <c r="AY376" s="515">
        <f t="shared" si="2334"/>
        <v>-3544.6601331679703</v>
      </c>
      <c r="AZ376" s="515">
        <f t="shared" si="2334"/>
        <v>21823.489466832005</v>
      </c>
      <c r="BA376" s="515">
        <f t="shared" si="2334"/>
        <v>21577</v>
      </c>
      <c r="BB376" s="515">
        <f t="shared" si="2334"/>
        <v>1445</v>
      </c>
      <c r="BC376" s="515">
        <f t="shared" si="2334"/>
        <v>-28579</v>
      </c>
      <c r="BD376" s="515">
        <f t="shared" si="2334"/>
        <v>205230</v>
      </c>
      <c r="BE376" s="515">
        <f t="shared" si="2334"/>
        <v>23022</v>
      </c>
      <c r="BF376" s="515">
        <f t="shared" si="2334"/>
        <v>-5557</v>
      </c>
      <c r="BG376" s="515">
        <f t="shared" si="2334"/>
        <v>200012</v>
      </c>
      <c r="BH376" s="515">
        <f t="shared" si="2334"/>
        <v>-17845</v>
      </c>
      <c r="BI376" s="515">
        <f t="shared" si="2334"/>
        <v>-18048</v>
      </c>
      <c r="BJ376" s="515">
        <f t="shared" si="2334"/>
        <v>64675</v>
      </c>
      <c r="BK376" s="515">
        <f t="shared" si="2334"/>
        <v>7251</v>
      </c>
      <c r="BL376" s="515">
        <f t="shared" si="2334"/>
        <v>-35893</v>
      </c>
      <c r="BM376" s="515">
        <f t="shared" si="2334"/>
        <v>28782</v>
      </c>
      <c r="BN376" s="515">
        <f t="shared" si="2334"/>
        <v>36033</v>
      </c>
      <c r="BO376" s="515">
        <f t="shared" si="2334"/>
        <v>2977</v>
      </c>
      <c r="BP376" s="515">
        <f t="shared" si="2334"/>
        <v>-18815.484666496952</v>
      </c>
      <c r="BQ376" s="515">
        <f t="shared" si="2334"/>
        <v>-58046.24233324849</v>
      </c>
      <c r="BR376" s="515">
        <f t="shared" si="2334"/>
        <v>5475.7269997454423</v>
      </c>
      <c r="BS376" s="515">
        <f t="shared" si="2334"/>
        <v>288128.51533350302</v>
      </c>
      <c r="BT376" s="515">
        <f t="shared" si="2334"/>
        <v>230083.27300025453</v>
      </c>
      <c r="BU376" s="515">
        <f t="shared" si="2334"/>
        <v>235559</v>
      </c>
      <c r="BV376" s="515">
        <f t="shared" si="2334"/>
        <v>-29723</v>
      </c>
      <c r="BW376" s="515">
        <f t="shared" si="2334"/>
        <v>-21785</v>
      </c>
      <c r="BX376" s="515">
        <f t="shared" si="2334"/>
        <v>65766</v>
      </c>
      <c r="BY376" s="515">
        <f t="shared" si="2334"/>
        <v>49429</v>
      </c>
      <c r="BZ376" s="515">
        <f t="shared" si="2334"/>
        <v>-50028</v>
      </c>
      <c r="CA376" s="515">
        <f t="shared" si="2334"/>
        <v>15738</v>
      </c>
      <c r="CB376" s="515">
        <f t="shared" si="2334"/>
        <v>65167</v>
      </c>
      <c r="CC376" s="515">
        <f t="shared" si="2334"/>
        <v>25351</v>
      </c>
      <c r="CD376" s="515">
        <f t="shared" si="2334"/>
        <v>39839</v>
      </c>
      <c r="CE376" s="515">
        <f t="shared" si="2334"/>
        <v>128497</v>
      </c>
      <c r="CF376" s="515">
        <f t="shared" si="2334"/>
        <v>96137</v>
      </c>
      <c r="CG376" s="515">
        <f t="shared" si="2334"/>
        <v>65190</v>
      </c>
      <c r="CH376" s="515">
        <f t="shared" si="2334"/>
        <v>193687</v>
      </c>
      <c r="CI376" s="515">
        <f t="shared" si="2334"/>
        <v>289824</v>
      </c>
      <c r="CJ376" s="515">
        <v>21493</v>
      </c>
      <c r="CK376" s="515">
        <f t="shared" ref="CK376:CO376" si="2335">CK244</f>
        <v>18201</v>
      </c>
      <c r="CL376" s="515">
        <f t="shared" si="2335"/>
        <v>0</v>
      </c>
      <c r="CM376" s="515">
        <f t="shared" si="2335"/>
        <v>0</v>
      </c>
      <c r="CN376" s="515">
        <f t="shared" si="2335"/>
        <v>39694</v>
      </c>
      <c r="CO376" s="515">
        <f t="shared" si="2335"/>
        <v>0</v>
      </c>
    </row>
    <row r="377" spans="1:93" s="289" customFormat="1" x14ac:dyDescent="0.25">
      <c r="A377" s="301" t="str">
        <f>Language!C300</f>
        <v>(+) Depreciação e Amortização</v>
      </c>
      <c r="B377" s="291">
        <f t="shared" ref="B377:M377" si="2336">-B321</f>
        <v>25324</v>
      </c>
      <c r="C377" s="291">
        <f t="shared" si="2336"/>
        <v>26994</v>
      </c>
      <c r="D377" s="291">
        <f t="shared" si="2336"/>
        <v>23654</v>
      </c>
      <c r="E377" s="291">
        <f t="shared" si="2336"/>
        <v>26352</v>
      </c>
      <c r="F377" s="290">
        <f t="shared" si="2336"/>
        <v>28960</v>
      </c>
      <c r="G377" s="291">
        <f t="shared" si="2336"/>
        <v>33713</v>
      </c>
      <c r="H377" s="291">
        <f t="shared" si="2336"/>
        <v>27727</v>
      </c>
      <c r="I377" s="291">
        <f t="shared" si="2336"/>
        <v>32814</v>
      </c>
      <c r="J377" s="290">
        <f t="shared" si="2336"/>
        <v>34535</v>
      </c>
      <c r="K377" s="291">
        <f t="shared" si="2336"/>
        <v>35372</v>
      </c>
      <c r="L377" s="291">
        <f t="shared" si="2336"/>
        <v>36580</v>
      </c>
      <c r="M377" s="291">
        <f t="shared" si="2336"/>
        <v>37379</v>
      </c>
      <c r="N377" s="290">
        <f t="shared" ref="N377:O377" si="2337">-N321</f>
        <v>41062</v>
      </c>
      <c r="O377" s="291">
        <f t="shared" si="2337"/>
        <v>43380</v>
      </c>
      <c r="P377" s="291">
        <f t="shared" ref="P377:R377" si="2338">-P321</f>
        <v>42532</v>
      </c>
      <c r="Q377" s="291">
        <f t="shared" si="2338"/>
        <v>45048</v>
      </c>
      <c r="R377" s="290">
        <f t="shared" si="2338"/>
        <v>52614</v>
      </c>
      <c r="S377" s="291">
        <f t="shared" ref="S377" si="2339">-S321</f>
        <v>52781</v>
      </c>
      <c r="T377" s="291">
        <f t="shared" ref="T377:U377" si="2340">-T321</f>
        <v>55588</v>
      </c>
      <c r="U377" s="291">
        <f t="shared" si="2340"/>
        <v>52090</v>
      </c>
      <c r="V377" s="291">
        <f t="shared" ref="V377" si="2341">-V321</f>
        <v>105395</v>
      </c>
      <c r="W377" s="292">
        <f>-W321</f>
        <v>160983</v>
      </c>
      <c r="X377" s="293">
        <f>-X321</f>
        <v>213073</v>
      </c>
      <c r="Y377" s="294">
        <f>-Y321</f>
        <v>70077</v>
      </c>
      <c r="Z377" s="292">
        <f t="shared" ref="Z377:AC377" si="2342">-Z321</f>
        <v>63456</v>
      </c>
      <c r="AA377" s="291">
        <f t="shared" si="2342"/>
        <v>72296</v>
      </c>
      <c r="AB377" s="291">
        <f t="shared" si="2342"/>
        <v>72225</v>
      </c>
      <c r="AC377" s="292">
        <f t="shared" si="2342"/>
        <v>133533</v>
      </c>
      <c r="AD377" s="292">
        <f t="shared" ref="AD377:AE377" si="2343">-AD321</f>
        <v>205829</v>
      </c>
      <c r="AE377" s="293">
        <f t="shared" si="2343"/>
        <v>278054</v>
      </c>
      <c r="AF377" s="292">
        <f t="shared" ref="AF377:AJ377" si="2344">-AF321</f>
        <v>-95302.999999999985</v>
      </c>
      <c r="AG377" s="292">
        <f t="shared" si="2344"/>
        <v>-293017.00000000006</v>
      </c>
      <c r="AH377" s="291">
        <f t="shared" si="2344"/>
        <v>-44745.999999999985</v>
      </c>
      <c r="AI377" s="291">
        <f t="shared" si="2344"/>
        <v>-47353.000000000015</v>
      </c>
      <c r="AJ377" s="292">
        <f t="shared" si="2344"/>
        <v>-197714.00000000003</v>
      </c>
      <c r="AK377" s="292">
        <f t="shared" ref="AK377" si="2345">-AK321</f>
        <v>-242459.99999999997</v>
      </c>
      <c r="AL377" s="293">
        <f t="shared" ref="AL377:AM377" si="2346">-AL321</f>
        <v>-289813</v>
      </c>
      <c r="AM377" s="292">
        <f t="shared" si="2346"/>
        <v>52014</v>
      </c>
      <c r="AN377" s="292">
        <f>AQ377-AM377</f>
        <v>50194</v>
      </c>
      <c r="AO377" s="292">
        <f t="shared" si="2333"/>
        <v>59066</v>
      </c>
      <c r="AP377" s="292">
        <f t="shared" si="2333"/>
        <v>74206</v>
      </c>
      <c r="AQ377" s="292">
        <f t="shared" ref="AQ377:AR377" si="2347">-AQ321</f>
        <v>102208</v>
      </c>
      <c r="AR377" s="292">
        <f t="shared" si="2347"/>
        <v>161274</v>
      </c>
      <c r="AS377" s="293">
        <f t="shared" ref="AS377:AU377" si="2348">-AS321</f>
        <v>235480</v>
      </c>
      <c r="AT377" s="292">
        <f>-AT321</f>
        <v>76900.904999999999</v>
      </c>
      <c r="AU377" s="292">
        <f t="shared" si="2348"/>
        <v>82318.657000000007</v>
      </c>
      <c r="AV377" s="292">
        <f t="shared" ref="AV377" si="2349">-AV321</f>
        <v>83245.140799999979</v>
      </c>
      <c r="AW377" s="292">
        <f t="shared" ref="AW377" si="2350">-AW321</f>
        <v>108274.71120000002</v>
      </c>
      <c r="AX377" s="292">
        <f>-AX321</f>
        <v>159219.56200000001</v>
      </c>
      <c r="AY377" s="292">
        <f>-AY321</f>
        <v>242464.7028</v>
      </c>
      <c r="AZ377" s="734">
        <f t="shared" ref="AZ377:BA377" si="2351">-AZ321</f>
        <v>350739.41399999999</v>
      </c>
      <c r="BA377" s="734">
        <f t="shared" si="2351"/>
        <v>84567</v>
      </c>
      <c r="BB377" s="734">
        <f t="shared" ref="BB377:BC377" si="2352">-BB321</f>
        <v>157499</v>
      </c>
      <c r="BC377" s="734">
        <f t="shared" si="2352"/>
        <v>100559</v>
      </c>
      <c r="BD377" s="734">
        <f t="shared" ref="BD377" si="2353">-BD321</f>
        <v>116571</v>
      </c>
      <c r="BE377" s="734">
        <f t="shared" ref="BE377:BF377" si="2354">-BE321</f>
        <v>157499</v>
      </c>
      <c r="BF377" s="734">
        <f t="shared" si="2354"/>
        <v>258058</v>
      </c>
      <c r="BG377" s="734">
        <f t="shared" ref="BG377:BH377" si="2355">-BG321</f>
        <v>374629</v>
      </c>
      <c r="BH377" s="734">
        <f t="shared" si="2355"/>
        <v>110724</v>
      </c>
      <c r="BI377" s="734">
        <f t="shared" ref="BI377:BL377" si="2356">-BI321</f>
        <v>116367</v>
      </c>
      <c r="BJ377" s="734">
        <f t="shared" si="2356"/>
        <v>56248</v>
      </c>
      <c r="BK377" s="734">
        <f t="shared" si="2356"/>
        <v>90055</v>
      </c>
      <c r="BL377" s="734">
        <f t="shared" si="2356"/>
        <v>227091</v>
      </c>
      <c r="BM377" s="734">
        <f t="shared" ref="BM377:BN377" si="2357">-BM321</f>
        <v>283339</v>
      </c>
      <c r="BN377" s="734">
        <f t="shared" si="2357"/>
        <v>373394</v>
      </c>
      <c r="BO377" s="734">
        <f t="shared" ref="BO377:BS377" si="2358">-BO321</f>
        <v>43621</v>
      </c>
      <c r="BP377" s="734">
        <f>-BP321</f>
        <v>40738.484666496952</v>
      </c>
      <c r="BQ377" s="734">
        <f t="shared" si="2358"/>
        <v>41336.242333248476</v>
      </c>
      <c r="BR377" s="734">
        <f t="shared" si="2358"/>
        <v>23788.242333248476</v>
      </c>
      <c r="BS377" s="515">
        <f t="shared" si="2358"/>
        <v>84359.484666496952</v>
      </c>
      <c r="BT377" s="515">
        <f t="shared" ref="BT377:BU377" si="2359">-BT321</f>
        <v>128707.72699974544</v>
      </c>
      <c r="BU377" s="515">
        <f t="shared" si="2359"/>
        <v>152495.9693329939</v>
      </c>
      <c r="BV377" s="515">
        <f t="shared" ref="BV377:BZ377" si="2360">-BV321</f>
        <v>35757.9014207453</v>
      </c>
      <c r="BW377" s="515">
        <f t="shared" si="2360"/>
        <v>35601.456043027007</v>
      </c>
      <c r="BX377" s="515">
        <f t="shared" si="2360"/>
        <v>39816.678731886153</v>
      </c>
      <c r="BY377" s="515">
        <f t="shared" si="2360"/>
        <v>44418.678731886153</v>
      </c>
      <c r="BZ377" s="515">
        <f t="shared" si="2360"/>
        <v>71359.357463772307</v>
      </c>
      <c r="CA377" s="515">
        <f t="shared" ref="CA377:CB377" si="2361">-CA321</f>
        <v>111176.03619565847</v>
      </c>
      <c r="CB377" s="515">
        <f t="shared" si="2361"/>
        <v>155755.71492754461</v>
      </c>
      <c r="CC377" s="515">
        <f t="shared" ref="CC377:CD377" si="2362">-CC321</f>
        <v>38116.682523697826</v>
      </c>
      <c r="CD377" s="515">
        <f t="shared" si="2362"/>
        <v>41356.560834805699</v>
      </c>
      <c r="CE377" s="515">
        <f t="shared" ref="CE377:CG377" si="2363">-CE321</f>
        <v>45565.756641496468</v>
      </c>
      <c r="CF377" s="515">
        <f t="shared" si="2363"/>
        <v>0</v>
      </c>
      <c r="CG377" s="515">
        <f t="shared" si="2363"/>
        <v>79473.243358503532</v>
      </c>
      <c r="CH377" s="515">
        <f t="shared" ref="CH377:CI377" si="2364">-CH321</f>
        <v>125039</v>
      </c>
      <c r="CI377" s="515">
        <f t="shared" si="2364"/>
        <v>161830</v>
      </c>
      <c r="CJ377" s="515">
        <v>42116</v>
      </c>
      <c r="CK377" s="515">
        <f t="shared" ref="CK377" si="2365">-CK321</f>
        <v>71584</v>
      </c>
      <c r="CL377" s="515">
        <f t="shared" ref="CL377:CO377" si="2366">-CL321</f>
        <v>0</v>
      </c>
      <c r="CM377" s="515">
        <f t="shared" si="2366"/>
        <v>0</v>
      </c>
      <c r="CN377" s="515">
        <f t="shared" si="2366"/>
        <v>113700</v>
      </c>
      <c r="CO377" s="515">
        <f t="shared" si="2366"/>
        <v>0</v>
      </c>
    </row>
    <row r="378" spans="1:93" s="289" customFormat="1" x14ac:dyDescent="0.25">
      <c r="A378" s="301" t="str">
        <f>Language!C301</f>
        <v>(+) Provisão para Manutenção</v>
      </c>
      <c r="B378" s="291">
        <f t="shared" ref="B378:M378" si="2367">B342</f>
        <v>521</v>
      </c>
      <c r="C378" s="291">
        <f t="shared" si="2367"/>
        <v>2852</v>
      </c>
      <c r="D378" s="291">
        <f t="shared" si="2367"/>
        <v>2207</v>
      </c>
      <c r="E378" s="291">
        <f t="shared" si="2367"/>
        <v>2641</v>
      </c>
      <c r="F378" s="290">
        <f t="shared" si="2367"/>
        <v>1665</v>
      </c>
      <c r="G378" s="291">
        <f t="shared" si="2367"/>
        <v>0</v>
      </c>
      <c r="H378" s="291">
        <f t="shared" si="2367"/>
        <v>0</v>
      </c>
      <c r="I378" s="291">
        <f t="shared" si="2367"/>
        <v>0</v>
      </c>
      <c r="J378" s="290">
        <f t="shared" si="2367"/>
        <v>0</v>
      </c>
      <c r="K378" s="291">
        <f t="shared" si="2367"/>
        <v>0</v>
      </c>
      <c r="L378" s="291">
        <f t="shared" si="2367"/>
        <v>0</v>
      </c>
      <c r="M378" s="291">
        <f t="shared" si="2367"/>
        <v>0</v>
      </c>
      <c r="N378" s="290">
        <f t="shared" ref="N378:R378" si="2368">N342</f>
        <v>0</v>
      </c>
      <c r="O378" s="291">
        <f t="shared" si="2368"/>
        <v>-3388</v>
      </c>
      <c r="P378" s="291">
        <f t="shared" si="2368"/>
        <v>-3246</v>
      </c>
      <c r="Q378" s="291">
        <f t="shared" si="2368"/>
        <v>-3764</v>
      </c>
      <c r="R378" s="290">
        <f t="shared" si="2368"/>
        <v>0</v>
      </c>
      <c r="S378" s="291">
        <f t="shared" ref="S378" si="2369">S342</f>
        <v>0</v>
      </c>
      <c r="T378" s="291">
        <f t="shared" ref="T378:U378" si="2370">T342</f>
        <v>0</v>
      </c>
      <c r="U378" s="291">
        <f t="shared" si="2370"/>
        <v>21894</v>
      </c>
      <c r="V378" s="291">
        <f t="shared" ref="V378" si="2371">V342</f>
        <v>0</v>
      </c>
      <c r="W378" s="292">
        <f>W342</f>
        <v>0</v>
      </c>
      <c r="X378" s="293">
        <f>X342</f>
        <v>21894</v>
      </c>
      <c r="Y378" s="294">
        <f>-Y342</f>
        <v>-12828</v>
      </c>
      <c r="Z378" s="292">
        <f t="shared" ref="Z378:AC378" si="2372">-Z342</f>
        <v>-12893</v>
      </c>
      <c r="AA378" s="291">
        <f t="shared" ref="AA378:AB378" si="2373">AA342</f>
        <v>10267</v>
      </c>
      <c r="AB378" s="291">
        <f t="shared" si="2373"/>
        <v>6406</v>
      </c>
      <c r="AC378" s="292">
        <f t="shared" si="2372"/>
        <v>-25721</v>
      </c>
      <c r="AD378" s="292">
        <f t="shared" ref="AD378:AE378" si="2374">-AD342</f>
        <v>-35988</v>
      </c>
      <c r="AE378" s="293">
        <f t="shared" si="2374"/>
        <v>-42394</v>
      </c>
      <c r="AF378" s="292">
        <f t="shared" ref="AF378:AJ378" si="2375">-AF342</f>
        <v>-10778</v>
      </c>
      <c r="AG378" s="292">
        <f t="shared" si="2375"/>
        <v>-10862</v>
      </c>
      <c r="AH378" s="291">
        <f t="shared" ref="AH378" si="2376">AH342</f>
        <v>10905</v>
      </c>
      <c r="AI378" s="291">
        <f t="shared" ref="AI378" si="2377">AI342</f>
        <v>20668</v>
      </c>
      <c r="AJ378" s="292">
        <f t="shared" si="2375"/>
        <v>-21640</v>
      </c>
      <c r="AK378" s="292">
        <f t="shared" ref="AK378" si="2378">-AK342</f>
        <v>-32545</v>
      </c>
      <c r="AL378" s="293">
        <f t="shared" ref="AL378:AM378" si="2379">-AL342</f>
        <v>-53213</v>
      </c>
      <c r="AM378" s="292">
        <f t="shared" si="2379"/>
        <v>12050</v>
      </c>
      <c r="AN378" s="292">
        <f t="shared" si="2326"/>
        <v>20316</v>
      </c>
      <c r="AO378" s="292">
        <f t="shared" si="2333"/>
        <v>1569</v>
      </c>
      <c r="AP378" s="292">
        <f t="shared" si="2333"/>
        <v>3063</v>
      </c>
      <c r="AQ378" s="292">
        <f t="shared" ref="AQ378:AR378" si="2380">-AQ342</f>
        <v>32366</v>
      </c>
      <c r="AR378" s="292">
        <f t="shared" si="2380"/>
        <v>33935</v>
      </c>
      <c r="AS378" s="293">
        <f t="shared" ref="AS378:AU378" si="2381">-AS342</f>
        <v>36998</v>
      </c>
      <c r="AT378" s="292">
        <f t="shared" si="2381"/>
        <v>11193</v>
      </c>
      <c r="AU378" s="292">
        <f t="shared" si="2381"/>
        <v>11225</v>
      </c>
      <c r="AV378" s="292">
        <f t="shared" ref="AV378:AY378" si="2382">-AV342</f>
        <v>11150</v>
      </c>
      <c r="AW378" s="292">
        <f t="shared" ref="AW378:AX378" si="2383">-AW342</f>
        <v>11455</v>
      </c>
      <c r="AX378" s="292">
        <f t="shared" si="2383"/>
        <v>22418</v>
      </c>
      <c r="AY378" s="292">
        <f t="shared" si="2382"/>
        <v>33568</v>
      </c>
      <c r="AZ378" s="734">
        <f t="shared" ref="AZ378:BA378" si="2384">-AZ342</f>
        <v>45023</v>
      </c>
      <c r="BA378" s="734">
        <f t="shared" si="2384"/>
        <v>3705</v>
      </c>
      <c r="BB378" s="734">
        <f t="shared" ref="BB378:BC378" si="2385">-BB342</f>
        <v>7434</v>
      </c>
      <c r="BC378" s="734">
        <f t="shared" si="2385"/>
        <v>3798</v>
      </c>
      <c r="BD378" s="734">
        <f t="shared" ref="BD378" si="2386">-BD342</f>
        <v>3484</v>
      </c>
      <c r="BE378" s="734">
        <f t="shared" ref="BE378:BF378" si="2387">-BE342</f>
        <v>7434</v>
      </c>
      <c r="BF378" s="734">
        <f t="shared" si="2387"/>
        <v>11232</v>
      </c>
      <c r="BG378" s="734">
        <f t="shared" ref="BG378:BH378" si="2388">-BG342</f>
        <v>14716</v>
      </c>
      <c r="BH378" s="734">
        <f t="shared" si="2388"/>
        <v>-8637</v>
      </c>
      <c r="BI378" s="734">
        <f t="shared" ref="BI378:BL378" si="2389">-BI342</f>
        <v>-9731</v>
      </c>
      <c r="BJ378" s="734">
        <f t="shared" si="2389"/>
        <v>27428</v>
      </c>
      <c r="BK378" s="734">
        <f t="shared" si="2389"/>
        <v>3122</v>
      </c>
      <c r="BL378" s="734">
        <f t="shared" si="2389"/>
        <v>-18368</v>
      </c>
      <c r="BM378" s="734">
        <f t="shared" ref="BM378:BN378" si="2390">-BM342</f>
        <v>9060</v>
      </c>
      <c r="BN378" s="734">
        <f t="shared" si="2390"/>
        <v>12182</v>
      </c>
      <c r="BO378" s="734">
        <f t="shared" ref="BO378:BS378" si="2391">-BO342</f>
        <v>210</v>
      </c>
      <c r="BP378" s="734">
        <f t="shared" si="2391"/>
        <v>210</v>
      </c>
      <c r="BQ378" s="734">
        <f t="shared" si="2391"/>
        <v>210</v>
      </c>
      <c r="BR378" s="734">
        <f t="shared" si="2391"/>
        <v>210</v>
      </c>
      <c r="BS378" s="734">
        <f t="shared" si="2391"/>
        <v>420</v>
      </c>
      <c r="BT378" s="734">
        <f>-BT342</f>
        <v>630</v>
      </c>
      <c r="BU378" s="734">
        <f>-BU342</f>
        <v>840</v>
      </c>
      <c r="BV378" s="292">
        <f>-BV342</f>
        <v>170</v>
      </c>
      <c r="BW378" s="292">
        <f t="shared" ref="BW378:BZ378" si="2392">-BW342</f>
        <v>169</v>
      </c>
      <c r="BX378" s="734">
        <f t="shared" si="2392"/>
        <v>170</v>
      </c>
      <c r="BY378" s="734">
        <f t="shared" si="2392"/>
        <v>169</v>
      </c>
      <c r="BZ378" s="292">
        <f t="shared" si="2392"/>
        <v>339</v>
      </c>
      <c r="CA378" s="292">
        <f t="shared" ref="CA378:CB378" si="2393">-CA342</f>
        <v>509</v>
      </c>
      <c r="CB378" s="292">
        <f t="shared" si="2393"/>
        <v>678</v>
      </c>
      <c r="CC378" s="292">
        <f t="shared" ref="CC378:CD378" si="2394">-CC342</f>
        <v>89</v>
      </c>
      <c r="CD378" s="292">
        <f t="shared" si="2394"/>
        <v>-2211</v>
      </c>
      <c r="CE378" s="292">
        <f t="shared" ref="CE378:CG378" si="2395">-CE342</f>
        <v>114</v>
      </c>
      <c r="CF378" s="292">
        <f t="shared" si="2395"/>
        <v>0</v>
      </c>
      <c r="CG378" s="292">
        <f t="shared" si="2395"/>
        <v>-2122</v>
      </c>
      <c r="CH378" s="292">
        <f t="shared" ref="CH378:CI378" si="2396">-CH342</f>
        <v>-2008</v>
      </c>
      <c r="CI378" s="515">
        <f t="shared" si="2396"/>
        <v>-1750</v>
      </c>
      <c r="CJ378" s="515">
        <v>24</v>
      </c>
      <c r="CK378" s="515">
        <f t="shared" ref="CK378" si="2397">-CK342</f>
        <v>25</v>
      </c>
      <c r="CL378" s="515">
        <f t="shared" ref="CL378:CO378" si="2398">-CL342</f>
        <v>0</v>
      </c>
      <c r="CM378" s="515">
        <f t="shared" si="2398"/>
        <v>0</v>
      </c>
      <c r="CN378" s="515">
        <f t="shared" si="2398"/>
        <v>49</v>
      </c>
      <c r="CO378" s="515">
        <f t="shared" si="2398"/>
        <v>0</v>
      </c>
    </row>
    <row r="379" spans="1:93" s="289" customFormat="1" x14ac:dyDescent="0.25">
      <c r="A379" s="703" t="s">
        <v>762</v>
      </c>
      <c r="B379" s="291"/>
      <c r="C379" s="291"/>
      <c r="D379" s="291"/>
      <c r="E379" s="291"/>
      <c r="F379" s="290"/>
      <c r="G379" s="291"/>
      <c r="H379" s="291"/>
      <c r="I379" s="291"/>
      <c r="J379" s="290"/>
      <c r="K379" s="291"/>
      <c r="L379" s="291"/>
      <c r="M379" s="291"/>
      <c r="N379" s="290"/>
      <c r="O379" s="291"/>
      <c r="P379" s="291"/>
      <c r="Q379" s="291"/>
      <c r="R379" s="290"/>
      <c r="S379" s="291"/>
      <c r="T379" s="291"/>
      <c r="U379" s="291"/>
      <c r="V379" s="291"/>
      <c r="W379" s="292"/>
      <c r="X379" s="293"/>
      <c r="Y379" s="294"/>
      <c r="Z379" s="292"/>
      <c r="AA379" s="291"/>
      <c r="AB379" s="291"/>
      <c r="AC379" s="292"/>
      <c r="AD379" s="292"/>
      <c r="AE379" s="293"/>
      <c r="AF379" s="292"/>
      <c r="AG379" s="292"/>
      <c r="AH379" s="291"/>
      <c r="AI379" s="291"/>
      <c r="AJ379" s="292"/>
      <c r="AK379" s="292"/>
      <c r="AL379" s="293"/>
      <c r="AM379" s="292"/>
      <c r="AN379" s="292"/>
      <c r="AO379" s="292"/>
      <c r="AP379" s="292"/>
      <c r="AQ379" s="292"/>
      <c r="AR379" s="292"/>
      <c r="AS379" s="293"/>
      <c r="AT379" s="292"/>
      <c r="AU379" s="292"/>
      <c r="AV379" s="292"/>
      <c r="AW379" s="292"/>
      <c r="AX379" s="292"/>
      <c r="AY379" s="292"/>
      <c r="AZ379" s="734"/>
      <c r="BA379" s="734"/>
      <c r="BB379" s="734"/>
      <c r="BC379" s="734"/>
      <c r="BD379" s="734"/>
      <c r="BE379" s="734"/>
      <c r="BF379" s="734"/>
      <c r="BG379" s="734"/>
      <c r="BH379" s="734"/>
      <c r="BI379" s="734"/>
      <c r="BJ379" s="734"/>
      <c r="BK379" s="734"/>
      <c r="BL379" s="734"/>
      <c r="BM379" s="734"/>
      <c r="BN379" s="734"/>
      <c r="BO379" s="734"/>
      <c r="BP379" s="734"/>
      <c r="BQ379" s="734"/>
      <c r="BR379" s="734"/>
      <c r="BS379" s="734"/>
      <c r="BT379" s="734"/>
      <c r="BU379" s="734"/>
      <c r="BV379" s="292"/>
      <c r="BW379" s="292"/>
      <c r="BX379" s="734"/>
      <c r="BY379" s="734"/>
      <c r="BZ379" s="292"/>
      <c r="CA379" s="292"/>
      <c r="CB379" s="292">
        <v>-4064</v>
      </c>
      <c r="CC379" s="292">
        <v>-119</v>
      </c>
      <c r="CD379" s="292"/>
      <c r="CE379" s="292"/>
      <c r="CF379" s="292"/>
      <c r="CG379" s="292"/>
      <c r="CH379" s="292"/>
      <c r="CI379" s="515">
        <v>-2347</v>
      </c>
      <c r="CJ379" s="515">
        <v>-101</v>
      </c>
      <c r="CK379" s="515">
        <v>-100</v>
      </c>
      <c r="CL379" s="515">
        <v>-99</v>
      </c>
      <c r="CM379" s="515">
        <v>-98</v>
      </c>
      <c r="CN379" s="515">
        <v>-97</v>
      </c>
      <c r="CO379" s="515">
        <v>-96</v>
      </c>
    </row>
    <row r="380" spans="1:93" x14ac:dyDescent="0.25">
      <c r="A380" s="301" t="str">
        <f>Language!C302</f>
        <v>(+) Despesas Não Recorrentes</v>
      </c>
      <c r="B380" s="291">
        <f t="shared" ref="B380:M380" si="2399">B348</f>
        <v>-165</v>
      </c>
      <c r="C380" s="291">
        <f t="shared" si="2399"/>
        <v>-205</v>
      </c>
      <c r="D380" s="291">
        <f t="shared" si="2399"/>
        <v>-29</v>
      </c>
      <c r="E380" s="291">
        <f t="shared" si="2399"/>
        <v>-19</v>
      </c>
      <c r="F380" s="290">
        <f t="shared" si="2399"/>
        <v>-29</v>
      </c>
      <c r="G380" s="291">
        <f t="shared" si="2399"/>
        <v>-93</v>
      </c>
      <c r="H380" s="291">
        <f t="shared" si="2399"/>
        <v>-13</v>
      </c>
      <c r="I380" s="291">
        <f t="shared" si="2399"/>
        <v>4</v>
      </c>
      <c r="J380" s="290">
        <f t="shared" si="2399"/>
        <v>0</v>
      </c>
      <c r="K380" s="291">
        <f t="shared" si="2399"/>
        <v>-10</v>
      </c>
      <c r="L380" s="291">
        <f t="shared" si="2399"/>
        <v>-2</v>
      </c>
      <c r="M380" s="291">
        <f t="shared" si="2399"/>
        <v>0</v>
      </c>
      <c r="N380" s="290">
        <f t="shared" ref="N380:O380" si="2400">N348</f>
        <v>-24</v>
      </c>
      <c r="O380" s="291">
        <f t="shared" si="2400"/>
        <v>0</v>
      </c>
      <c r="P380" s="291">
        <f t="shared" ref="P380:R380" si="2401">P348</f>
        <v>-17</v>
      </c>
      <c r="Q380" s="291">
        <f t="shared" si="2401"/>
        <v>0</v>
      </c>
      <c r="R380" s="290">
        <f t="shared" si="2401"/>
        <v>5967</v>
      </c>
      <c r="S380" s="291">
        <f t="shared" ref="S380" si="2402">S348</f>
        <v>-57</v>
      </c>
      <c r="T380" s="291">
        <f t="shared" ref="T380:U380" si="2403">T348</f>
        <v>864</v>
      </c>
      <c r="U380" s="291">
        <f t="shared" si="2403"/>
        <v>2442</v>
      </c>
      <c r="V380" s="291">
        <f t="shared" ref="V380" si="2404">V348</f>
        <v>5910</v>
      </c>
      <c r="W380" s="292">
        <f>W348</f>
        <v>6774</v>
      </c>
      <c r="X380" s="293">
        <f>X348</f>
        <v>9216</v>
      </c>
      <c r="Y380" s="294">
        <f>-Y348</f>
        <v>92</v>
      </c>
      <c r="Z380" s="292">
        <f t="shared" ref="Z380:AC380" si="2405">-Z348</f>
        <v>0</v>
      </c>
      <c r="AA380" s="291">
        <f t="shared" ref="AA380:AB380" si="2406">AA348</f>
        <v>2604</v>
      </c>
      <c r="AB380" s="291">
        <f t="shared" si="2406"/>
        <v>1184</v>
      </c>
      <c r="AC380" s="292">
        <f t="shared" si="2405"/>
        <v>92</v>
      </c>
      <c r="AD380" s="292">
        <f t="shared" ref="AD380:AE380" si="2407">-AD348</f>
        <v>-2512</v>
      </c>
      <c r="AE380" s="293">
        <f t="shared" si="2407"/>
        <v>-3696</v>
      </c>
      <c r="AF380" s="292">
        <f t="shared" ref="AF380:AJ380" si="2408">-AF348</f>
        <v>-21</v>
      </c>
      <c r="AG380" s="292">
        <f t="shared" si="2408"/>
        <v>-15927</v>
      </c>
      <c r="AH380" s="291">
        <f t="shared" ref="AH380" si="2409">AH348</f>
        <v>11607</v>
      </c>
      <c r="AI380" s="291">
        <f t="shared" ref="AI380" si="2410">AI348</f>
        <v>108129</v>
      </c>
      <c r="AJ380" s="292">
        <f t="shared" si="2408"/>
        <v>-15948</v>
      </c>
      <c r="AK380" s="292">
        <f t="shared" ref="AK380" si="2411">-AK348</f>
        <v>-27555</v>
      </c>
      <c r="AL380" s="293">
        <f t="shared" ref="AL380:AM380" si="2412">-AL348</f>
        <v>-135684</v>
      </c>
      <c r="AM380" s="292">
        <f t="shared" si="2412"/>
        <v>14971</v>
      </c>
      <c r="AN380" s="292">
        <f t="shared" si="2326"/>
        <v>-7445</v>
      </c>
      <c r="AO380" s="292">
        <f t="shared" si="2333"/>
        <v>3369</v>
      </c>
      <c r="AP380" s="292">
        <f t="shared" si="2333"/>
        <v>156389</v>
      </c>
      <c r="AQ380" s="292">
        <f t="shared" ref="AQ380:AR380" si="2413">-AQ348</f>
        <v>7526</v>
      </c>
      <c r="AR380" s="292">
        <f t="shared" si="2413"/>
        <v>10895</v>
      </c>
      <c r="AS380" s="293">
        <f t="shared" ref="AS380:AT380" si="2414">-AS348</f>
        <v>167284</v>
      </c>
      <c r="AT380" s="292">
        <f t="shared" si="2414"/>
        <v>1126.6007602399986</v>
      </c>
      <c r="AU380" s="292">
        <f>-AU348</f>
        <v>1876.7670729280012</v>
      </c>
      <c r="AV380" s="292">
        <f t="shared" ref="AV380:AY380" si="2415">-AV348</f>
        <v>12439.7099</v>
      </c>
      <c r="AW380" s="292">
        <f t="shared" ref="AW380:AX380" si="2416">-AW348</f>
        <v>-22603.5504</v>
      </c>
      <c r="AX380" s="292">
        <f t="shared" si="2416"/>
        <v>3003.3678331679998</v>
      </c>
      <c r="AY380" s="292">
        <f t="shared" si="2415"/>
        <v>15443.077733168</v>
      </c>
      <c r="AZ380" s="734">
        <f t="shared" ref="AZ380:BA380" si="2417">-AZ348</f>
        <v>-7160.472666832</v>
      </c>
      <c r="BA380" s="734">
        <f t="shared" si="2417"/>
        <v>356</v>
      </c>
      <c r="BB380" s="734">
        <f t="shared" ref="BB380:BC380" si="2418">-BB348</f>
        <v>2667</v>
      </c>
      <c r="BC380" s="734">
        <f t="shared" si="2418"/>
        <v>15342</v>
      </c>
      <c r="BD380" s="734">
        <f t="shared" ref="BD380" si="2419">-BD348</f>
        <v>-213377</v>
      </c>
      <c r="BE380" s="734">
        <f t="shared" ref="BE380:BF380" si="2420">-BE348</f>
        <v>3023</v>
      </c>
      <c r="BF380" s="734">
        <f t="shared" si="2420"/>
        <v>18365</v>
      </c>
      <c r="BG380" s="734">
        <f t="shared" ref="BG380:BH380" si="2421">-BG348</f>
        <v>-195012</v>
      </c>
      <c r="BH380" s="734">
        <f t="shared" si="2421"/>
        <v>325</v>
      </c>
      <c r="BI380" s="734">
        <f t="shared" ref="BI380:BL380" si="2422">-BI348</f>
        <v>463</v>
      </c>
      <c r="BJ380" s="734">
        <f t="shared" si="2422"/>
        <v>110</v>
      </c>
      <c r="BK380" s="734">
        <f t="shared" si="2422"/>
        <v>-10467</v>
      </c>
      <c r="BL380" s="734">
        <f t="shared" si="2422"/>
        <v>788</v>
      </c>
      <c r="BM380" s="734">
        <f t="shared" ref="BM380:BN380" si="2423">-BM348</f>
        <v>898</v>
      </c>
      <c r="BN380" s="734">
        <f t="shared" si="2423"/>
        <v>-9569</v>
      </c>
      <c r="BO380" s="734">
        <f t="shared" ref="BO380:BS380" si="2424">-BO348</f>
        <v>942</v>
      </c>
      <c r="BP380" s="734">
        <f t="shared" si="2424"/>
        <v>-249</v>
      </c>
      <c r="BQ380" s="734">
        <f t="shared" si="2424"/>
        <v>-2710</v>
      </c>
      <c r="BR380" s="734">
        <f t="shared" si="2424"/>
        <v>-1404</v>
      </c>
      <c r="BS380" s="734">
        <f t="shared" si="2424"/>
        <v>693</v>
      </c>
      <c r="BT380" s="734">
        <f t="shared" ref="BT380:BU380" si="2425">-BT348</f>
        <v>-2017</v>
      </c>
      <c r="BU380" s="734">
        <f t="shared" si="2425"/>
        <v>-3421</v>
      </c>
      <c r="BV380" s="292">
        <f t="shared" ref="BV380:BZ380" si="2426">-BV348</f>
        <v>704</v>
      </c>
      <c r="BW380" s="292">
        <f t="shared" si="2426"/>
        <v>342</v>
      </c>
      <c r="BX380" s="734">
        <f t="shared" si="2426"/>
        <v>850</v>
      </c>
      <c r="BY380" s="734">
        <f t="shared" si="2426"/>
        <v>2093</v>
      </c>
      <c r="BZ380" s="292">
        <f t="shared" si="2426"/>
        <v>1046</v>
      </c>
      <c r="CA380" s="292">
        <f t="shared" ref="CA380:CB380" si="2427">-CA348</f>
        <v>1896</v>
      </c>
      <c r="CB380" s="292">
        <f t="shared" si="2427"/>
        <v>3989</v>
      </c>
      <c r="CC380" s="292">
        <v>-105</v>
      </c>
      <c r="CD380" s="292">
        <f t="shared" ref="CD380" si="2428">-CD348</f>
        <v>-451</v>
      </c>
      <c r="CE380" s="292">
        <f t="shared" ref="CE380:CG380" si="2429">-CE348</f>
        <v>273</v>
      </c>
      <c r="CF380" s="292">
        <f t="shared" si="2429"/>
        <v>0</v>
      </c>
      <c r="CG380" s="292">
        <f t="shared" si="2429"/>
        <v>-596</v>
      </c>
      <c r="CH380" s="292">
        <f t="shared" ref="CH380:CI380" si="2430">-CH348</f>
        <v>-323</v>
      </c>
      <c r="CI380" s="515">
        <f t="shared" si="2430"/>
        <v>-6134</v>
      </c>
      <c r="CJ380" s="515">
        <v>5286</v>
      </c>
      <c r="CK380" s="515">
        <f t="shared" ref="CK380" si="2431">-CK348</f>
        <v>-2177</v>
      </c>
      <c r="CL380" s="515">
        <f t="shared" ref="CL380:CO380" si="2432">-CL348</f>
        <v>0</v>
      </c>
      <c r="CM380" s="515">
        <f t="shared" si="2432"/>
        <v>0</v>
      </c>
      <c r="CN380" s="515">
        <f t="shared" si="2432"/>
        <v>3109</v>
      </c>
      <c r="CO380" s="515">
        <f t="shared" si="2432"/>
        <v>0</v>
      </c>
    </row>
    <row r="381" spans="1:93" x14ac:dyDescent="0.25">
      <c r="A381" s="703" t="s">
        <v>732</v>
      </c>
      <c r="F381" s="290"/>
      <c r="J381" s="290"/>
      <c r="N381" s="290"/>
      <c r="R381" s="290"/>
      <c r="X381" s="293"/>
      <c r="Y381" s="294"/>
      <c r="AE381" s="293"/>
      <c r="AL381" s="293"/>
      <c r="AS381" s="293"/>
      <c r="AZ381" s="734"/>
      <c r="BA381" s="734"/>
      <c r="BB381" s="734"/>
      <c r="BC381" s="734"/>
      <c r="BD381" s="734"/>
      <c r="BE381" s="734"/>
      <c r="BF381" s="734"/>
      <c r="BG381" s="734"/>
      <c r="BH381" s="734"/>
      <c r="BI381" s="734"/>
      <c r="BJ381" s="734"/>
      <c r="BK381" s="734"/>
      <c r="BL381" s="734"/>
      <c r="BM381" s="734"/>
      <c r="BN381" s="734"/>
      <c r="BO381" s="734"/>
      <c r="BP381" s="734">
        <f>-303967</f>
        <v>-303967</v>
      </c>
      <c r="BQ381" s="734">
        <f>BT381-BS381</f>
        <v>28801</v>
      </c>
      <c r="BR381" s="734">
        <v>-32390</v>
      </c>
      <c r="BS381" s="734">
        <f>-303967</f>
        <v>-303967</v>
      </c>
      <c r="BT381" s="734">
        <f>-BT128</f>
        <v>-275166</v>
      </c>
      <c r="BU381" s="734">
        <v>-304814</v>
      </c>
      <c r="BV381" s="292">
        <v>3264</v>
      </c>
      <c r="BW381" s="292">
        <f>BZ381-BV381</f>
        <v>-3368</v>
      </c>
      <c r="BX381" s="292">
        <f>CA381-BZ381</f>
        <v>5819</v>
      </c>
      <c r="BY381" s="292">
        <f>CB381-CA381</f>
        <v>12023</v>
      </c>
      <c r="BZ381" s="292">
        <v>-104</v>
      </c>
      <c r="CA381" s="515">
        <v>5715</v>
      </c>
      <c r="CB381" s="515">
        <f>Consolidated!CB209</f>
        <v>17738</v>
      </c>
      <c r="CC381" s="515">
        <v>-716</v>
      </c>
      <c r="CD381" s="515">
        <f>Consolidated!CD209</f>
        <v>9925</v>
      </c>
      <c r="CE381" s="515">
        <f>Consolidated!CE209</f>
        <v>20078</v>
      </c>
      <c r="CF381" s="515">
        <f>Consolidated!CF209</f>
        <v>0</v>
      </c>
      <c r="CG381" s="515">
        <v>7152</v>
      </c>
      <c r="CH381" s="515">
        <f>Consolidated!CH209</f>
        <v>29423</v>
      </c>
      <c r="CI381" s="515">
        <f>Consolidated!CI209</f>
        <v>33526</v>
      </c>
      <c r="CJ381" s="515">
        <v>-5960</v>
      </c>
      <c r="CK381" s="515">
        <f>CN381-CJ381</f>
        <v>13681</v>
      </c>
      <c r="CL381" s="515"/>
      <c r="CM381" s="515"/>
      <c r="CN381" s="515">
        <v>7721</v>
      </c>
      <c r="CO381" s="515"/>
    </row>
    <row r="382" spans="1:93" x14ac:dyDescent="0.25">
      <c r="A382" s="703" t="s">
        <v>761</v>
      </c>
      <c r="F382" s="290"/>
      <c r="J382" s="290"/>
      <c r="N382" s="290"/>
      <c r="R382" s="290"/>
      <c r="X382" s="293"/>
      <c r="Y382" s="294"/>
      <c r="AE382" s="293"/>
      <c r="AL382" s="293"/>
      <c r="AS382" s="293"/>
      <c r="AZ382" s="734"/>
      <c r="BA382" s="734"/>
      <c r="BB382" s="734"/>
      <c r="BC382" s="734"/>
      <c r="BD382" s="734"/>
      <c r="BE382" s="734"/>
      <c r="BF382" s="734"/>
      <c r="BG382" s="734"/>
      <c r="BH382" s="734"/>
      <c r="BI382" s="734"/>
      <c r="BJ382" s="734"/>
      <c r="BK382" s="734"/>
      <c r="BL382" s="734"/>
      <c r="BM382" s="734"/>
      <c r="BN382" s="734"/>
      <c r="BO382" s="734"/>
      <c r="BP382" s="734"/>
      <c r="BQ382" s="734"/>
      <c r="BR382" s="734"/>
      <c r="BS382" s="734"/>
      <c r="BT382" s="734"/>
      <c r="BU382" s="734"/>
      <c r="BV382" s="292"/>
      <c r="BW382" s="292"/>
      <c r="BX382" s="292"/>
      <c r="BY382" s="292"/>
      <c r="BZ382" s="292"/>
      <c r="CA382" s="515"/>
      <c r="CB382" s="515">
        <v>8533</v>
      </c>
      <c r="CC382" s="515">
        <v>2663</v>
      </c>
      <c r="CD382" s="515"/>
      <c r="CE382" s="515"/>
      <c r="CF382" s="515"/>
      <c r="CG382" s="515">
        <v>4718</v>
      </c>
      <c r="CH382" s="515"/>
      <c r="CI382" s="515">
        <v>12067</v>
      </c>
      <c r="CJ382" s="515">
        <v>3457</v>
      </c>
      <c r="CK382" s="515">
        <f>CN382-CJ382</f>
        <v>3191</v>
      </c>
      <c r="CL382" s="515"/>
      <c r="CM382" s="515"/>
      <c r="CN382" s="515">
        <v>6648</v>
      </c>
      <c r="CO382" s="515"/>
    </row>
    <row r="383" spans="1:93" x14ac:dyDescent="0.25">
      <c r="A383" s="703" t="s">
        <v>731</v>
      </c>
      <c r="F383" s="290"/>
      <c r="J383" s="290"/>
      <c r="N383" s="290"/>
      <c r="R383" s="290"/>
      <c r="X383" s="293"/>
      <c r="Y383" s="294"/>
      <c r="AE383" s="293"/>
      <c r="AL383" s="293"/>
      <c r="AS383" s="293"/>
      <c r="AZ383" s="734"/>
      <c r="BA383" s="734"/>
      <c r="BB383" s="734"/>
      <c r="BC383" s="734"/>
      <c r="BD383" s="734"/>
      <c r="BE383" s="734"/>
      <c r="BF383" s="734"/>
      <c r="BG383" s="734"/>
      <c r="BH383" s="734"/>
      <c r="BI383" s="734"/>
      <c r="BJ383" s="734"/>
      <c r="BK383" s="734"/>
      <c r="BL383" s="734"/>
      <c r="BM383" s="734"/>
      <c r="BN383" s="734"/>
      <c r="BO383" s="734"/>
      <c r="BP383" s="734">
        <v>81399</v>
      </c>
      <c r="BQ383" s="734">
        <f>BT383-BS383</f>
        <v>74820</v>
      </c>
      <c r="BR383" s="734">
        <v>78582</v>
      </c>
      <c r="BS383" s="734">
        <v>81399</v>
      </c>
      <c r="BT383" s="734">
        <v>156219</v>
      </c>
      <c r="BU383" s="734">
        <v>237543</v>
      </c>
      <c r="BV383" s="292">
        <v>75749</v>
      </c>
      <c r="BW383" s="292">
        <f>BZ383-BV383</f>
        <v>79013</v>
      </c>
      <c r="BX383" s="292">
        <f>CA383-BZ383</f>
        <v>77879</v>
      </c>
      <c r="BY383" s="292">
        <f>CB383-CA383</f>
        <v>44845</v>
      </c>
      <c r="BZ383" s="292">
        <v>154762</v>
      </c>
      <c r="CA383" s="515">
        <v>232641</v>
      </c>
      <c r="CB383" s="515">
        <f>Consolidated!CB210</f>
        <v>277486</v>
      </c>
      <c r="CC383" s="515">
        <f>Consolidated!CC210</f>
        <v>0</v>
      </c>
      <c r="CD383" s="515">
        <f>Consolidated!CD210</f>
        <v>0</v>
      </c>
      <c r="CE383" s="515">
        <f>Consolidated!CE210</f>
        <v>0</v>
      </c>
      <c r="CF383" s="515">
        <f>Consolidated!CF210</f>
        <v>0</v>
      </c>
      <c r="CG383" s="515">
        <f>Consolidated!CG210</f>
        <v>0</v>
      </c>
      <c r="CH383" s="515">
        <f>Consolidated!CH210</f>
        <v>0</v>
      </c>
      <c r="CI383" s="515">
        <f>Consolidated!CI210</f>
        <v>0</v>
      </c>
      <c r="CJ383" s="515">
        <v>0</v>
      </c>
      <c r="CK383" s="515">
        <f>Consolidated!CK210</f>
        <v>0</v>
      </c>
      <c r="CL383" s="515">
        <f>Consolidated!CL210</f>
        <v>0</v>
      </c>
      <c r="CM383" s="515">
        <f>Consolidated!CM210</f>
        <v>0</v>
      </c>
      <c r="CN383" s="515">
        <f>Consolidated!CN210</f>
        <v>0</v>
      </c>
      <c r="CO383" s="515">
        <f>Consolidated!CO210</f>
        <v>0</v>
      </c>
    </row>
    <row r="384" spans="1:93" s="289" customFormat="1" ht="13" x14ac:dyDescent="0.3">
      <c r="A384" s="525" t="str">
        <f>Language!C304</f>
        <v>NCG: Necessidade de Capital de Giro</v>
      </c>
      <c r="B384" s="526">
        <f>SUM(B385,-B386)</f>
        <v>-20454</v>
      </c>
      <c r="C384" s="526">
        <f t="shared" ref="C384:M384" si="2433">SUM(C385,-C386)</f>
        <v>22019</v>
      </c>
      <c r="D384" s="526">
        <f t="shared" si="2433"/>
        <v>-15282</v>
      </c>
      <c r="E384" s="526">
        <f t="shared" si="2433"/>
        <v>-41126</v>
      </c>
      <c r="F384" s="527">
        <f t="shared" si="2433"/>
        <v>11098</v>
      </c>
      <c r="G384" s="526">
        <f t="shared" si="2433"/>
        <v>-13910</v>
      </c>
      <c r="H384" s="526">
        <f t="shared" si="2433"/>
        <v>-15162</v>
      </c>
      <c r="I384" s="526">
        <f t="shared" si="2433"/>
        <v>-18401</v>
      </c>
      <c r="J384" s="527">
        <f t="shared" si="2433"/>
        <v>-1207</v>
      </c>
      <c r="K384" s="526">
        <f t="shared" si="2433"/>
        <v>2338</v>
      </c>
      <c r="L384" s="526">
        <f t="shared" si="2433"/>
        <v>14138</v>
      </c>
      <c r="M384" s="526">
        <f t="shared" si="2433"/>
        <v>-9334</v>
      </c>
      <c r="N384" s="527">
        <f t="shared" ref="N384:O384" si="2434">SUM(N385,-N386)</f>
        <v>-931</v>
      </c>
      <c r="O384" s="526">
        <f t="shared" si="2434"/>
        <v>-6744</v>
      </c>
      <c r="P384" s="526">
        <f t="shared" ref="P384:R384" si="2435">SUM(P385,-P386)</f>
        <v>104068</v>
      </c>
      <c r="Q384" s="526">
        <f t="shared" si="2435"/>
        <v>189932</v>
      </c>
      <c r="R384" s="527">
        <f t="shared" si="2435"/>
        <v>349473</v>
      </c>
      <c r="S384" s="526">
        <f t="shared" ref="S384:W384" si="2436">SUM(S385,-S386)</f>
        <v>219333</v>
      </c>
      <c r="T384" s="526">
        <f t="shared" ref="T384:U384" si="2437">SUM(T385,-T386)</f>
        <v>304807</v>
      </c>
      <c r="U384" s="526">
        <f t="shared" si="2437"/>
        <v>323154</v>
      </c>
      <c r="V384" s="526">
        <f t="shared" ref="V384" si="2438">SUM(V385,-V386)</f>
        <v>219333</v>
      </c>
      <c r="W384" s="528">
        <f t="shared" si="2436"/>
        <v>304807</v>
      </c>
      <c r="X384" s="529">
        <f t="shared" ref="X384" si="2439">SUM(X385,-X386)</f>
        <v>323154</v>
      </c>
      <c r="Y384" s="530">
        <f t="shared" ref="Y384:AC384" si="2440">SUM(Y385,-Y386)</f>
        <v>46760</v>
      </c>
      <c r="Z384" s="528">
        <f t="shared" si="2440"/>
        <v>-183161</v>
      </c>
      <c r="AA384" s="526">
        <f t="shared" si="2440"/>
        <v>-153333</v>
      </c>
      <c r="AB384" s="526">
        <f t="shared" si="2440"/>
        <v>-112112</v>
      </c>
      <c r="AC384" s="528">
        <f t="shared" si="2440"/>
        <v>-183161</v>
      </c>
      <c r="AD384" s="528">
        <f t="shared" ref="AD384:AE384" si="2441">SUM(AD385,-AD386)</f>
        <v>-153333</v>
      </c>
      <c r="AE384" s="529">
        <f t="shared" si="2441"/>
        <v>-112112</v>
      </c>
      <c r="AF384" s="528">
        <f t="shared" ref="AF384:AJ384" si="2442">SUM(AF385,-AF386)</f>
        <v>-128031</v>
      </c>
      <c r="AG384" s="528">
        <f t="shared" ref="AG384:AG389" si="2443">AJ384</f>
        <v>-147394</v>
      </c>
      <c r="AH384" s="526">
        <f t="shared" ref="AH384:AH389" si="2444">AK384</f>
        <v>-143298</v>
      </c>
      <c r="AI384" s="526">
        <f t="shared" ref="AI384:AI389" si="2445">AL384</f>
        <v>-494110</v>
      </c>
      <c r="AJ384" s="528">
        <f t="shared" si="2442"/>
        <v>-147394</v>
      </c>
      <c r="AK384" s="528">
        <f t="shared" ref="AK384" si="2446">SUM(AK385,-AK386)</f>
        <v>-143298</v>
      </c>
      <c r="AL384" s="529">
        <f t="shared" ref="AL384:AM384" si="2447">SUM(AL385,-AL386)</f>
        <v>-494110</v>
      </c>
      <c r="AM384" s="528">
        <f t="shared" si="2447"/>
        <v>-462314</v>
      </c>
      <c r="AN384" s="528">
        <f>AQ384</f>
        <v>-462240</v>
      </c>
      <c r="AO384" s="528">
        <f>AR384</f>
        <v>-495741</v>
      </c>
      <c r="AP384" s="528">
        <f>AS384</f>
        <v>-503007</v>
      </c>
      <c r="AQ384" s="528">
        <f t="shared" ref="AQ384:AR384" si="2448">SUM(AQ385,-AQ386)</f>
        <v>-462240</v>
      </c>
      <c r="AR384" s="528">
        <f t="shared" si="2448"/>
        <v>-495741</v>
      </c>
      <c r="AS384" s="529">
        <f t="shared" ref="AS384:AT384" si="2449">SUM(AS385,-AS386)</f>
        <v>-503007</v>
      </c>
      <c r="AT384" s="528">
        <f t="shared" si="2449"/>
        <v>-315329</v>
      </c>
      <c r="AU384" s="528">
        <f t="shared" ref="AU384:AY384" si="2450">SUM(AU385,-AU386)</f>
        <v>-326654</v>
      </c>
      <c r="AV384" s="528">
        <f t="shared" si="2450"/>
        <v>-294088</v>
      </c>
      <c r="AW384" s="528">
        <f t="shared" ref="AW384" si="2451">SUM(AW385,-AW386)</f>
        <v>-267730</v>
      </c>
      <c r="AX384" s="528">
        <f t="shared" si="2450"/>
        <v>-326654</v>
      </c>
      <c r="AY384" s="528">
        <f t="shared" si="2450"/>
        <v>-294088</v>
      </c>
      <c r="AZ384" s="528">
        <f t="shared" ref="AZ384:BA384" si="2452">SUM(AZ385,-AZ386)</f>
        <v>-267730</v>
      </c>
      <c r="BA384" s="528">
        <f t="shared" si="2452"/>
        <v>-305211</v>
      </c>
      <c r="BB384" s="528">
        <f t="shared" ref="BB384:BC384" si="2453">SUM(BB385,-BB386)</f>
        <v>-297050</v>
      </c>
      <c r="BC384" s="528">
        <f t="shared" si="2453"/>
        <v>-284543</v>
      </c>
      <c r="BD384" s="528">
        <f t="shared" ref="BD384" si="2454">SUM(BD385,-BD386)</f>
        <v>-252647</v>
      </c>
      <c r="BE384" s="528">
        <f t="shared" ref="BE384:BF384" si="2455">SUM(BE385,-BE386)</f>
        <v>-297050</v>
      </c>
      <c r="BF384" s="528">
        <f t="shared" si="2455"/>
        <v>-284543</v>
      </c>
      <c r="BG384" s="528">
        <f t="shared" ref="BG384:BH384" si="2456">SUM(BG385,-BG386)</f>
        <v>-252647</v>
      </c>
      <c r="BH384" s="528">
        <f t="shared" si="2456"/>
        <v>-250756</v>
      </c>
      <c r="BI384" s="528">
        <f t="shared" ref="BI384:BL384" si="2457">SUM(BI385,-BI386)</f>
        <v>-232995</v>
      </c>
      <c r="BJ384" s="528">
        <f t="shared" si="2457"/>
        <v>-215964</v>
      </c>
      <c r="BK384" s="528">
        <f t="shared" si="2457"/>
        <v>-211408</v>
      </c>
      <c r="BL384" s="528">
        <f t="shared" si="2457"/>
        <v>-232995</v>
      </c>
      <c r="BM384" s="528">
        <f t="shared" ref="BM384:BN384" si="2458">SUM(BM385,-BM386)</f>
        <v>-215964</v>
      </c>
      <c r="BN384" s="528">
        <f t="shared" si="2458"/>
        <v>-211408</v>
      </c>
      <c r="BO384" s="528">
        <f t="shared" ref="BO384:BS384" si="2459">SUM(BO385,-BO386)</f>
        <v>-242413</v>
      </c>
      <c r="BP384" s="528">
        <f t="shared" si="2459"/>
        <v>-180299</v>
      </c>
      <c r="BQ384" s="528">
        <f t="shared" si="2459"/>
        <v>-198959</v>
      </c>
      <c r="BR384" s="528">
        <f t="shared" si="2459"/>
        <v>-206667</v>
      </c>
      <c r="BS384" s="528">
        <f t="shared" si="2459"/>
        <v>-180299</v>
      </c>
      <c r="BT384" s="528">
        <f t="shared" ref="BT384:BU384" si="2460">SUM(BT385,-BT386)</f>
        <v>-198959</v>
      </c>
      <c r="BU384" s="528">
        <f t="shared" si="2460"/>
        <v>-206667</v>
      </c>
      <c r="BV384" s="528">
        <f t="shared" ref="BV384:BZ384" si="2461">SUM(BV385,-BV386)</f>
        <v>-220196</v>
      </c>
      <c r="BW384" s="528">
        <f t="shared" si="2461"/>
        <v>-226129</v>
      </c>
      <c r="BX384" s="528">
        <f t="shared" si="2461"/>
        <v>-234280</v>
      </c>
      <c r="BY384" s="528">
        <f t="shared" si="2461"/>
        <v>-210482</v>
      </c>
      <c r="BZ384" s="528">
        <f t="shared" si="2461"/>
        <v>-226129</v>
      </c>
      <c r="CA384" s="528">
        <f t="shared" ref="CA384:CB384" si="2462">SUM(CA385,-CA386)</f>
        <v>-234280</v>
      </c>
      <c r="CB384" s="528">
        <f t="shared" si="2462"/>
        <v>-210482</v>
      </c>
      <c r="CC384" s="528">
        <f t="shared" ref="CC384:CD384" si="2463">SUM(CC385,-CC386)</f>
        <v>-196607</v>
      </c>
      <c r="CD384" s="528">
        <f t="shared" si="2463"/>
        <v>-195827</v>
      </c>
      <c r="CE384" s="528">
        <f t="shared" ref="CE384:CG384" si="2464">SUM(CE385,-CE386)</f>
        <v>-169165</v>
      </c>
      <c r="CF384" s="528">
        <f t="shared" si="2464"/>
        <v>-157932</v>
      </c>
      <c r="CG384" s="528">
        <f t="shared" si="2464"/>
        <v>-195827</v>
      </c>
      <c r="CH384" s="528">
        <f t="shared" ref="CH384:CI384" si="2465">SUM(CH385,-CH386)</f>
        <v>-169165</v>
      </c>
      <c r="CI384" s="528">
        <f t="shared" si="2465"/>
        <v>-157932</v>
      </c>
      <c r="CJ384" s="528">
        <v>-179270</v>
      </c>
      <c r="CK384" s="528">
        <f t="shared" ref="CK384" si="2466">SUM(CK385,-CK386)</f>
        <v>-155246</v>
      </c>
      <c r="CL384" s="528">
        <f t="shared" ref="CL384:CO384" si="2467">SUM(CL385,-CL386)</f>
        <v>0</v>
      </c>
      <c r="CM384" s="528">
        <f t="shared" si="2467"/>
        <v>0</v>
      </c>
      <c r="CN384" s="528">
        <f t="shared" si="2467"/>
        <v>-155246</v>
      </c>
      <c r="CO384" s="528">
        <f t="shared" si="2467"/>
        <v>0</v>
      </c>
    </row>
    <row r="385" spans="1:93" s="289" customFormat="1" x14ac:dyDescent="0.25">
      <c r="A385" s="301" t="str">
        <f>Language!C305</f>
        <v>(+) Ativo Operacional Circulante</v>
      </c>
      <c r="B385" s="291">
        <f t="shared" ref="B385:AF385" si="2468">SUM(B7,-B8,-B9)</f>
        <v>20155</v>
      </c>
      <c r="C385" s="291">
        <f t="shared" si="2468"/>
        <v>57397</v>
      </c>
      <c r="D385" s="291">
        <f t="shared" si="2468"/>
        <v>24220</v>
      </c>
      <c r="E385" s="291">
        <f t="shared" si="2468"/>
        <v>27600</v>
      </c>
      <c r="F385" s="290">
        <f t="shared" si="2468"/>
        <v>61288</v>
      </c>
      <c r="G385" s="291">
        <f t="shared" si="2468"/>
        <v>32131</v>
      </c>
      <c r="H385" s="291">
        <f t="shared" si="2468"/>
        <v>34214</v>
      </c>
      <c r="I385" s="291">
        <f t="shared" si="2468"/>
        <v>44252</v>
      </c>
      <c r="J385" s="290">
        <f t="shared" si="2468"/>
        <v>60832</v>
      </c>
      <c r="K385" s="291">
        <f t="shared" si="2468"/>
        <v>59740</v>
      </c>
      <c r="L385" s="291">
        <f t="shared" si="2468"/>
        <v>58988</v>
      </c>
      <c r="M385" s="291">
        <f t="shared" si="2468"/>
        <v>54861</v>
      </c>
      <c r="N385" s="290">
        <f t="shared" si="2468"/>
        <v>69051</v>
      </c>
      <c r="O385" s="291">
        <f t="shared" si="2468"/>
        <v>126194</v>
      </c>
      <c r="P385" s="291">
        <f t="shared" si="2468"/>
        <v>239940</v>
      </c>
      <c r="Q385" s="291">
        <f t="shared" si="2468"/>
        <v>354345</v>
      </c>
      <c r="R385" s="290">
        <f t="shared" si="2468"/>
        <v>557276</v>
      </c>
      <c r="S385" s="291">
        <f t="shared" si="2468"/>
        <v>569881</v>
      </c>
      <c r="T385" s="291">
        <f t="shared" si="2468"/>
        <v>683694</v>
      </c>
      <c r="U385" s="291">
        <f t="shared" si="2468"/>
        <v>703674</v>
      </c>
      <c r="V385" s="291">
        <f t="shared" si="2468"/>
        <v>569881</v>
      </c>
      <c r="W385" s="292">
        <f t="shared" si="2468"/>
        <v>683694</v>
      </c>
      <c r="X385" s="293">
        <f t="shared" si="2468"/>
        <v>703674</v>
      </c>
      <c r="Y385" s="294">
        <f t="shared" si="2468"/>
        <v>398851</v>
      </c>
      <c r="Z385" s="292">
        <f t="shared" si="2468"/>
        <v>207270</v>
      </c>
      <c r="AA385" s="291">
        <f t="shared" si="2468"/>
        <v>219290</v>
      </c>
      <c r="AB385" s="291">
        <f t="shared" si="2468"/>
        <v>240435</v>
      </c>
      <c r="AC385" s="292">
        <f t="shared" si="2468"/>
        <v>207270</v>
      </c>
      <c r="AD385" s="292">
        <f t="shared" si="2468"/>
        <v>219290</v>
      </c>
      <c r="AE385" s="293">
        <f t="shared" si="2468"/>
        <v>240435</v>
      </c>
      <c r="AF385" s="292">
        <f t="shared" si="2468"/>
        <v>248958</v>
      </c>
      <c r="AG385" s="292">
        <f t="shared" si="2443"/>
        <v>240481</v>
      </c>
      <c r="AH385" s="291">
        <f t="shared" si="2444"/>
        <v>212750</v>
      </c>
      <c r="AI385" s="291">
        <f t="shared" si="2445"/>
        <v>105003</v>
      </c>
      <c r="AJ385" s="292">
        <f>SUM(AJ7,-AJ8,-AJ9)</f>
        <v>240481</v>
      </c>
      <c r="AK385" s="292">
        <f>SUM(AK7,-AK8,-AK9)</f>
        <v>212750</v>
      </c>
      <c r="AL385" s="293">
        <f>SUM(AL7,-AL8,-AL9)</f>
        <v>105003</v>
      </c>
      <c r="AM385" s="292">
        <f>SUM(AM7,-AM8,-AM9)</f>
        <v>97056</v>
      </c>
      <c r="AN385" s="292">
        <f t="shared" ref="AN385:AN390" si="2469">AQ385</f>
        <v>90748</v>
      </c>
      <c r="AO385" s="292">
        <f t="shared" ref="AO385:AP390" si="2470">AR385</f>
        <v>84226</v>
      </c>
      <c r="AP385" s="292">
        <f t="shared" si="2470"/>
        <v>81642</v>
      </c>
      <c r="AQ385" s="292">
        <f t="shared" ref="AQ385:CI385" si="2471">SUM(AQ7,-AQ8,-AQ9)</f>
        <v>90748</v>
      </c>
      <c r="AR385" s="292">
        <f t="shared" si="2471"/>
        <v>84226</v>
      </c>
      <c r="AS385" s="293">
        <f t="shared" si="2471"/>
        <v>81642</v>
      </c>
      <c r="AT385" s="292">
        <f t="shared" si="2471"/>
        <v>53058</v>
      </c>
      <c r="AU385" s="292">
        <f t="shared" si="2471"/>
        <v>87797</v>
      </c>
      <c r="AV385" s="292">
        <f t="shared" si="2471"/>
        <v>92222</v>
      </c>
      <c r="AW385" s="292">
        <f t="shared" si="2471"/>
        <v>90459</v>
      </c>
      <c r="AX385" s="292">
        <f t="shared" si="2471"/>
        <v>87797</v>
      </c>
      <c r="AY385" s="292">
        <f t="shared" si="2471"/>
        <v>92222</v>
      </c>
      <c r="AZ385" s="292">
        <f t="shared" si="2471"/>
        <v>90459</v>
      </c>
      <c r="BA385" s="292">
        <f t="shared" si="2471"/>
        <v>61613</v>
      </c>
      <c r="BB385" s="292">
        <f t="shared" si="2471"/>
        <v>62137</v>
      </c>
      <c r="BC385" s="292">
        <f t="shared" si="2471"/>
        <v>66314</v>
      </c>
      <c r="BD385" s="292">
        <f t="shared" si="2471"/>
        <v>66828</v>
      </c>
      <c r="BE385" s="292">
        <f t="shared" si="2471"/>
        <v>62137</v>
      </c>
      <c r="BF385" s="292">
        <f t="shared" si="2471"/>
        <v>66314</v>
      </c>
      <c r="BG385" s="292">
        <f t="shared" si="2471"/>
        <v>66828</v>
      </c>
      <c r="BH385" s="292">
        <f t="shared" si="2471"/>
        <v>66330</v>
      </c>
      <c r="BI385" s="292">
        <f t="shared" si="2471"/>
        <v>75493</v>
      </c>
      <c r="BJ385" s="292">
        <f t="shared" si="2471"/>
        <v>85222</v>
      </c>
      <c r="BK385" s="292">
        <f t="shared" si="2471"/>
        <v>68221</v>
      </c>
      <c r="BL385" s="292">
        <f t="shared" si="2471"/>
        <v>75493</v>
      </c>
      <c r="BM385" s="292">
        <f t="shared" si="2471"/>
        <v>85222</v>
      </c>
      <c r="BN385" s="292">
        <f t="shared" si="2471"/>
        <v>68221</v>
      </c>
      <c r="BO385" s="292">
        <f t="shared" si="2471"/>
        <v>64521</v>
      </c>
      <c r="BP385" s="292">
        <f t="shared" si="2471"/>
        <v>92239</v>
      </c>
      <c r="BQ385" s="292">
        <f t="shared" si="2471"/>
        <v>88538</v>
      </c>
      <c r="BR385" s="292">
        <f t="shared" si="2471"/>
        <v>81199</v>
      </c>
      <c r="BS385" s="292">
        <f t="shared" si="2471"/>
        <v>92239</v>
      </c>
      <c r="BT385" s="292">
        <f t="shared" si="2471"/>
        <v>88538</v>
      </c>
      <c r="BU385" s="292">
        <f t="shared" si="2471"/>
        <v>81199</v>
      </c>
      <c r="BV385" s="292">
        <f t="shared" si="2471"/>
        <v>96140</v>
      </c>
      <c r="BW385" s="292">
        <f t="shared" si="2471"/>
        <v>98884</v>
      </c>
      <c r="BX385" s="292">
        <f t="shared" si="2471"/>
        <v>95195</v>
      </c>
      <c r="BY385" s="292">
        <f t="shared" si="2471"/>
        <v>93366</v>
      </c>
      <c r="BZ385" s="292">
        <f t="shared" si="2471"/>
        <v>98884</v>
      </c>
      <c r="CA385" s="292">
        <f t="shared" si="2471"/>
        <v>95195</v>
      </c>
      <c r="CB385" s="292">
        <f t="shared" si="2471"/>
        <v>93366</v>
      </c>
      <c r="CC385" s="292">
        <f t="shared" si="2471"/>
        <v>107256</v>
      </c>
      <c r="CD385" s="292">
        <f t="shared" si="2471"/>
        <v>109214</v>
      </c>
      <c r="CE385" s="292">
        <f t="shared" si="2471"/>
        <v>106571</v>
      </c>
      <c r="CF385" s="292">
        <f t="shared" si="2471"/>
        <v>119200</v>
      </c>
      <c r="CG385" s="292">
        <f t="shared" si="2471"/>
        <v>109214</v>
      </c>
      <c r="CH385" s="292">
        <f t="shared" si="2471"/>
        <v>106571</v>
      </c>
      <c r="CI385" s="292">
        <f t="shared" si="2471"/>
        <v>119200</v>
      </c>
      <c r="CJ385" s="292">
        <v>120119</v>
      </c>
      <c r="CK385" s="292">
        <f t="shared" ref="CK385:CO385" si="2472">SUM(CK7,-CK8,-CK9)</f>
        <v>112583</v>
      </c>
      <c r="CL385" s="292">
        <f t="shared" si="2472"/>
        <v>0</v>
      </c>
      <c r="CM385" s="292">
        <f t="shared" si="2472"/>
        <v>0</v>
      </c>
      <c r="CN385" s="292">
        <f t="shared" si="2472"/>
        <v>112583</v>
      </c>
      <c r="CO385" s="292">
        <f t="shared" si="2472"/>
        <v>0</v>
      </c>
    </row>
    <row r="386" spans="1:93" s="289" customFormat="1" x14ac:dyDescent="0.25">
      <c r="A386" s="560" t="str">
        <f>Language!C306</f>
        <v>(-) Passivo Operacional Circulante</v>
      </c>
      <c r="B386" s="586">
        <f t="shared" ref="B386:AF386" si="2473">SUM(B38,-B40,-B41,-B43)</f>
        <v>40609</v>
      </c>
      <c r="C386" s="586">
        <f t="shared" si="2473"/>
        <v>35378</v>
      </c>
      <c r="D386" s="586">
        <f t="shared" si="2473"/>
        <v>39502</v>
      </c>
      <c r="E386" s="586">
        <f t="shared" si="2473"/>
        <v>68726</v>
      </c>
      <c r="F386" s="587">
        <f t="shared" si="2473"/>
        <v>50190</v>
      </c>
      <c r="G386" s="586">
        <f t="shared" si="2473"/>
        <v>46041</v>
      </c>
      <c r="H386" s="586">
        <f t="shared" si="2473"/>
        <v>49376</v>
      </c>
      <c r="I386" s="586">
        <f t="shared" si="2473"/>
        <v>62653</v>
      </c>
      <c r="J386" s="587">
        <f t="shared" si="2473"/>
        <v>62039</v>
      </c>
      <c r="K386" s="586">
        <f t="shared" si="2473"/>
        <v>57402</v>
      </c>
      <c r="L386" s="586">
        <f t="shared" si="2473"/>
        <v>44850</v>
      </c>
      <c r="M386" s="586">
        <f t="shared" si="2473"/>
        <v>64195</v>
      </c>
      <c r="N386" s="587">
        <f t="shared" si="2473"/>
        <v>69982</v>
      </c>
      <c r="O386" s="586">
        <f t="shared" si="2473"/>
        <v>132938</v>
      </c>
      <c r="P386" s="586">
        <f t="shared" si="2473"/>
        <v>135872</v>
      </c>
      <c r="Q386" s="586">
        <f t="shared" si="2473"/>
        <v>164413</v>
      </c>
      <c r="R386" s="587">
        <f t="shared" si="2473"/>
        <v>207803</v>
      </c>
      <c r="S386" s="586">
        <f t="shared" si="2473"/>
        <v>350548</v>
      </c>
      <c r="T386" s="586">
        <f t="shared" si="2473"/>
        <v>378887</v>
      </c>
      <c r="U386" s="586">
        <f t="shared" si="2473"/>
        <v>380520</v>
      </c>
      <c r="V386" s="586">
        <f t="shared" si="2473"/>
        <v>350548</v>
      </c>
      <c r="W386" s="588">
        <f t="shared" si="2473"/>
        <v>378887</v>
      </c>
      <c r="X386" s="589">
        <f t="shared" si="2473"/>
        <v>380520</v>
      </c>
      <c r="Y386" s="590">
        <f t="shared" si="2473"/>
        <v>352091</v>
      </c>
      <c r="Z386" s="588">
        <f t="shared" si="2473"/>
        <v>390431</v>
      </c>
      <c r="AA386" s="586">
        <f t="shared" si="2473"/>
        <v>372623</v>
      </c>
      <c r="AB386" s="586">
        <f t="shared" si="2473"/>
        <v>352547</v>
      </c>
      <c r="AC386" s="588">
        <f t="shared" si="2473"/>
        <v>390431</v>
      </c>
      <c r="AD386" s="588">
        <f t="shared" si="2473"/>
        <v>372623</v>
      </c>
      <c r="AE386" s="589">
        <f t="shared" si="2473"/>
        <v>352547</v>
      </c>
      <c r="AF386" s="588">
        <f t="shared" si="2473"/>
        <v>376989</v>
      </c>
      <c r="AG386" s="588">
        <f t="shared" si="2443"/>
        <v>387875</v>
      </c>
      <c r="AH386" s="586">
        <f t="shared" si="2444"/>
        <v>356048</v>
      </c>
      <c r="AI386" s="586">
        <f t="shared" si="2445"/>
        <v>599113</v>
      </c>
      <c r="AJ386" s="588">
        <f>SUM(AJ38,-AJ40,-AJ41,-AJ43)</f>
        <v>387875</v>
      </c>
      <c r="AK386" s="588">
        <f>SUM(AK38,-AK40,-AK41,-AK43)</f>
        <v>356048</v>
      </c>
      <c r="AL386" s="589">
        <f>SUM(AL38,-AL40,-AL41,-AL43)</f>
        <v>599113</v>
      </c>
      <c r="AM386" s="588">
        <f>SUM(AM38,-AM40,-AM41,-AM43)</f>
        <v>559370</v>
      </c>
      <c r="AN386" s="588">
        <f t="shared" si="2469"/>
        <v>552988</v>
      </c>
      <c r="AO386" s="588">
        <f t="shared" si="2470"/>
        <v>579967</v>
      </c>
      <c r="AP386" s="588">
        <f t="shared" si="2470"/>
        <v>584649</v>
      </c>
      <c r="AQ386" s="588">
        <f t="shared" ref="AQ386:CI386" si="2474">SUM(AQ38,-AQ40,-AQ41,-AQ43)</f>
        <v>552988</v>
      </c>
      <c r="AR386" s="588">
        <f t="shared" si="2474"/>
        <v>579967</v>
      </c>
      <c r="AS386" s="589">
        <f t="shared" si="2474"/>
        <v>584649</v>
      </c>
      <c r="AT386" s="588">
        <f t="shared" si="2474"/>
        <v>368387</v>
      </c>
      <c r="AU386" s="588">
        <f t="shared" si="2474"/>
        <v>414451</v>
      </c>
      <c r="AV386" s="588">
        <f t="shared" si="2474"/>
        <v>386310</v>
      </c>
      <c r="AW386" s="588">
        <f t="shared" si="2474"/>
        <v>358189</v>
      </c>
      <c r="AX386" s="588">
        <f t="shared" si="2474"/>
        <v>414451</v>
      </c>
      <c r="AY386" s="588">
        <f t="shared" si="2474"/>
        <v>386310</v>
      </c>
      <c r="AZ386" s="588">
        <f t="shared" si="2474"/>
        <v>358189</v>
      </c>
      <c r="BA386" s="588">
        <f t="shared" si="2474"/>
        <v>366824</v>
      </c>
      <c r="BB386" s="588">
        <f t="shared" si="2474"/>
        <v>359187</v>
      </c>
      <c r="BC386" s="588">
        <f t="shared" si="2474"/>
        <v>350857</v>
      </c>
      <c r="BD386" s="588">
        <f t="shared" si="2474"/>
        <v>319475</v>
      </c>
      <c r="BE386" s="588">
        <f t="shared" si="2474"/>
        <v>359187</v>
      </c>
      <c r="BF386" s="588">
        <f t="shared" si="2474"/>
        <v>350857</v>
      </c>
      <c r="BG386" s="588">
        <f t="shared" si="2474"/>
        <v>319475</v>
      </c>
      <c r="BH386" s="588">
        <f t="shared" si="2474"/>
        <v>317086</v>
      </c>
      <c r="BI386" s="588">
        <f t="shared" si="2474"/>
        <v>308488</v>
      </c>
      <c r="BJ386" s="588">
        <f t="shared" si="2474"/>
        <v>301186</v>
      </c>
      <c r="BK386" s="588">
        <f t="shared" si="2474"/>
        <v>279629</v>
      </c>
      <c r="BL386" s="588">
        <f t="shared" si="2474"/>
        <v>308488</v>
      </c>
      <c r="BM386" s="588">
        <f t="shared" si="2474"/>
        <v>301186</v>
      </c>
      <c r="BN386" s="588">
        <f t="shared" si="2474"/>
        <v>279629</v>
      </c>
      <c r="BO386" s="588">
        <f t="shared" si="2474"/>
        <v>306934</v>
      </c>
      <c r="BP386" s="588">
        <f t="shared" si="2474"/>
        <v>272538</v>
      </c>
      <c r="BQ386" s="588">
        <f t="shared" si="2474"/>
        <v>287497</v>
      </c>
      <c r="BR386" s="588">
        <f t="shared" si="2474"/>
        <v>287866</v>
      </c>
      <c r="BS386" s="588">
        <f t="shared" si="2474"/>
        <v>272538</v>
      </c>
      <c r="BT386" s="588">
        <f t="shared" si="2474"/>
        <v>287497</v>
      </c>
      <c r="BU386" s="588">
        <f t="shared" si="2474"/>
        <v>287866</v>
      </c>
      <c r="BV386" s="588">
        <f t="shared" si="2474"/>
        <v>316336</v>
      </c>
      <c r="BW386" s="588">
        <f t="shared" si="2474"/>
        <v>325013</v>
      </c>
      <c r="BX386" s="588">
        <f t="shared" si="2474"/>
        <v>329475</v>
      </c>
      <c r="BY386" s="588">
        <f t="shared" si="2474"/>
        <v>303848</v>
      </c>
      <c r="BZ386" s="588">
        <f t="shared" si="2474"/>
        <v>325013</v>
      </c>
      <c r="CA386" s="588">
        <f t="shared" si="2474"/>
        <v>329475</v>
      </c>
      <c r="CB386" s="588">
        <f t="shared" si="2474"/>
        <v>303848</v>
      </c>
      <c r="CC386" s="588">
        <f t="shared" si="2474"/>
        <v>303863</v>
      </c>
      <c r="CD386" s="588">
        <f t="shared" si="2474"/>
        <v>305041</v>
      </c>
      <c r="CE386" s="588">
        <f t="shared" si="2474"/>
        <v>275736</v>
      </c>
      <c r="CF386" s="588">
        <f t="shared" si="2474"/>
        <v>277132</v>
      </c>
      <c r="CG386" s="588">
        <f t="shared" si="2474"/>
        <v>305041</v>
      </c>
      <c r="CH386" s="588">
        <f t="shared" si="2474"/>
        <v>275736</v>
      </c>
      <c r="CI386" s="588">
        <f t="shared" si="2474"/>
        <v>277132</v>
      </c>
      <c r="CJ386" s="588">
        <v>299389</v>
      </c>
      <c r="CK386" s="588">
        <f t="shared" ref="CK386:CO386" si="2475">SUM(CK38,-CK40,-CK41,-CK43)</f>
        <v>267829</v>
      </c>
      <c r="CL386" s="588">
        <f t="shared" si="2475"/>
        <v>0</v>
      </c>
      <c r="CM386" s="588">
        <f t="shared" si="2475"/>
        <v>0</v>
      </c>
      <c r="CN386" s="588">
        <f t="shared" si="2475"/>
        <v>267829</v>
      </c>
      <c r="CO386" s="588">
        <f t="shared" si="2475"/>
        <v>0</v>
      </c>
    </row>
    <row r="387" spans="1:93" s="289" customFormat="1" ht="13" x14ac:dyDescent="0.3">
      <c r="A387" s="525" t="str">
        <f>Language!C307</f>
        <v>Ativo Operacional</v>
      </c>
      <c r="B387" s="526">
        <f>SUM(B388,B389,B390)</f>
        <v>924319</v>
      </c>
      <c r="C387" s="526">
        <f t="shared" ref="C387:M387" si="2476">SUM(C388,C389,C390)</f>
        <v>962311</v>
      </c>
      <c r="D387" s="526">
        <f t="shared" si="2476"/>
        <v>925653</v>
      </c>
      <c r="E387" s="526">
        <f t="shared" si="2476"/>
        <v>912729</v>
      </c>
      <c r="F387" s="527">
        <f t="shared" si="2476"/>
        <v>967417</v>
      </c>
      <c r="G387" s="526">
        <f t="shared" si="2476"/>
        <v>945220</v>
      </c>
      <c r="H387" s="526">
        <f t="shared" si="2476"/>
        <v>948570</v>
      </c>
      <c r="I387" s="526">
        <f t="shared" si="2476"/>
        <v>964788</v>
      </c>
      <c r="J387" s="527">
        <f t="shared" si="2476"/>
        <v>980768</v>
      </c>
      <c r="K387" s="526">
        <f t="shared" si="2476"/>
        <v>983593</v>
      </c>
      <c r="L387" s="526">
        <f t="shared" si="2476"/>
        <v>1005994</v>
      </c>
      <c r="M387" s="526">
        <f t="shared" si="2476"/>
        <v>1030580</v>
      </c>
      <c r="N387" s="527">
        <f t="shared" ref="N387:O387" si="2477">SUM(N388,N389,N390)</f>
        <v>1109181</v>
      </c>
      <c r="O387" s="526">
        <f t="shared" si="2477"/>
        <v>1285200</v>
      </c>
      <c r="P387" s="526">
        <f t="shared" ref="P387" si="2478">SUM(P388,P389,P390)</f>
        <v>1570121</v>
      </c>
      <c r="Q387" s="526">
        <f t="shared" ref="Q387:R387" si="2479">SUM(Q388,Q389,Q390)</f>
        <v>1941084</v>
      </c>
      <c r="R387" s="527">
        <f t="shared" si="2479"/>
        <v>2709855</v>
      </c>
      <c r="S387" s="526">
        <f t="shared" ref="S387" si="2480">SUM(S388,S389,S390)</f>
        <v>2798811</v>
      </c>
      <c r="T387" s="526">
        <f t="shared" ref="T387:U387" si="2481">SUM(T388,T389,T390)</f>
        <v>2937006</v>
      </c>
      <c r="U387" s="526">
        <f t="shared" si="2481"/>
        <v>3084638</v>
      </c>
      <c r="V387" s="526">
        <f t="shared" ref="V387" si="2482">SUM(V388,V389,V390)</f>
        <v>2798811</v>
      </c>
      <c r="W387" s="528">
        <f>SUM(W388,W389,W390)</f>
        <v>2937006</v>
      </c>
      <c r="X387" s="529">
        <f>SUM(X388,X389,X390)</f>
        <v>3084638</v>
      </c>
      <c r="Y387" s="530">
        <f>SUM(Y388,Y389,Y390)</f>
        <v>3284438</v>
      </c>
      <c r="Z387" s="528">
        <f t="shared" ref="Z387:AC387" si="2483">SUM(Z388,Z389,Z390)</f>
        <v>3089250</v>
      </c>
      <c r="AA387" s="526">
        <f t="shared" si="2483"/>
        <v>3104752</v>
      </c>
      <c r="AB387" s="526">
        <f t="shared" si="2483"/>
        <v>3114950</v>
      </c>
      <c r="AC387" s="528">
        <f t="shared" si="2483"/>
        <v>3089250</v>
      </c>
      <c r="AD387" s="528">
        <f t="shared" ref="AD387:AE387" si="2484">SUM(AD388,AD389,AD390)</f>
        <v>3104752</v>
      </c>
      <c r="AE387" s="529">
        <f t="shared" si="2484"/>
        <v>3114950</v>
      </c>
      <c r="AF387" s="528">
        <f t="shared" ref="AF387:AJ387" si="2485">SUM(AF388,AF389,AF390)</f>
        <v>3042932</v>
      </c>
      <c r="AG387" s="528">
        <f t="shared" si="2443"/>
        <v>2938522</v>
      </c>
      <c r="AH387" s="526">
        <f t="shared" si="2444"/>
        <v>2973552</v>
      </c>
      <c r="AI387" s="526">
        <f t="shared" si="2445"/>
        <v>2631524</v>
      </c>
      <c r="AJ387" s="528">
        <f t="shared" si="2485"/>
        <v>2938522</v>
      </c>
      <c r="AK387" s="528">
        <f t="shared" ref="AK387" si="2486">SUM(AK388,AK389,AK390)</f>
        <v>2973552</v>
      </c>
      <c r="AL387" s="529">
        <f t="shared" ref="AL387:AM387" si="2487">SUM(AL388,AL389,AL390)</f>
        <v>2631524</v>
      </c>
      <c r="AM387" s="528">
        <f t="shared" si="2487"/>
        <v>2637759</v>
      </c>
      <c r="AN387" s="528">
        <f t="shared" si="2469"/>
        <v>2624378</v>
      </c>
      <c r="AO387" s="528">
        <f t="shared" si="2470"/>
        <v>2676184</v>
      </c>
      <c r="AP387" s="528">
        <f t="shared" si="2470"/>
        <v>2505422</v>
      </c>
      <c r="AQ387" s="528">
        <f t="shared" ref="AQ387:AR387" si="2488">SUM(AQ388,AQ389,AQ390)</f>
        <v>2624378</v>
      </c>
      <c r="AR387" s="528">
        <f t="shared" si="2488"/>
        <v>2676184</v>
      </c>
      <c r="AS387" s="529">
        <f t="shared" ref="AS387:AT387" si="2489">SUM(AS388,AS389,AS390)</f>
        <v>2505422</v>
      </c>
      <c r="AT387" s="528">
        <f t="shared" si="2489"/>
        <v>2660247</v>
      </c>
      <c r="AU387" s="528">
        <f t="shared" ref="AU387:AY387" si="2490">SUM(AU388,AU389,AU390)</f>
        <v>2600709</v>
      </c>
      <c r="AV387" s="528">
        <f t="shared" si="2490"/>
        <v>2528321</v>
      </c>
      <c r="AW387" s="528">
        <f t="shared" ref="AW387:AX387" si="2491">SUM(AW388,AW389,AW390)</f>
        <v>2499518</v>
      </c>
      <c r="AX387" s="528">
        <f t="shared" si="2491"/>
        <v>2600709</v>
      </c>
      <c r="AY387" s="528">
        <f t="shared" si="2490"/>
        <v>2528321</v>
      </c>
      <c r="AZ387" s="528">
        <f t="shared" ref="AZ387:BA387" si="2492">SUM(AZ388,AZ389,AZ390)</f>
        <v>2499518</v>
      </c>
      <c r="BA387" s="528">
        <f t="shared" si="2492"/>
        <v>2400122</v>
      </c>
      <c r="BB387" s="528">
        <f t="shared" ref="BB387:BC387" si="2493">SUM(BB388,BB389,BB390)</f>
        <v>2360505</v>
      </c>
      <c r="BC387" s="528">
        <f t="shared" si="2493"/>
        <v>2304944</v>
      </c>
      <c r="BD387" s="528">
        <f t="shared" ref="BD387" si="2494">SUM(BD388,BD389,BD390)</f>
        <v>2196288</v>
      </c>
      <c r="BE387" s="528">
        <f t="shared" ref="BE387:BF387" si="2495">SUM(BE388,BE389,BE390)</f>
        <v>2360505</v>
      </c>
      <c r="BF387" s="528">
        <f t="shared" si="2495"/>
        <v>2304944</v>
      </c>
      <c r="BG387" s="528">
        <f t="shared" ref="BG387:BH387" si="2496">SUM(BG388,BG389,BG390)</f>
        <v>2196288</v>
      </c>
      <c r="BH387" s="528">
        <f t="shared" si="2496"/>
        <v>2124168</v>
      </c>
      <c r="BI387" s="528">
        <f t="shared" ref="BI387:BL387" si="2497">SUM(BI388,BI389,BI390)</f>
        <v>2065250</v>
      </c>
      <c r="BJ387" s="528">
        <f t="shared" si="2497"/>
        <v>2074653</v>
      </c>
      <c r="BK387" s="528">
        <f t="shared" si="2497"/>
        <v>2034890</v>
      </c>
      <c r="BL387" s="528">
        <f t="shared" si="2497"/>
        <v>2065250</v>
      </c>
      <c r="BM387" s="528">
        <f t="shared" ref="BM387:BN387" si="2498">SUM(BM388,BM389,BM390)</f>
        <v>2074653</v>
      </c>
      <c r="BN387" s="528">
        <f t="shared" si="2498"/>
        <v>2034890</v>
      </c>
      <c r="BO387" s="528">
        <f t="shared" ref="BO387:BS387" si="2499">SUM(BO388,BO389,BO390)</f>
        <v>1986779</v>
      </c>
      <c r="BP387" s="528">
        <f t="shared" si="2499"/>
        <v>740224</v>
      </c>
      <c r="BQ387" s="528">
        <f t="shared" si="2499"/>
        <v>707123</v>
      </c>
      <c r="BR387" s="528">
        <f t="shared" si="2499"/>
        <v>714663</v>
      </c>
      <c r="BS387" s="528">
        <f t="shared" si="2499"/>
        <v>740224</v>
      </c>
      <c r="BT387" s="528">
        <f t="shared" ref="BT387:BU387" si="2500">SUM(BT388,BT389,BT390)</f>
        <v>707123</v>
      </c>
      <c r="BU387" s="528">
        <f t="shared" si="2500"/>
        <v>714663</v>
      </c>
      <c r="BV387" s="528">
        <f t="shared" ref="BV387:BZ387" si="2501">SUM(BV388,BV389,BV390)</f>
        <v>698582</v>
      </c>
      <c r="BW387" s="528">
        <f t="shared" si="2501"/>
        <v>693680</v>
      </c>
      <c r="BX387" s="528">
        <f t="shared" si="2501"/>
        <v>764787</v>
      </c>
      <c r="BY387" s="528">
        <f t="shared" si="2501"/>
        <v>784053</v>
      </c>
      <c r="BZ387" s="528">
        <f t="shared" si="2501"/>
        <v>693680</v>
      </c>
      <c r="CA387" s="528">
        <f t="shared" ref="CA387:CB387" si="2502">SUM(CA388,CA389,CA390)</f>
        <v>764787</v>
      </c>
      <c r="CB387" s="528">
        <f t="shared" si="2502"/>
        <v>784053</v>
      </c>
      <c r="CC387" s="528">
        <f t="shared" ref="CC387:CD387" si="2503">SUM(CC388,CC389,CC390)</f>
        <v>781541</v>
      </c>
      <c r="CD387" s="528">
        <f t="shared" si="2503"/>
        <v>797084</v>
      </c>
      <c r="CE387" s="528">
        <f t="shared" ref="CE387:CG387" si="2504">SUM(CE388,CE389,CE390)</f>
        <v>-116933</v>
      </c>
      <c r="CF387" s="528">
        <f t="shared" si="2504"/>
        <v>-106932</v>
      </c>
      <c r="CG387" s="528">
        <f t="shared" si="2504"/>
        <v>797084</v>
      </c>
      <c r="CH387" s="528">
        <f t="shared" ref="CH387:CI387" si="2505">SUM(CH388,CH389,CH390)</f>
        <v>-116933</v>
      </c>
      <c r="CI387" s="528">
        <f t="shared" si="2505"/>
        <v>-106932</v>
      </c>
      <c r="CJ387" s="528">
        <v>-129518</v>
      </c>
      <c r="CK387" s="528">
        <f t="shared" ref="CK387" si="2506">SUM(CK388,CK389,CK390)</f>
        <v>-106670</v>
      </c>
      <c r="CL387" s="528">
        <f t="shared" ref="CL387:CO387" si="2507">SUM(CL388,CL389,CL390)</f>
        <v>0</v>
      </c>
      <c r="CM387" s="528">
        <f t="shared" si="2507"/>
        <v>0</v>
      </c>
      <c r="CN387" s="528">
        <f t="shared" si="2507"/>
        <v>-106670</v>
      </c>
      <c r="CO387" s="528">
        <f t="shared" si="2507"/>
        <v>0</v>
      </c>
    </row>
    <row r="388" spans="1:93" s="289" customFormat="1" x14ac:dyDescent="0.25">
      <c r="A388" s="301" t="str">
        <f>Language!C308</f>
        <v>(+)  Imobilizado Líquido</v>
      </c>
      <c r="B388" s="291">
        <f t="shared" ref="B388:AF388" si="2508">B24</f>
        <v>4708</v>
      </c>
      <c r="C388" s="291">
        <f t="shared" si="2508"/>
        <v>4827</v>
      </c>
      <c r="D388" s="291">
        <f t="shared" si="2508"/>
        <v>5103</v>
      </c>
      <c r="E388" s="291">
        <f t="shared" si="2508"/>
        <v>5717</v>
      </c>
      <c r="F388" s="290">
        <f t="shared" si="2508"/>
        <v>5674</v>
      </c>
      <c r="G388" s="291">
        <f t="shared" si="2508"/>
        <v>6057</v>
      </c>
      <c r="H388" s="291">
        <f t="shared" si="2508"/>
        <v>6088</v>
      </c>
      <c r="I388" s="291">
        <f t="shared" si="2508"/>
        <v>6354</v>
      </c>
      <c r="J388" s="290">
        <f t="shared" si="2508"/>
        <v>6179</v>
      </c>
      <c r="K388" s="291">
        <f t="shared" si="2508"/>
        <v>5939</v>
      </c>
      <c r="L388" s="291">
        <f t="shared" si="2508"/>
        <v>6505</v>
      </c>
      <c r="M388" s="291">
        <f t="shared" si="2508"/>
        <v>6491</v>
      </c>
      <c r="N388" s="290">
        <f t="shared" si="2508"/>
        <v>12718</v>
      </c>
      <c r="O388" s="291">
        <f t="shared" si="2508"/>
        <v>14743</v>
      </c>
      <c r="P388" s="291">
        <f t="shared" si="2508"/>
        <v>19368</v>
      </c>
      <c r="Q388" s="291">
        <f t="shared" si="2508"/>
        <v>19213</v>
      </c>
      <c r="R388" s="290">
        <f t="shared" si="2508"/>
        <v>21627</v>
      </c>
      <c r="S388" s="291">
        <f t="shared" si="2508"/>
        <v>25742</v>
      </c>
      <c r="T388" s="291">
        <f t="shared" si="2508"/>
        <v>23040</v>
      </c>
      <c r="U388" s="291">
        <f t="shared" si="2508"/>
        <v>23021</v>
      </c>
      <c r="V388" s="291">
        <f t="shared" si="2508"/>
        <v>25742</v>
      </c>
      <c r="W388" s="292">
        <f t="shared" si="2508"/>
        <v>23040</v>
      </c>
      <c r="X388" s="293">
        <f t="shared" si="2508"/>
        <v>23021</v>
      </c>
      <c r="Y388" s="294">
        <f t="shared" si="2508"/>
        <v>22720</v>
      </c>
      <c r="Z388" s="292">
        <f t="shared" si="2508"/>
        <v>22884</v>
      </c>
      <c r="AA388" s="291">
        <f t="shared" si="2508"/>
        <v>22022</v>
      </c>
      <c r="AB388" s="291">
        <f t="shared" si="2508"/>
        <v>21552</v>
      </c>
      <c r="AC388" s="292">
        <f t="shared" si="2508"/>
        <v>22884</v>
      </c>
      <c r="AD388" s="292">
        <f t="shared" si="2508"/>
        <v>22022</v>
      </c>
      <c r="AE388" s="293">
        <f t="shared" si="2508"/>
        <v>21552</v>
      </c>
      <c r="AF388" s="292">
        <f t="shared" si="2508"/>
        <v>20600</v>
      </c>
      <c r="AG388" s="292">
        <f t="shared" si="2443"/>
        <v>9571</v>
      </c>
      <c r="AH388" s="291">
        <f t="shared" si="2444"/>
        <v>8597</v>
      </c>
      <c r="AI388" s="291">
        <f t="shared" si="2445"/>
        <v>14346</v>
      </c>
      <c r="AJ388" s="292">
        <f>AJ24</f>
        <v>9571</v>
      </c>
      <c r="AK388" s="292">
        <f>AK24</f>
        <v>8597</v>
      </c>
      <c r="AL388" s="293">
        <f>AL24</f>
        <v>14346</v>
      </c>
      <c r="AM388" s="292">
        <f>AM24</f>
        <v>14375</v>
      </c>
      <c r="AN388" s="292">
        <f t="shared" si="2469"/>
        <v>15056</v>
      </c>
      <c r="AO388" s="292">
        <f t="shared" si="2470"/>
        <v>14372</v>
      </c>
      <c r="AP388" s="292">
        <f t="shared" si="2470"/>
        <v>13097</v>
      </c>
      <c r="AQ388" s="292">
        <f t="shared" ref="AQ388:CI388" si="2509">AQ24</f>
        <v>15056</v>
      </c>
      <c r="AR388" s="292">
        <f t="shared" si="2509"/>
        <v>14372</v>
      </c>
      <c r="AS388" s="293">
        <f t="shared" si="2509"/>
        <v>13097</v>
      </c>
      <c r="AT388" s="292">
        <f t="shared" si="2509"/>
        <v>7822</v>
      </c>
      <c r="AU388" s="292">
        <f t="shared" si="2509"/>
        <v>12178</v>
      </c>
      <c r="AV388" s="292">
        <f t="shared" si="2509"/>
        <v>12514</v>
      </c>
      <c r="AW388" s="292">
        <f t="shared" si="2509"/>
        <v>19775</v>
      </c>
      <c r="AX388" s="292">
        <f t="shared" si="2509"/>
        <v>12178</v>
      </c>
      <c r="AY388" s="292">
        <f t="shared" si="2509"/>
        <v>12514</v>
      </c>
      <c r="AZ388" s="292">
        <f t="shared" si="2509"/>
        <v>19775</v>
      </c>
      <c r="BA388" s="292">
        <f t="shared" si="2509"/>
        <v>14362</v>
      </c>
      <c r="BB388" s="292">
        <f t="shared" si="2509"/>
        <v>13483</v>
      </c>
      <c r="BC388" s="292">
        <f t="shared" si="2509"/>
        <v>13145</v>
      </c>
      <c r="BD388" s="292">
        <f t="shared" si="2509"/>
        <v>12058</v>
      </c>
      <c r="BE388" s="292">
        <f t="shared" si="2509"/>
        <v>13483</v>
      </c>
      <c r="BF388" s="292">
        <f t="shared" si="2509"/>
        <v>13145</v>
      </c>
      <c r="BG388" s="292">
        <f t="shared" si="2509"/>
        <v>12058</v>
      </c>
      <c r="BH388" s="292">
        <f t="shared" si="2509"/>
        <v>11388</v>
      </c>
      <c r="BI388" s="292">
        <f t="shared" si="2509"/>
        <v>10891</v>
      </c>
      <c r="BJ388" s="292">
        <f t="shared" si="2509"/>
        <v>10340</v>
      </c>
      <c r="BK388" s="292">
        <f t="shared" si="2509"/>
        <v>10214</v>
      </c>
      <c r="BL388" s="292">
        <f t="shared" si="2509"/>
        <v>10891</v>
      </c>
      <c r="BM388" s="292">
        <f t="shared" si="2509"/>
        <v>10340</v>
      </c>
      <c r="BN388" s="292">
        <f t="shared" si="2509"/>
        <v>10214</v>
      </c>
      <c r="BO388" s="292">
        <f t="shared" si="2509"/>
        <v>10074</v>
      </c>
      <c r="BP388" s="292">
        <f t="shared" si="2509"/>
        <v>6638</v>
      </c>
      <c r="BQ388" s="292">
        <f t="shared" si="2509"/>
        <v>6147</v>
      </c>
      <c r="BR388" s="292">
        <f t="shared" si="2509"/>
        <v>6022</v>
      </c>
      <c r="BS388" s="292">
        <f t="shared" si="2509"/>
        <v>6638</v>
      </c>
      <c r="BT388" s="292">
        <f t="shared" si="2509"/>
        <v>6147</v>
      </c>
      <c r="BU388" s="292">
        <f t="shared" si="2509"/>
        <v>6022</v>
      </c>
      <c r="BV388" s="292">
        <f t="shared" si="2509"/>
        <v>6357</v>
      </c>
      <c r="BW388" s="292">
        <f t="shared" si="2509"/>
        <v>6400</v>
      </c>
      <c r="BX388" s="292">
        <f t="shared" si="2509"/>
        <v>8827</v>
      </c>
      <c r="BY388" s="292">
        <f t="shared" si="2509"/>
        <v>8799</v>
      </c>
      <c r="BZ388" s="292">
        <f t="shared" si="2509"/>
        <v>6400</v>
      </c>
      <c r="CA388" s="292">
        <f t="shared" si="2509"/>
        <v>8827</v>
      </c>
      <c r="CB388" s="292">
        <f t="shared" si="2509"/>
        <v>8799</v>
      </c>
      <c r="CC388" s="292">
        <f t="shared" si="2509"/>
        <v>8950</v>
      </c>
      <c r="CD388" s="292">
        <f t="shared" si="2509"/>
        <v>7582</v>
      </c>
      <c r="CE388" s="292">
        <f t="shared" si="2509"/>
        <v>7413</v>
      </c>
      <c r="CF388" s="292">
        <f t="shared" si="2509"/>
        <v>7305</v>
      </c>
      <c r="CG388" s="292">
        <f t="shared" si="2509"/>
        <v>7582</v>
      </c>
      <c r="CH388" s="292">
        <f t="shared" si="2509"/>
        <v>7413</v>
      </c>
      <c r="CI388" s="292">
        <f t="shared" si="2509"/>
        <v>7305</v>
      </c>
      <c r="CJ388" s="292">
        <v>7224</v>
      </c>
      <c r="CK388" s="292">
        <f t="shared" ref="CK388:CO388" si="2510">CK24</f>
        <v>7215</v>
      </c>
      <c r="CL388" s="292">
        <f t="shared" si="2510"/>
        <v>0</v>
      </c>
      <c r="CM388" s="292">
        <f t="shared" si="2510"/>
        <v>0</v>
      </c>
      <c r="CN388" s="292">
        <f t="shared" si="2510"/>
        <v>7215</v>
      </c>
      <c r="CO388" s="292">
        <f t="shared" si="2510"/>
        <v>0</v>
      </c>
    </row>
    <row r="389" spans="1:93" s="289" customFormat="1" x14ac:dyDescent="0.25">
      <c r="A389" s="301" t="str">
        <f>Language!C309</f>
        <v>(+)  Intangível Líquido</v>
      </c>
      <c r="B389" s="291">
        <f t="shared" ref="B389:AF389" si="2511">B31</f>
        <v>940065</v>
      </c>
      <c r="C389" s="291">
        <f t="shared" si="2511"/>
        <v>935465</v>
      </c>
      <c r="D389" s="291">
        <f t="shared" si="2511"/>
        <v>935832</v>
      </c>
      <c r="E389" s="291">
        <f t="shared" si="2511"/>
        <v>948138</v>
      </c>
      <c r="F389" s="290">
        <f t="shared" si="2511"/>
        <v>950645</v>
      </c>
      <c r="G389" s="291">
        <f t="shared" si="2511"/>
        <v>953073</v>
      </c>
      <c r="H389" s="291">
        <f t="shared" si="2511"/>
        <v>957644</v>
      </c>
      <c r="I389" s="291">
        <f t="shared" si="2511"/>
        <v>976835</v>
      </c>
      <c r="J389" s="290">
        <f t="shared" si="2511"/>
        <v>975796</v>
      </c>
      <c r="K389" s="291">
        <f t="shared" si="2511"/>
        <v>975316</v>
      </c>
      <c r="L389" s="291">
        <f t="shared" si="2511"/>
        <v>985351</v>
      </c>
      <c r="M389" s="291">
        <f t="shared" si="2511"/>
        <v>1033423</v>
      </c>
      <c r="N389" s="290">
        <f t="shared" si="2511"/>
        <v>1097394</v>
      </c>
      <c r="O389" s="291">
        <f t="shared" si="2511"/>
        <v>1277201</v>
      </c>
      <c r="P389" s="291">
        <f t="shared" si="2511"/>
        <v>1446685</v>
      </c>
      <c r="Q389" s="291">
        <f t="shared" si="2511"/>
        <v>1731939</v>
      </c>
      <c r="R389" s="290">
        <f t="shared" si="2511"/>
        <v>2338755</v>
      </c>
      <c r="S389" s="291">
        <f t="shared" si="2511"/>
        <v>2553736</v>
      </c>
      <c r="T389" s="291">
        <f t="shared" si="2511"/>
        <v>2609159</v>
      </c>
      <c r="U389" s="291">
        <f t="shared" si="2511"/>
        <v>2738463</v>
      </c>
      <c r="V389" s="291">
        <f t="shared" si="2511"/>
        <v>2553736</v>
      </c>
      <c r="W389" s="292">
        <f t="shared" si="2511"/>
        <v>2609159</v>
      </c>
      <c r="X389" s="293">
        <f t="shared" si="2511"/>
        <v>2738463</v>
      </c>
      <c r="Y389" s="294">
        <f t="shared" si="2511"/>
        <v>3214958</v>
      </c>
      <c r="Z389" s="292">
        <f t="shared" si="2511"/>
        <v>3249527</v>
      </c>
      <c r="AA389" s="291">
        <f t="shared" si="2511"/>
        <v>3236063</v>
      </c>
      <c r="AB389" s="291">
        <f t="shared" si="2511"/>
        <v>3205510</v>
      </c>
      <c r="AC389" s="292">
        <f t="shared" si="2511"/>
        <v>3249527</v>
      </c>
      <c r="AD389" s="292">
        <f t="shared" si="2511"/>
        <v>3236063</v>
      </c>
      <c r="AE389" s="293">
        <f t="shared" si="2511"/>
        <v>3205510</v>
      </c>
      <c r="AF389" s="292">
        <f t="shared" si="2511"/>
        <v>3150363</v>
      </c>
      <c r="AG389" s="292">
        <f t="shared" si="2443"/>
        <v>3076345</v>
      </c>
      <c r="AH389" s="291">
        <f t="shared" si="2444"/>
        <v>3108253</v>
      </c>
      <c r="AI389" s="291">
        <f t="shared" si="2445"/>
        <v>3111288</v>
      </c>
      <c r="AJ389" s="292">
        <f>AJ31</f>
        <v>3076345</v>
      </c>
      <c r="AK389" s="292">
        <f>AK31</f>
        <v>3108253</v>
      </c>
      <c r="AL389" s="293">
        <f>AL31</f>
        <v>3111288</v>
      </c>
      <c r="AM389" s="292">
        <f>AM31</f>
        <v>3085698</v>
      </c>
      <c r="AN389" s="292">
        <f t="shared" si="2469"/>
        <v>3071562</v>
      </c>
      <c r="AO389" s="292">
        <f t="shared" si="2470"/>
        <v>3157553</v>
      </c>
      <c r="AP389" s="292">
        <f t="shared" si="2470"/>
        <v>2995332</v>
      </c>
      <c r="AQ389" s="292">
        <f t="shared" ref="AQ389:CI389" si="2512">AQ31</f>
        <v>3071562</v>
      </c>
      <c r="AR389" s="292">
        <f t="shared" si="2512"/>
        <v>3157553</v>
      </c>
      <c r="AS389" s="293">
        <f t="shared" si="2512"/>
        <v>2995332</v>
      </c>
      <c r="AT389" s="292">
        <f t="shared" si="2512"/>
        <v>2967754</v>
      </c>
      <c r="AU389" s="292">
        <f t="shared" si="2512"/>
        <v>2915185</v>
      </c>
      <c r="AV389" s="292">
        <f t="shared" si="2512"/>
        <v>2809895</v>
      </c>
      <c r="AW389" s="292">
        <f t="shared" si="2512"/>
        <v>2747473</v>
      </c>
      <c r="AX389" s="292">
        <f t="shared" si="2512"/>
        <v>2915185</v>
      </c>
      <c r="AY389" s="292">
        <f t="shared" si="2512"/>
        <v>2809895</v>
      </c>
      <c r="AZ389" s="292">
        <f t="shared" si="2512"/>
        <v>2747473</v>
      </c>
      <c r="BA389" s="292">
        <f t="shared" si="2512"/>
        <v>2690971</v>
      </c>
      <c r="BB389" s="292">
        <f t="shared" si="2512"/>
        <v>2644072</v>
      </c>
      <c r="BC389" s="292">
        <f t="shared" si="2512"/>
        <v>2576342</v>
      </c>
      <c r="BD389" s="292">
        <f t="shared" si="2512"/>
        <v>2436877</v>
      </c>
      <c r="BE389" s="292">
        <f t="shared" si="2512"/>
        <v>2644072</v>
      </c>
      <c r="BF389" s="292">
        <f t="shared" si="2512"/>
        <v>2576342</v>
      </c>
      <c r="BG389" s="292">
        <f t="shared" si="2512"/>
        <v>2436877</v>
      </c>
      <c r="BH389" s="292">
        <f t="shared" si="2512"/>
        <v>2363536</v>
      </c>
      <c r="BI389" s="292">
        <f t="shared" si="2512"/>
        <v>2287354</v>
      </c>
      <c r="BJ389" s="292">
        <f t="shared" si="2512"/>
        <v>2280277</v>
      </c>
      <c r="BK389" s="292">
        <f t="shared" si="2512"/>
        <v>2236084</v>
      </c>
      <c r="BL389" s="292">
        <f t="shared" si="2512"/>
        <v>2287354</v>
      </c>
      <c r="BM389" s="292">
        <f t="shared" si="2512"/>
        <v>2280277</v>
      </c>
      <c r="BN389" s="292">
        <f t="shared" si="2512"/>
        <v>2236084</v>
      </c>
      <c r="BO389" s="292">
        <f t="shared" si="2512"/>
        <v>2219118</v>
      </c>
      <c r="BP389" s="292">
        <f t="shared" si="2512"/>
        <v>913885</v>
      </c>
      <c r="BQ389" s="292">
        <f t="shared" si="2512"/>
        <v>899935</v>
      </c>
      <c r="BR389" s="292">
        <f t="shared" si="2512"/>
        <v>915308</v>
      </c>
      <c r="BS389" s="292">
        <f t="shared" si="2512"/>
        <v>913885</v>
      </c>
      <c r="BT389" s="292">
        <f t="shared" si="2512"/>
        <v>899935</v>
      </c>
      <c r="BU389" s="292">
        <f t="shared" si="2512"/>
        <v>915308</v>
      </c>
      <c r="BV389" s="292">
        <f t="shared" si="2512"/>
        <v>912421</v>
      </c>
      <c r="BW389" s="292">
        <f t="shared" si="2512"/>
        <v>913409</v>
      </c>
      <c r="BX389" s="292">
        <f t="shared" si="2512"/>
        <v>990240</v>
      </c>
      <c r="BY389" s="292">
        <f t="shared" si="2512"/>
        <v>985736</v>
      </c>
      <c r="BZ389" s="292">
        <f t="shared" si="2512"/>
        <v>913409</v>
      </c>
      <c r="CA389" s="292">
        <f t="shared" si="2512"/>
        <v>990240</v>
      </c>
      <c r="CB389" s="292">
        <f t="shared" si="2512"/>
        <v>985736</v>
      </c>
      <c r="CC389" s="292">
        <f t="shared" si="2512"/>
        <v>969198</v>
      </c>
      <c r="CD389" s="292">
        <f t="shared" si="2512"/>
        <v>985329</v>
      </c>
      <c r="CE389" s="292">
        <f t="shared" si="2512"/>
        <v>44819</v>
      </c>
      <c r="CF389" s="292">
        <f t="shared" si="2512"/>
        <v>43695</v>
      </c>
      <c r="CG389" s="292">
        <f t="shared" si="2512"/>
        <v>985329</v>
      </c>
      <c r="CH389" s="292">
        <f t="shared" si="2512"/>
        <v>44819</v>
      </c>
      <c r="CI389" s="292">
        <f t="shared" si="2512"/>
        <v>43695</v>
      </c>
      <c r="CJ389" s="292">
        <v>42528</v>
      </c>
      <c r="CK389" s="292">
        <f t="shared" ref="CK389:CO389" si="2513">CK31</f>
        <v>41361</v>
      </c>
      <c r="CL389" s="292">
        <f t="shared" si="2513"/>
        <v>0</v>
      </c>
      <c r="CM389" s="292">
        <f t="shared" si="2513"/>
        <v>0</v>
      </c>
      <c r="CN389" s="292">
        <f t="shared" si="2513"/>
        <v>41361</v>
      </c>
      <c r="CO389" s="292">
        <f t="shared" si="2513"/>
        <v>0</v>
      </c>
    </row>
    <row r="390" spans="1:93" s="289" customFormat="1" x14ac:dyDescent="0.25">
      <c r="A390" s="301" t="str">
        <f>Language!C310</f>
        <v>(+)  NCG</v>
      </c>
      <c r="B390" s="291">
        <f>B384</f>
        <v>-20454</v>
      </c>
      <c r="C390" s="291">
        <f t="shared" ref="C390:M390" si="2514">C384</f>
        <v>22019</v>
      </c>
      <c r="D390" s="291">
        <f t="shared" si="2514"/>
        <v>-15282</v>
      </c>
      <c r="E390" s="291">
        <f t="shared" si="2514"/>
        <v>-41126</v>
      </c>
      <c r="F390" s="290">
        <f t="shared" si="2514"/>
        <v>11098</v>
      </c>
      <c r="G390" s="291">
        <f t="shared" si="2514"/>
        <v>-13910</v>
      </c>
      <c r="H390" s="291">
        <f t="shared" si="2514"/>
        <v>-15162</v>
      </c>
      <c r="I390" s="291">
        <f t="shared" si="2514"/>
        <v>-18401</v>
      </c>
      <c r="J390" s="290">
        <f t="shared" si="2514"/>
        <v>-1207</v>
      </c>
      <c r="K390" s="291">
        <f t="shared" si="2514"/>
        <v>2338</v>
      </c>
      <c r="L390" s="291">
        <f t="shared" si="2514"/>
        <v>14138</v>
      </c>
      <c r="M390" s="291">
        <f t="shared" si="2514"/>
        <v>-9334</v>
      </c>
      <c r="N390" s="290">
        <f t="shared" ref="N390:O390" si="2515">N384</f>
        <v>-931</v>
      </c>
      <c r="O390" s="291">
        <f t="shared" si="2515"/>
        <v>-6744</v>
      </c>
      <c r="P390" s="291">
        <f t="shared" ref="P390" si="2516">P384</f>
        <v>104068</v>
      </c>
      <c r="Q390" s="291">
        <f t="shared" ref="Q390:R390" si="2517">Q384</f>
        <v>189932</v>
      </c>
      <c r="R390" s="290">
        <f t="shared" si="2517"/>
        <v>349473</v>
      </c>
      <c r="S390" s="291">
        <f t="shared" ref="S390" si="2518">S384</f>
        <v>219333</v>
      </c>
      <c r="T390" s="291">
        <f t="shared" ref="T390:U390" si="2519">T384</f>
        <v>304807</v>
      </c>
      <c r="U390" s="291">
        <f t="shared" si="2519"/>
        <v>323154</v>
      </c>
      <c r="V390" s="291">
        <f t="shared" ref="V390" si="2520">V384</f>
        <v>219333</v>
      </c>
      <c r="W390" s="292">
        <f>W384</f>
        <v>304807</v>
      </c>
      <c r="X390" s="293">
        <f>X384</f>
        <v>323154</v>
      </c>
      <c r="Y390" s="294">
        <f>Y384</f>
        <v>46760</v>
      </c>
      <c r="Z390" s="292">
        <f t="shared" ref="Z390:AC390" si="2521">Z384</f>
        <v>-183161</v>
      </c>
      <c r="AA390" s="291">
        <f t="shared" si="2521"/>
        <v>-153333</v>
      </c>
      <c r="AB390" s="291">
        <f t="shared" si="2521"/>
        <v>-112112</v>
      </c>
      <c r="AC390" s="292">
        <f t="shared" si="2521"/>
        <v>-183161</v>
      </c>
      <c r="AD390" s="292">
        <f t="shared" ref="AD390:AE390" si="2522">AD384</f>
        <v>-153333</v>
      </c>
      <c r="AE390" s="293">
        <f t="shared" si="2522"/>
        <v>-112112</v>
      </c>
      <c r="AF390" s="292">
        <f t="shared" ref="AF390:AJ390" si="2523">AF384</f>
        <v>-128031</v>
      </c>
      <c r="AG390" s="292">
        <f t="shared" si="2523"/>
        <v>-147394</v>
      </c>
      <c r="AH390" s="291">
        <f t="shared" si="2523"/>
        <v>-143298</v>
      </c>
      <c r="AI390" s="291">
        <f t="shared" si="2523"/>
        <v>-494110</v>
      </c>
      <c r="AJ390" s="292">
        <f t="shared" si="2523"/>
        <v>-147394</v>
      </c>
      <c r="AK390" s="292">
        <f t="shared" ref="AK390" si="2524">AK384</f>
        <v>-143298</v>
      </c>
      <c r="AL390" s="293">
        <f t="shared" ref="AL390:AM390" si="2525">AL384</f>
        <v>-494110</v>
      </c>
      <c r="AM390" s="292">
        <f t="shared" si="2525"/>
        <v>-462314</v>
      </c>
      <c r="AN390" s="292">
        <f t="shared" si="2469"/>
        <v>-462240</v>
      </c>
      <c r="AO390" s="292">
        <f t="shared" si="2470"/>
        <v>-495741</v>
      </c>
      <c r="AP390" s="292">
        <f t="shared" si="2470"/>
        <v>-503007</v>
      </c>
      <c r="AQ390" s="292">
        <f t="shared" ref="AQ390:AR390" si="2526">AQ384</f>
        <v>-462240</v>
      </c>
      <c r="AR390" s="292">
        <f t="shared" si="2526"/>
        <v>-495741</v>
      </c>
      <c r="AS390" s="293">
        <f t="shared" ref="AS390:AU390" si="2527">AS384</f>
        <v>-503007</v>
      </c>
      <c r="AT390" s="292">
        <f t="shared" si="2527"/>
        <v>-315329</v>
      </c>
      <c r="AU390" s="292">
        <f t="shared" si="2527"/>
        <v>-326654</v>
      </c>
      <c r="AV390" s="292">
        <f t="shared" ref="AV390:AY390" si="2528">AV384</f>
        <v>-294088</v>
      </c>
      <c r="AW390" s="292">
        <f t="shared" ref="AW390:AX390" si="2529">AW384</f>
        <v>-267730</v>
      </c>
      <c r="AX390" s="292">
        <f t="shared" si="2529"/>
        <v>-326654</v>
      </c>
      <c r="AY390" s="292">
        <f t="shared" si="2528"/>
        <v>-294088</v>
      </c>
      <c r="AZ390" s="292">
        <f t="shared" ref="AZ390:BA390" si="2530">AZ384</f>
        <v>-267730</v>
      </c>
      <c r="BA390" s="292">
        <f t="shared" si="2530"/>
        <v>-305211</v>
      </c>
      <c r="BB390" s="292">
        <f t="shared" ref="BB390:BC390" si="2531">BB384</f>
        <v>-297050</v>
      </c>
      <c r="BC390" s="292">
        <f t="shared" si="2531"/>
        <v>-284543</v>
      </c>
      <c r="BD390" s="292">
        <f t="shared" ref="BD390" si="2532">BD384</f>
        <v>-252647</v>
      </c>
      <c r="BE390" s="292">
        <f t="shared" ref="BE390:BF390" si="2533">BE384</f>
        <v>-297050</v>
      </c>
      <c r="BF390" s="292">
        <f t="shared" si="2533"/>
        <v>-284543</v>
      </c>
      <c r="BG390" s="292">
        <f t="shared" ref="BG390:BH390" si="2534">BG384</f>
        <v>-252647</v>
      </c>
      <c r="BH390" s="292">
        <f t="shared" si="2534"/>
        <v>-250756</v>
      </c>
      <c r="BI390" s="292">
        <f t="shared" ref="BI390:BL390" si="2535">BI384</f>
        <v>-232995</v>
      </c>
      <c r="BJ390" s="292">
        <f t="shared" si="2535"/>
        <v>-215964</v>
      </c>
      <c r="BK390" s="292">
        <f t="shared" si="2535"/>
        <v>-211408</v>
      </c>
      <c r="BL390" s="292">
        <f t="shared" si="2535"/>
        <v>-232995</v>
      </c>
      <c r="BM390" s="292">
        <f t="shared" ref="BM390:BN390" si="2536">BM384</f>
        <v>-215964</v>
      </c>
      <c r="BN390" s="292">
        <f t="shared" si="2536"/>
        <v>-211408</v>
      </c>
      <c r="BO390" s="292">
        <f t="shared" ref="BO390:BS390" si="2537">BO384</f>
        <v>-242413</v>
      </c>
      <c r="BP390" s="292">
        <f t="shared" si="2537"/>
        <v>-180299</v>
      </c>
      <c r="BQ390" s="292">
        <f t="shared" si="2537"/>
        <v>-198959</v>
      </c>
      <c r="BR390" s="292">
        <f t="shared" si="2537"/>
        <v>-206667</v>
      </c>
      <c r="BS390" s="292">
        <f t="shared" si="2537"/>
        <v>-180299</v>
      </c>
      <c r="BT390" s="292">
        <f t="shared" ref="BT390:BU390" si="2538">BT384</f>
        <v>-198959</v>
      </c>
      <c r="BU390" s="292">
        <f t="shared" si="2538"/>
        <v>-206667</v>
      </c>
      <c r="BV390" s="292">
        <f t="shared" ref="BV390:BZ390" si="2539">BV384</f>
        <v>-220196</v>
      </c>
      <c r="BW390" s="292">
        <f t="shared" si="2539"/>
        <v>-226129</v>
      </c>
      <c r="BX390" s="292">
        <f t="shared" si="2539"/>
        <v>-234280</v>
      </c>
      <c r="BY390" s="292">
        <f t="shared" si="2539"/>
        <v>-210482</v>
      </c>
      <c r="BZ390" s="292">
        <f t="shared" si="2539"/>
        <v>-226129</v>
      </c>
      <c r="CA390" s="292">
        <f t="shared" ref="CA390:CB390" si="2540">CA384</f>
        <v>-234280</v>
      </c>
      <c r="CB390" s="292">
        <f t="shared" si="2540"/>
        <v>-210482</v>
      </c>
      <c r="CC390" s="292">
        <f t="shared" ref="CC390:CD390" si="2541">CC384</f>
        <v>-196607</v>
      </c>
      <c r="CD390" s="292">
        <f t="shared" si="2541"/>
        <v>-195827</v>
      </c>
      <c r="CE390" s="292">
        <f t="shared" ref="CE390:CG390" si="2542">CE384</f>
        <v>-169165</v>
      </c>
      <c r="CF390" s="292">
        <f t="shared" si="2542"/>
        <v>-157932</v>
      </c>
      <c r="CG390" s="292">
        <f t="shared" si="2542"/>
        <v>-195827</v>
      </c>
      <c r="CH390" s="292">
        <f t="shared" ref="CH390:CI390" si="2543">CH384</f>
        <v>-169165</v>
      </c>
      <c r="CI390" s="292">
        <f t="shared" si="2543"/>
        <v>-157932</v>
      </c>
      <c r="CJ390" s="292">
        <v>-179270</v>
      </c>
      <c r="CK390" s="292">
        <f t="shared" ref="CK390" si="2544">CK384</f>
        <v>-155246</v>
      </c>
      <c r="CL390" s="292">
        <f t="shared" ref="CL390:CO390" si="2545">CL384</f>
        <v>0</v>
      </c>
      <c r="CM390" s="292">
        <f t="shared" si="2545"/>
        <v>0</v>
      </c>
      <c r="CN390" s="292">
        <f t="shared" si="2545"/>
        <v>-155246</v>
      </c>
      <c r="CO390" s="292">
        <f t="shared" si="2545"/>
        <v>0</v>
      </c>
    </row>
    <row r="391" spans="1:93" s="289" customFormat="1" ht="13" x14ac:dyDescent="0.3">
      <c r="A391" s="525" t="str">
        <f>Language!C311</f>
        <v>NOPAT</v>
      </c>
      <c r="B391" s="526" t="e">
        <f>(B393)*(1-B392)</f>
        <v>#REF!</v>
      </c>
      <c r="C391" s="526" t="e">
        <f t="shared" ref="C391:M391" si="2546">(C393)*(1-C392)</f>
        <v>#REF!</v>
      </c>
      <c r="D391" s="526" t="e">
        <f t="shared" si="2546"/>
        <v>#REF!</v>
      </c>
      <c r="E391" s="526" t="e">
        <f t="shared" si="2546"/>
        <v>#REF!</v>
      </c>
      <c r="F391" s="527" t="e">
        <f t="shared" si="2546"/>
        <v>#REF!</v>
      </c>
      <c r="G391" s="526" t="e">
        <f t="shared" si="2546"/>
        <v>#REF!</v>
      </c>
      <c r="H391" s="526" t="e">
        <f t="shared" si="2546"/>
        <v>#REF!</v>
      </c>
      <c r="I391" s="526" t="e">
        <f t="shared" si="2546"/>
        <v>#REF!</v>
      </c>
      <c r="J391" s="527" t="e">
        <f t="shared" si="2546"/>
        <v>#REF!</v>
      </c>
      <c r="K391" s="526" t="e">
        <f t="shared" si="2546"/>
        <v>#REF!</v>
      </c>
      <c r="L391" s="526" t="e">
        <f t="shared" si="2546"/>
        <v>#REF!</v>
      </c>
      <c r="M391" s="526" t="e">
        <f t="shared" si="2546"/>
        <v>#REF!</v>
      </c>
      <c r="N391" s="527" t="e">
        <f t="shared" ref="N391:O391" si="2547">(N393)*(1-N392)</f>
        <v>#REF!</v>
      </c>
      <c r="O391" s="526" t="e">
        <f t="shared" si="2547"/>
        <v>#REF!</v>
      </c>
      <c r="P391" s="526" t="e">
        <f t="shared" ref="P391:R391" si="2548">(P393)*(1-P392)</f>
        <v>#REF!</v>
      </c>
      <c r="Q391" s="526" t="e">
        <f t="shared" si="2548"/>
        <v>#REF!</v>
      </c>
      <c r="R391" s="527">
        <f t="shared" si="2548"/>
        <v>164854.79999999999</v>
      </c>
      <c r="S391" s="526">
        <f t="shared" ref="S391" si="2549">(S393)*(1-S392)</f>
        <v>69012.899999999994</v>
      </c>
      <c r="T391" s="526">
        <f t="shared" ref="T391:U391" si="2550">(T393)*(1-T392)</f>
        <v>84224.579999999987</v>
      </c>
      <c r="U391" s="526">
        <f t="shared" si="2550"/>
        <v>62201.69999999999</v>
      </c>
      <c r="V391" s="526">
        <f t="shared" ref="V391" si="2551">(V393)*(1-V392)</f>
        <v>233867.69999999998</v>
      </c>
      <c r="W391" s="528" t="e">
        <f>(W393)*(1-W392)</f>
        <v>#REF!</v>
      </c>
      <c r="X391" s="529" t="e">
        <f>(X393)*(1-X392)</f>
        <v>#REF!</v>
      </c>
      <c r="Y391" s="530" t="e">
        <f>(Y393)*(1-Y392)</f>
        <v>#REF!</v>
      </c>
      <c r="Z391" s="528" t="e">
        <f t="shared" ref="Z391:AC391" si="2552">(Z393)*(1-Z392)</f>
        <v>#REF!</v>
      </c>
      <c r="AA391" s="526">
        <f t="shared" si="2552"/>
        <v>68345.639999999985</v>
      </c>
      <c r="AB391" s="526">
        <f t="shared" si="2552"/>
        <v>76209.539999999994</v>
      </c>
      <c r="AC391" s="528" t="e">
        <f t="shared" si="2552"/>
        <v>#REF!</v>
      </c>
      <c r="AD391" s="528" t="e">
        <f t="shared" ref="AD391:AE391" si="2553">(AD393)*(1-AD392)</f>
        <v>#REF!</v>
      </c>
      <c r="AE391" s="529" t="e">
        <f t="shared" si="2553"/>
        <v>#REF!</v>
      </c>
      <c r="AF391" s="528" t="e">
        <f t="shared" ref="AF391:AJ391" si="2554">(AF393)*(1-AF392)</f>
        <v>#REF!</v>
      </c>
      <c r="AG391" s="528" t="e">
        <f t="shared" si="2554"/>
        <v>#REF!</v>
      </c>
      <c r="AH391" s="526">
        <f t="shared" si="2554"/>
        <v>51749.95193697459</v>
      </c>
      <c r="AI391" s="526">
        <f t="shared" si="2554"/>
        <v>80457.948063025411</v>
      </c>
      <c r="AJ391" s="528" t="e">
        <f t="shared" si="2554"/>
        <v>#REF!</v>
      </c>
      <c r="AK391" s="528" t="e">
        <f t="shared" ref="AK391" si="2555">(AK393)*(1-AK392)</f>
        <v>#REF!</v>
      </c>
      <c r="AL391" s="529" t="e">
        <f t="shared" ref="AL391:AM391" si="2556">(AL393)*(1-AL392)</f>
        <v>#REF!</v>
      </c>
      <c r="AM391" s="528" t="e">
        <f t="shared" si="2556"/>
        <v>#REF!</v>
      </c>
      <c r="AN391" s="528" t="e">
        <f>AQ391-AM391</f>
        <v>#REF!</v>
      </c>
      <c r="AO391" s="528" t="e">
        <f>AR391-AQ391</f>
        <v>#REF!</v>
      </c>
      <c r="AP391" s="528" t="e">
        <f>AS391-AR391</f>
        <v>#REF!</v>
      </c>
      <c r="AQ391" s="528" t="e">
        <f t="shared" ref="AQ391:AR391" si="2557">(AQ393)*(1-AQ392)</f>
        <v>#REF!</v>
      </c>
      <c r="AR391" s="528" t="e">
        <f t="shared" si="2557"/>
        <v>#REF!</v>
      </c>
      <c r="AS391" s="529" t="e">
        <f t="shared" ref="AS391:AT391" si="2558">(AS393)*(1-AS392)</f>
        <v>#REF!</v>
      </c>
      <c r="AT391" s="528">
        <f t="shared" si="2558"/>
        <v>10581.528341999992</v>
      </c>
      <c r="AU391" s="528">
        <f t="shared" ref="AU391:AY391" si="2559">(AU393)*(1-AU392)</f>
        <v>10438.194289436387</v>
      </c>
      <c r="AV391" s="528">
        <f t="shared" si="2559"/>
        <v>30995.095032000001</v>
      </c>
      <c r="AW391" s="528">
        <f t="shared" ref="AW391" si="2560">(AW393)*(1-AW392)</f>
        <v>15251.308511999974</v>
      </c>
      <c r="AX391" s="528">
        <f t="shared" si="2559"/>
        <v>20792.058473999983</v>
      </c>
      <c r="AY391" s="528">
        <f t="shared" si="2559"/>
        <v>46454.353506000014</v>
      </c>
      <c r="AZ391" s="528">
        <f t="shared" ref="AZ391:BA391" si="2561">(AZ393)*(1-AZ392)</f>
        <v>61706.322018000021</v>
      </c>
      <c r="BA391" s="528">
        <f t="shared" si="2561"/>
        <v>20281.8</v>
      </c>
      <c r="BB391" s="528">
        <f t="shared" ref="BB391:BC391" si="2562">(BB393)*(1-BB392)</f>
        <v>13110.239999999998</v>
      </c>
      <c r="BC391" s="528">
        <f t="shared" si="2562"/>
        <v>-1490.2799999999997</v>
      </c>
      <c r="BD391" s="528">
        <f t="shared" ref="BD391" si="2563">(BD393)*(1-BD392)</f>
        <v>732.59999999999991</v>
      </c>
      <c r="BE391" s="528">
        <f t="shared" ref="BE391:BF391" si="2564">(BE393)*(1-BE392)</f>
        <v>27586.019999999997</v>
      </c>
      <c r="BF391" s="528">
        <f t="shared" si="2564"/>
        <v>26095.739999999998</v>
      </c>
      <c r="BG391" s="528">
        <f t="shared" ref="BG391:BH391" si="2565">(BG393)*(1-BG392)</f>
        <v>27052.079999999998</v>
      </c>
      <c r="BH391" s="528">
        <f t="shared" si="2565"/>
        <v>-13945.139999999998</v>
      </c>
      <c r="BI391" s="528">
        <f t="shared" ref="BI391:BL391" si="2566">(BI393)*(1-BI392)</f>
        <v>-18561.179999999997</v>
      </c>
      <c r="BJ391" s="528">
        <f t="shared" si="2566"/>
        <v>62168.039999999994</v>
      </c>
      <c r="BK391" s="528">
        <f t="shared" si="2566"/>
        <v>-624.3599999999999</v>
      </c>
      <c r="BL391" s="528">
        <f t="shared" si="2566"/>
        <v>-32506.319999999996</v>
      </c>
      <c r="BM391" s="528">
        <f t="shared" ref="BM391:BN391" si="2567">(BM393)*(1-BM392)</f>
        <v>29661.719999999998</v>
      </c>
      <c r="BN391" s="528">
        <f t="shared" si="2567"/>
        <v>29037.359999999997</v>
      </c>
      <c r="BO391" s="528">
        <f t="shared" ref="BO391:BS391" si="2568">(BO393)*(1-BO392)</f>
        <v>2876.2799999999997</v>
      </c>
      <c r="BP391" s="528">
        <f t="shared" si="2568"/>
        <v>-159187.69987988798</v>
      </c>
      <c r="BQ391" s="528">
        <f t="shared" si="2568"/>
        <v>28581.140060055994</v>
      </c>
      <c r="BR391" s="528">
        <f t="shared" si="2568"/>
        <v>31475.879819831989</v>
      </c>
      <c r="BS391" s="528">
        <f t="shared" si="2568"/>
        <v>44306.800120112006</v>
      </c>
      <c r="BT391" s="528">
        <f t="shared" ref="BT391:BU391" si="2569">(BT393)*(1-BT392)</f>
        <v>74876.520180167994</v>
      </c>
      <c r="BU391" s="528">
        <f t="shared" si="2569"/>
        <v>109971.83999999998</v>
      </c>
      <c r="BV391" s="528">
        <f t="shared" ref="BV391:BZ391" si="2570">(BV393)*(1-BV392)</f>
        <v>33265.319999999992</v>
      </c>
      <c r="BW391" s="528">
        <f t="shared" si="2570"/>
        <v>36041.939999999995</v>
      </c>
      <c r="BX391" s="528">
        <f t="shared" si="2570"/>
        <v>99475.859999999986</v>
      </c>
      <c r="BY391" s="528">
        <f t="shared" si="2570"/>
        <v>71806.01999999999</v>
      </c>
      <c r="BZ391" s="528">
        <f t="shared" si="2570"/>
        <v>70284.719999999987</v>
      </c>
      <c r="CA391" s="528">
        <f t="shared" ref="CA391:CB391" si="2571">(CA393)*(1-CA392)</f>
        <v>169760.58</v>
      </c>
      <c r="CB391" s="528">
        <f t="shared" si="2571"/>
        <v>244622.39999999997</v>
      </c>
      <c r="CC391" s="528">
        <f t="shared" ref="CC391:CD391" si="2572">(CC393)*(1-CC392)</f>
        <v>18090.599999999999</v>
      </c>
      <c r="CD391" s="528">
        <f t="shared" si="2572"/>
        <v>31250.339999999997</v>
      </c>
      <c r="CE391" s="528">
        <f t="shared" ref="CE391:CG391" si="2573">(CE393)*(1-CE392)</f>
        <v>98477.939999999988</v>
      </c>
      <c r="CF391" s="528">
        <f t="shared" si="2573"/>
        <v>63450.419999999991</v>
      </c>
      <c r="CG391" s="528">
        <f t="shared" si="2573"/>
        <v>49391.759999999995</v>
      </c>
      <c r="CH391" s="528">
        <f t="shared" ref="CH391:CI391" si="2574">(CH393)*(1-CH392)</f>
        <v>146203.19999999998</v>
      </c>
      <c r="CI391" s="528">
        <f t="shared" si="2574"/>
        <v>215274.83999999997</v>
      </c>
      <c r="CJ391" s="528">
        <v>16140.299999999997</v>
      </c>
      <c r="CK391" s="528">
        <f t="shared" ref="CK391" si="2575">(CK393)*(1-CK392)</f>
        <v>21831.479999999996</v>
      </c>
      <c r="CL391" s="528">
        <f t="shared" ref="CL391:CO391" si="2576">(CL393)*(1-CL392)</f>
        <v>-65.339999999999989</v>
      </c>
      <c r="CM391" s="528">
        <f t="shared" si="2576"/>
        <v>-64.679999999999993</v>
      </c>
      <c r="CN391" s="528">
        <f t="shared" si="2576"/>
        <v>38040.42</v>
      </c>
      <c r="CO391" s="528">
        <f t="shared" si="2576"/>
        <v>-63.359999999999992</v>
      </c>
    </row>
    <row r="392" spans="1:93" s="289" customFormat="1" x14ac:dyDescent="0.25">
      <c r="A392" s="301" t="str">
        <f>Language!C312</f>
        <v>(*1-) Impostos</v>
      </c>
      <c r="B392" s="592">
        <v>0.34</v>
      </c>
      <c r="C392" s="592">
        <v>0.34</v>
      </c>
      <c r="D392" s="592">
        <v>0.34</v>
      </c>
      <c r="E392" s="592">
        <v>0.34</v>
      </c>
      <c r="F392" s="593">
        <v>0.34</v>
      </c>
      <c r="G392" s="592">
        <v>0.34</v>
      </c>
      <c r="H392" s="592">
        <v>0.34</v>
      </c>
      <c r="I392" s="592">
        <v>0.34</v>
      </c>
      <c r="J392" s="593">
        <v>0.34</v>
      </c>
      <c r="K392" s="592">
        <v>0.34</v>
      </c>
      <c r="L392" s="592">
        <v>0.34</v>
      </c>
      <c r="M392" s="592">
        <v>0.34</v>
      </c>
      <c r="N392" s="593">
        <v>0.34</v>
      </c>
      <c r="O392" s="592">
        <v>0.34</v>
      </c>
      <c r="P392" s="592">
        <v>0.34</v>
      </c>
      <c r="Q392" s="592">
        <v>0.34</v>
      </c>
      <c r="R392" s="593">
        <v>0.34</v>
      </c>
      <c r="S392" s="592">
        <v>0.34</v>
      </c>
      <c r="T392" s="592">
        <v>0.34</v>
      </c>
      <c r="U392" s="592">
        <v>0.34</v>
      </c>
      <c r="V392" s="592">
        <v>0.34</v>
      </c>
      <c r="W392" s="594">
        <v>0.34</v>
      </c>
      <c r="X392" s="595">
        <v>0.34</v>
      </c>
      <c r="Y392" s="596">
        <v>0.34</v>
      </c>
      <c r="Z392" s="594">
        <v>0.34</v>
      </c>
      <c r="AA392" s="592">
        <v>0.34</v>
      </c>
      <c r="AB392" s="592">
        <v>0.34</v>
      </c>
      <c r="AC392" s="594">
        <v>0.34</v>
      </c>
      <c r="AD392" s="594">
        <v>0.34</v>
      </c>
      <c r="AE392" s="595">
        <v>0.34</v>
      </c>
      <c r="AF392" s="594">
        <v>0.34</v>
      </c>
      <c r="AG392" s="594">
        <v>0.34</v>
      </c>
      <c r="AH392" s="592">
        <v>0.34</v>
      </c>
      <c r="AI392" s="592">
        <v>0.34</v>
      </c>
      <c r="AJ392" s="594">
        <v>0.34</v>
      </c>
      <c r="AK392" s="594">
        <v>0.34</v>
      </c>
      <c r="AL392" s="595">
        <v>0.34</v>
      </c>
      <c r="AM392" s="594">
        <v>0.34</v>
      </c>
      <c r="AN392" s="594">
        <f>AQ392</f>
        <v>0.34</v>
      </c>
      <c r="AO392" s="594">
        <f>AR392</f>
        <v>0.34</v>
      </c>
      <c r="AP392" s="594">
        <f>AS392</f>
        <v>0.34</v>
      </c>
      <c r="AQ392" s="594">
        <v>0.34</v>
      </c>
      <c r="AR392" s="594">
        <v>0.34</v>
      </c>
      <c r="AS392" s="595">
        <v>0.34</v>
      </c>
      <c r="AT392" s="594">
        <v>0.34</v>
      </c>
      <c r="AU392" s="594">
        <v>0.34</v>
      </c>
      <c r="AV392" s="594">
        <v>0.34</v>
      </c>
      <c r="AW392" s="594">
        <v>0.34</v>
      </c>
      <c r="AX392" s="594">
        <v>0.34</v>
      </c>
      <c r="AY392" s="594">
        <v>0.34</v>
      </c>
      <c r="AZ392" s="594">
        <v>0.34</v>
      </c>
      <c r="BA392" s="594">
        <v>0.34</v>
      </c>
      <c r="BB392" s="594">
        <v>0.34</v>
      </c>
      <c r="BC392" s="594">
        <v>0.34</v>
      </c>
      <c r="BD392" s="594">
        <v>0.34</v>
      </c>
      <c r="BE392" s="594">
        <v>0.34</v>
      </c>
      <c r="BF392" s="594">
        <v>0.34</v>
      </c>
      <c r="BG392" s="594">
        <v>0.34</v>
      </c>
      <c r="BH392" s="594">
        <v>0.34</v>
      </c>
      <c r="BI392" s="594">
        <v>0.34</v>
      </c>
      <c r="BJ392" s="594">
        <v>0.34</v>
      </c>
      <c r="BK392" s="594">
        <v>0.34</v>
      </c>
      <c r="BL392" s="594">
        <v>0.34</v>
      </c>
      <c r="BM392" s="594">
        <v>0.34</v>
      </c>
      <c r="BN392" s="594">
        <v>0.34</v>
      </c>
      <c r="BO392" s="594">
        <v>0.34</v>
      </c>
      <c r="BP392" s="594">
        <v>0.34</v>
      </c>
      <c r="BQ392" s="594">
        <v>0.34</v>
      </c>
      <c r="BR392" s="594">
        <v>0.34</v>
      </c>
      <c r="BS392" s="594">
        <v>0.34</v>
      </c>
      <c r="BT392" s="594">
        <v>0.34</v>
      </c>
      <c r="BU392" s="594">
        <v>0.34</v>
      </c>
      <c r="BV392" s="594">
        <v>0.34</v>
      </c>
      <c r="BW392" s="594">
        <v>0.34</v>
      </c>
      <c r="BX392" s="594">
        <v>0.34</v>
      </c>
      <c r="BY392" s="594">
        <v>0.34</v>
      </c>
      <c r="BZ392" s="594">
        <v>0.34</v>
      </c>
      <c r="CA392" s="594">
        <v>0.34</v>
      </c>
      <c r="CB392" s="594">
        <v>0.34</v>
      </c>
      <c r="CC392" s="594">
        <v>0.34</v>
      </c>
      <c r="CD392" s="594">
        <v>0.34</v>
      </c>
      <c r="CE392" s="594">
        <v>0.34</v>
      </c>
      <c r="CF392" s="594">
        <v>0.34</v>
      </c>
      <c r="CG392" s="594">
        <v>0.34</v>
      </c>
      <c r="CH392" s="594">
        <v>0.34</v>
      </c>
      <c r="CI392" s="594">
        <v>0.34</v>
      </c>
      <c r="CJ392" s="594">
        <v>0.34</v>
      </c>
      <c r="CK392" s="594">
        <v>0.34</v>
      </c>
      <c r="CL392" s="594">
        <v>0.34</v>
      </c>
      <c r="CM392" s="594">
        <v>0.34</v>
      </c>
      <c r="CN392" s="594">
        <v>0.34</v>
      </c>
      <c r="CO392" s="594">
        <v>0.34</v>
      </c>
    </row>
    <row r="393" spans="1:93" s="289" customFormat="1" x14ac:dyDescent="0.25">
      <c r="A393" s="301" t="str">
        <f>Language!C313</f>
        <v>(=) EBIT Ajustado antes do D&amp;A Reavaliação</v>
      </c>
      <c r="B393" s="291" t="e">
        <f>SUM(B394,B397)</f>
        <v>#REF!</v>
      </c>
      <c r="C393" s="291" t="e">
        <f t="shared" ref="C393:M393" si="2577">SUM(C394,C397)</f>
        <v>#REF!</v>
      </c>
      <c r="D393" s="291" t="e">
        <f t="shared" si="2577"/>
        <v>#REF!</v>
      </c>
      <c r="E393" s="291" t="e">
        <f t="shared" si="2577"/>
        <v>#REF!</v>
      </c>
      <c r="F393" s="290" t="e">
        <f t="shared" si="2577"/>
        <v>#REF!</v>
      </c>
      <c r="G393" s="291" t="e">
        <f t="shared" si="2577"/>
        <v>#REF!</v>
      </c>
      <c r="H393" s="291" t="e">
        <f t="shared" si="2577"/>
        <v>#REF!</v>
      </c>
      <c r="I393" s="291" t="e">
        <f t="shared" si="2577"/>
        <v>#REF!</v>
      </c>
      <c r="J393" s="290" t="e">
        <f t="shared" si="2577"/>
        <v>#REF!</v>
      </c>
      <c r="K393" s="291" t="e">
        <f t="shared" si="2577"/>
        <v>#REF!</v>
      </c>
      <c r="L393" s="291" t="e">
        <f t="shared" si="2577"/>
        <v>#REF!</v>
      </c>
      <c r="M393" s="291" t="e">
        <f t="shared" si="2577"/>
        <v>#REF!</v>
      </c>
      <c r="N393" s="290" t="e">
        <f t="shared" ref="N393:O393" si="2578">SUM(N394,N397)</f>
        <v>#REF!</v>
      </c>
      <c r="O393" s="291" t="e">
        <f t="shared" si="2578"/>
        <v>#REF!</v>
      </c>
      <c r="P393" s="291" t="e">
        <f>SUM(P394,P397)</f>
        <v>#REF!</v>
      </c>
      <c r="Q393" s="291" t="e">
        <f t="shared" ref="Q393:R393" si="2579">SUM(Q394,Q397)</f>
        <v>#REF!</v>
      </c>
      <c r="R393" s="290">
        <f t="shared" si="2579"/>
        <v>249780</v>
      </c>
      <c r="S393" s="291">
        <f t="shared" ref="S393:W393" si="2580">SUM(S394,S397)</f>
        <v>104565</v>
      </c>
      <c r="T393" s="291">
        <f t="shared" ref="T393:U393" si="2581">SUM(T394,T397)</f>
        <v>127613</v>
      </c>
      <c r="U393" s="291">
        <f t="shared" si="2581"/>
        <v>94245</v>
      </c>
      <c r="V393" s="291">
        <f t="shared" ref="V393" si="2582">SUM(V394,V397)</f>
        <v>354345</v>
      </c>
      <c r="W393" s="292" t="e">
        <f t="shared" si="2580"/>
        <v>#REF!</v>
      </c>
      <c r="X393" s="293" t="e">
        <f t="shared" ref="X393" si="2583">SUM(X394,X397)</f>
        <v>#REF!</v>
      </c>
      <c r="Y393" s="294" t="e">
        <f t="shared" ref="Y393:AC393" si="2584">SUM(Y394,Y397)</f>
        <v>#REF!</v>
      </c>
      <c r="Z393" s="292" t="e">
        <f t="shared" si="2584"/>
        <v>#REF!</v>
      </c>
      <c r="AA393" s="291">
        <f t="shared" si="2584"/>
        <v>103554</v>
      </c>
      <c r="AB393" s="291">
        <f t="shared" si="2584"/>
        <v>115469</v>
      </c>
      <c r="AC393" s="292" t="e">
        <f t="shared" si="2584"/>
        <v>#REF!</v>
      </c>
      <c r="AD393" s="292" t="e">
        <f t="shared" ref="AD393:AE393" si="2585">SUM(AD394,AD397)</f>
        <v>#REF!</v>
      </c>
      <c r="AE393" s="293" t="e">
        <f t="shared" si="2585"/>
        <v>#REF!</v>
      </c>
      <c r="AF393" s="292" t="e">
        <f t="shared" ref="AF393:AJ393" si="2586">SUM(AF394,AF397)</f>
        <v>#REF!</v>
      </c>
      <c r="AG393" s="292" t="e">
        <f t="shared" si="2586"/>
        <v>#REF!</v>
      </c>
      <c r="AH393" s="291">
        <f t="shared" si="2586"/>
        <v>78409.018086325144</v>
      </c>
      <c r="AI393" s="291">
        <f t="shared" si="2586"/>
        <v>121905.98191367488</v>
      </c>
      <c r="AJ393" s="292" t="e">
        <f t="shared" si="2586"/>
        <v>#REF!</v>
      </c>
      <c r="AK393" s="292" t="e">
        <f t="shared" ref="AK393" si="2587">SUM(AK394,AK397)</f>
        <v>#REF!</v>
      </c>
      <c r="AL393" s="293" t="e">
        <f t="shared" ref="AL393:AM393" si="2588">SUM(AL394,AL397)</f>
        <v>#REF!</v>
      </c>
      <c r="AM393" s="292" t="e">
        <f t="shared" si="2588"/>
        <v>#REF!</v>
      </c>
      <c r="AN393" s="292" t="e">
        <f t="shared" ref="AN393:AN397" si="2589">AQ393-AM393</f>
        <v>#REF!</v>
      </c>
      <c r="AO393" s="292" t="e">
        <f t="shared" ref="AO393:AP397" si="2590">AR393-AQ393</f>
        <v>#REF!</v>
      </c>
      <c r="AP393" s="292" t="e">
        <f t="shared" si="2590"/>
        <v>#REF!</v>
      </c>
      <c r="AQ393" s="292" t="e">
        <f t="shared" ref="AQ393:AR393" si="2591">SUM(AQ394,AQ397)</f>
        <v>#REF!</v>
      </c>
      <c r="AR393" s="292" t="e">
        <f t="shared" si="2591"/>
        <v>#REF!</v>
      </c>
      <c r="AS393" s="293" t="e">
        <f t="shared" ref="AS393:AU393" si="2592">SUM(AS394,AS397)</f>
        <v>#REF!</v>
      </c>
      <c r="AT393" s="292">
        <f t="shared" si="2592"/>
        <v>16032.61869999999</v>
      </c>
      <c r="AU393" s="292">
        <f t="shared" si="2592"/>
        <v>15815.445893085436</v>
      </c>
      <c r="AV393" s="292">
        <f t="shared" ref="AV393:AY393" si="2593">SUM(AV394,AV397)</f>
        <v>46962.265200000009</v>
      </c>
      <c r="AW393" s="292">
        <f t="shared" ref="AW393:AX393" si="2594">SUM(AW394,AW397)</f>
        <v>23108.043199999964</v>
      </c>
      <c r="AX393" s="292">
        <f t="shared" si="2594"/>
        <v>31503.118899999976</v>
      </c>
      <c r="AY393" s="292">
        <f t="shared" si="2593"/>
        <v>70385.384100000025</v>
      </c>
      <c r="AZ393" s="292">
        <f t="shared" ref="AZ393:BA393" si="2595">SUM(AZ394,AZ397)</f>
        <v>93494.427300000039</v>
      </c>
      <c r="BA393" s="292">
        <f t="shared" si="2595"/>
        <v>30730</v>
      </c>
      <c r="BB393" s="292">
        <f t="shared" ref="BB393:BC393" si="2596">SUM(BB394,BB397)</f>
        <v>19864</v>
      </c>
      <c r="BC393" s="292">
        <f t="shared" si="2596"/>
        <v>-2258</v>
      </c>
      <c r="BD393" s="292">
        <f t="shared" ref="BD393" si="2597">SUM(BD394,BD397)</f>
        <v>1110</v>
      </c>
      <c r="BE393" s="292">
        <f t="shared" ref="BE393:BF393" si="2598">SUM(BE394,BE397)</f>
        <v>41797</v>
      </c>
      <c r="BF393" s="292">
        <f t="shared" si="2598"/>
        <v>39539</v>
      </c>
      <c r="BG393" s="292">
        <f t="shared" ref="BG393:BH393" si="2599">SUM(BG394,BG397)</f>
        <v>40988</v>
      </c>
      <c r="BH393" s="292">
        <f t="shared" si="2599"/>
        <v>-21129</v>
      </c>
      <c r="BI393" s="292">
        <f t="shared" ref="BI393:BL393" si="2600">SUM(BI394,BI397)</f>
        <v>-28123</v>
      </c>
      <c r="BJ393" s="292">
        <f t="shared" si="2600"/>
        <v>94194</v>
      </c>
      <c r="BK393" s="292">
        <f t="shared" si="2600"/>
        <v>-946</v>
      </c>
      <c r="BL393" s="292">
        <f t="shared" si="2600"/>
        <v>-49252</v>
      </c>
      <c r="BM393" s="292">
        <f t="shared" ref="BM393:BN393" si="2601">SUM(BM394,BM397)</f>
        <v>44942</v>
      </c>
      <c r="BN393" s="292">
        <f t="shared" si="2601"/>
        <v>43996</v>
      </c>
      <c r="BO393" s="292">
        <f t="shared" ref="BO393:BS393" si="2602">SUM(BO394,BO397)</f>
        <v>4358</v>
      </c>
      <c r="BP393" s="292">
        <f t="shared" si="2602"/>
        <v>-241193.48466649695</v>
      </c>
      <c r="BQ393" s="292">
        <f t="shared" si="2602"/>
        <v>43304.75766675151</v>
      </c>
      <c r="BR393" s="292">
        <f t="shared" si="2602"/>
        <v>47690.726999745442</v>
      </c>
      <c r="BS393" s="292">
        <f t="shared" si="2602"/>
        <v>67131.515333503048</v>
      </c>
      <c r="BT393" s="292">
        <f t="shared" ref="BT393:BU393" si="2603">SUM(BT394,BT397)</f>
        <v>113449.27300025456</v>
      </c>
      <c r="BU393" s="292">
        <f t="shared" si="2603"/>
        <v>166624</v>
      </c>
      <c r="BV393" s="292">
        <f t="shared" ref="BV393:BZ393" si="2604">SUM(BV394,BV397)</f>
        <v>50402</v>
      </c>
      <c r="BW393" s="292">
        <f t="shared" si="2604"/>
        <v>54609</v>
      </c>
      <c r="BX393" s="292">
        <f t="shared" si="2604"/>
        <v>150721</v>
      </c>
      <c r="BY393" s="292">
        <f t="shared" si="2604"/>
        <v>108797</v>
      </c>
      <c r="BZ393" s="292">
        <f t="shared" si="2604"/>
        <v>106491.99999999999</v>
      </c>
      <c r="CA393" s="292">
        <f t="shared" ref="CA393:CB393" si="2605">SUM(CA394,CA397)</f>
        <v>257213.00000000003</v>
      </c>
      <c r="CB393" s="292">
        <f t="shared" si="2605"/>
        <v>370640</v>
      </c>
      <c r="CC393" s="292">
        <f t="shared" ref="CC393:CD393" si="2606">SUM(CC394,CC397)</f>
        <v>27410</v>
      </c>
      <c r="CD393" s="292">
        <f t="shared" si="2606"/>
        <v>47349</v>
      </c>
      <c r="CE393" s="292">
        <f t="shared" ref="CE393:CG393" si="2607">SUM(CE394,CE397)</f>
        <v>149209</v>
      </c>
      <c r="CF393" s="292">
        <f t="shared" si="2607"/>
        <v>96137</v>
      </c>
      <c r="CG393" s="292">
        <f t="shared" si="2607"/>
        <v>74836</v>
      </c>
      <c r="CH393" s="292">
        <f t="shared" ref="CH393:CI393" si="2608">SUM(CH394,CH397)</f>
        <v>221520</v>
      </c>
      <c r="CI393" s="292">
        <f t="shared" si="2608"/>
        <v>326174</v>
      </c>
      <c r="CJ393" s="292">
        <v>24455</v>
      </c>
      <c r="CK393" s="292">
        <f t="shared" ref="CK393" si="2609">SUM(CK394,CK397)</f>
        <v>33078</v>
      </c>
      <c r="CL393" s="292">
        <f t="shared" ref="CL393:CO393" si="2610">SUM(CL394,CL397)</f>
        <v>-99</v>
      </c>
      <c r="CM393" s="292">
        <f t="shared" si="2610"/>
        <v>-98</v>
      </c>
      <c r="CN393" s="292">
        <f t="shared" si="2610"/>
        <v>57637</v>
      </c>
      <c r="CO393" s="292">
        <f t="shared" si="2610"/>
        <v>-96</v>
      </c>
    </row>
    <row r="394" spans="1:93" s="289" customFormat="1" x14ac:dyDescent="0.25">
      <c r="A394" s="455" t="str">
        <f>Language!C314</f>
        <v>(+) EBIT Ajustado</v>
      </c>
      <c r="B394" s="291" t="e">
        <f>SUM(B395,-B396)</f>
        <v>#REF!</v>
      </c>
      <c r="C394" s="291" t="e">
        <f t="shared" ref="C394:M394" si="2611">SUM(C395,-C396)</f>
        <v>#REF!</v>
      </c>
      <c r="D394" s="291" t="e">
        <f t="shared" si="2611"/>
        <v>#REF!</v>
      </c>
      <c r="E394" s="291" t="e">
        <f t="shared" si="2611"/>
        <v>#REF!</v>
      </c>
      <c r="F394" s="290" t="e">
        <f t="shared" si="2611"/>
        <v>#REF!</v>
      </c>
      <c r="G394" s="291" t="e">
        <f t="shared" si="2611"/>
        <v>#REF!</v>
      </c>
      <c r="H394" s="291" t="e">
        <f t="shared" si="2611"/>
        <v>#REF!</v>
      </c>
      <c r="I394" s="291" t="e">
        <f t="shared" si="2611"/>
        <v>#REF!</v>
      </c>
      <c r="J394" s="290" t="e">
        <f t="shared" si="2611"/>
        <v>#REF!</v>
      </c>
      <c r="K394" s="291" t="e">
        <f t="shared" si="2611"/>
        <v>#REF!</v>
      </c>
      <c r="L394" s="291" t="e">
        <f t="shared" si="2611"/>
        <v>#REF!</v>
      </c>
      <c r="M394" s="291" t="e">
        <f t="shared" si="2611"/>
        <v>#REF!</v>
      </c>
      <c r="N394" s="290" t="e">
        <f t="shared" ref="N394:O394" si="2612">SUM(N395,-N396)</f>
        <v>#REF!</v>
      </c>
      <c r="O394" s="291" t="e">
        <f t="shared" si="2612"/>
        <v>#REF!</v>
      </c>
      <c r="P394" s="291" t="e">
        <f t="shared" ref="P394:R394" si="2613">SUM(P395,-P396)</f>
        <v>#REF!</v>
      </c>
      <c r="Q394" s="291" t="e">
        <f t="shared" si="2613"/>
        <v>#REF!</v>
      </c>
      <c r="R394" s="290">
        <f t="shared" si="2613"/>
        <v>238906</v>
      </c>
      <c r="S394" s="291">
        <f t="shared" ref="S394:W394" si="2614">SUM(S395,-S396)</f>
        <v>94611</v>
      </c>
      <c r="T394" s="291">
        <f t="shared" ref="T394:U394" si="2615">SUM(T395,-T396)</f>
        <v>118471</v>
      </c>
      <c r="U394" s="291">
        <f t="shared" si="2615"/>
        <v>86855</v>
      </c>
      <c r="V394" s="291">
        <f t="shared" ref="V394" si="2616">SUM(V395,-V396)</f>
        <v>333517</v>
      </c>
      <c r="W394" s="292" t="e">
        <f t="shared" si="2614"/>
        <v>#REF!</v>
      </c>
      <c r="X394" s="293" t="e">
        <f t="shared" ref="X394" si="2617">SUM(X395,-X396)</f>
        <v>#REF!</v>
      </c>
      <c r="Y394" s="294" t="e">
        <f t="shared" ref="Y394:AC394" si="2618">SUM(Y395,-Y396)</f>
        <v>#REF!</v>
      </c>
      <c r="Z394" s="292" t="e">
        <f t="shared" si="2618"/>
        <v>#REF!</v>
      </c>
      <c r="AA394" s="291">
        <f t="shared" si="2618"/>
        <v>94507</v>
      </c>
      <c r="AB394" s="291">
        <f t="shared" si="2618"/>
        <v>106453</v>
      </c>
      <c r="AC394" s="292" t="e">
        <f t="shared" si="2618"/>
        <v>#REF!</v>
      </c>
      <c r="AD394" s="292" t="e">
        <f t="shared" ref="AD394:AE394" si="2619">SUM(AD395,-AD396)</f>
        <v>#REF!</v>
      </c>
      <c r="AE394" s="293" t="e">
        <f t="shared" si="2619"/>
        <v>#REF!</v>
      </c>
      <c r="AF394" s="292" t="e">
        <f t="shared" ref="AF394:AJ394" si="2620">SUM(AF395,-AF396)</f>
        <v>#REF!</v>
      </c>
      <c r="AG394" s="292" t="e">
        <f t="shared" si="2620"/>
        <v>#REF!</v>
      </c>
      <c r="AH394" s="291">
        <f t="shared" si="2620"/>
        <v>98130.22112819209</v>
      </c>
      <c r="AI394" s="291">
        <f t="shared" si="2620"/>
        <v>114818.77887180794</v>
      </c>
      <c r="AJ394" s="292" t="e">
        <f t="shared" si="2620"/>
        <v>#REF!</v>
      </c>
      <c r="AK394" s="292" t="e">
        <f t="shared" ref="AK394" si="2621">SUM(AK395,-AK396)</f>
        <v>#REF!</v>
      </c>
      <c r="AL394" s="293" t="e">
        <f t="shared" ref="AL394:AM394" si="2622">SUM(AL395,-AL396)</f>
        <v>#REF!</v>
      </c>
      <c r="AM394" s="292" t="e">
        <f t="shared" si="2622"/>
        <v>#REF!</v>
      </c>
      <c r="AN394" s="292" t="e">
        <f t="shared" si="2589"/>
        <v>#REF!</v>
      </c>
      <c r="AO394" s="292" t="e">
        <f t="shared" si="2590"/>
        <v>#REF!</v>
      </c>
      <c r="AP394" s="292" t="e">
        <f t="shared" si="2590"/>
        <v>#REF!</v>
      </c>
      <c r="AQ394" s="292" t="e">
        <f t="shared" ref="AQ394:AR394" si="2623">SUM(AQ395,-AQ396)</f>
        <v>#REF!</v>
      </c>
      <c r="AR394" s="292" t="e">
        <f t="shared" si="2623"/>
        <v>#REF!</v>
      </c>
      <c r="AS394" s="293" t="e">
        <f t="shared" ref="AS394:AU394" si="2624">SUM(AS395,-AS396)</f>
        <v>#REF!</v>
      </c>
      <c r="AT394" s="292">
        <f t="shared" si="2624"/>
        <v>8324.93299999999</v>
      </c>
      <c r="AU394" s="292">
        <f t="shared" si="2624"/>
        <v>5209.3626930854371</v>
      </c>
      <c r="AV394" s="292">
        <f t="shared" ref="AV394:AY394" si="2625">SUM(AV395,-AV396)</f>
        <v>40357.067600000009</v>
      </c>
      <c r="AW394" s="292">
        <f t="shared" ref="AW394:AX394" si="2626">SUM(AW395,-AW396)</f>
        <v>14219.599199999968</v>
      </c>
      <c r="AX394" s="292">
        <f t="shared" si="2626"/>
        <v>13189.349999999977</v>
      </c>
      <c r="AY394" s="292">
        <f t="shared" si="2625"/>
        <v>45466.417600000015</v>
      </c>
      <c r="AZ394" s="292">
        <f t="shared" ref="AZ394:BA394" si="2627">SUM(AZ395,-AZ396)</f>
        <v>59687.016800000041</v>
      </c>
      <c r="BA394" s="292">
        <f t="shared" si="2627"/>
        <v>25638</v>
      </c>
      <c r="BB394" s="292">
        <f t="shared" ref="BB394:BC394" si="2628">SUM(BB395,-BB396)</f>
        <v>11546</v>
      </c>
      <c r="BC394" s="292">
        <f t="shared" si="2628"/>
        <v>-9439</v>
      </c>
      <c r="BD394" s="292">
        <f t="shared" ref="BD394" si="2629">SUM(BD395,-BD396)</f>
        <v>-4663</v>
      </c>
      <c r="BE394" s="292">
        <f t="shared" ref="BE394:BF394" si="2630">SUM(BE395,-BE396)</f>
        <v>33479</v>
      </c>
      <c r="BF394" s="292">
        <f t="shared" si="2630"/>
        <v>24040</v>
      </c>
      <c r="BG394" s="292">
        <f t="shared" ref="BG394:BH394" si="2631">SUM(BG395,-BG396)</f>
        <v>19716</v>
      </c>
      <c r="BH394" s="292">
        <f t="shared" si="2631"/>
        <v>-26157</v>
      </c>
      <c r="BI394" s="292">
        <f t="shared" ref="BI394:BL394" si="2632">SUM(BI395,-BI396)</f>
        <v>-27316</v>
      </c>
      <c r="BJ394" s="292">
        <f t="shared" si="2632"/>
        <v>92213</v>
      </c>
      <c r="BK394" s="292">
        <f t="shared" si="2632"/>
        <v>-94</v>
      </c>
      <c r="BL394" s="292">
        <f t="shared" si="2632"/>
        <v>-53473</v>
      </c>
      <c r="BM394" s="292">
        <f t="shared" ref="BM394:BN394" si="2633">SUM(BM395,-BM396)</f>
        <v>38740</v>
      </c>
      <c r="BN394" s="292">
        <f t="shared" si="2633"/>
        <v>38646</v>
      </c>
      <c r="BO394" s="292">
        <f t="shared" ref="BO394:BS394" si="2634">SUM(BO395,-BO396)</f>
        <v>4129</v>
      </c>
      <c r="BP394" s="292">
        <f t="shared" si="2634"/>
        <v>-241422.48466649695</v>
      </c>
      <c r="BQ394" s="292">
        <f t="shared" si="2634"/>
        <v>43074.75766675151</v>
      </c>
      <c r="BR394" s="292">
        <f t="shared" si="2634"/>
        <v>50473.726999745442</v>
      </c>
      <c r="BS394" s="292">
        <f t="shared" si="2634"/>
        <v>66673.515333503048</v>
      </c>
      <c r="BT394" s="292">
        <f t="shared" ref="BT394:BU394" si="2635">SUM(BT395,-BT396)</f>
        <v>109749.27300025456</v>
      </c>
      <c r="BU394" s="292">
        <f t="shared" si="2635"/>
        <v>165707</v>
      </c>
      <c r="BV394" s="292">
        <f t="shared" ref="BV394:BZ394" si="2636">SUM(BV395,-BV396)</f>
        <v>50164</v>
      </c>
      <c r="BW394" s="292">
        <f t="shared" si="2636"/>
        <v>54371</v>
      </c>
      <c r="BX394" s="292">
        <f t="shared" si="2636"/>
        <v>150483</v>
      </c>
      <c r="BY394" s="292">
        <f t="shared" si="2636"/>
        <v>108559</v>
      </c>
      <c r="BZ394" s="292">
        <f t="shared" si="2636"/>
        <v>106015.99999999999</v>
      </c>
      <c r="CA394" s="292">
        <f t="shared" ref="CA394:CB394" si="2637">SUM(CA395,-CA396)</f>
        <v>256499.00000000003</v>
      </c>
      <c r="CB394" s="292">
        <f t="shared" si="2637"/>
        <v>369527</v>
      </c>
      <c r="CC394" s="292">
        <f t="shared" ref="CC394:CD394" si="2638">SUM(CC395,-CC396)</f>
        <v>27163</v>
      </c>
      <c r="CD394" s="292">
        <f t="shared" si="2638"/>
        <v>47102</v>
      </c>
      <c r="CE394" s="292">
        <f t="shared" ref="CE394:CG394" si="2639">SUM(CE395,-CE396)</f>
        <v>148962</v>
      </c>
      <c r="CF394" s="292">
        <f t="shared" si="2639"/>
        <v>96137</v>
      </c>
      <c r="CG394" s="292">
        <f t="shared" si="2639"/>
        <v>74342</v>
      </c>
      <c r="CH394" s="292">
        <f t="shared" ref="CH394:CI394" si="2640">SUM(CH395,-CH396)</f>
        <v>220779</v>
      </c>
      <c r="CI394" s="292">
        <f t="shared" si="2640"/>
        <v>325186</v>
      </c>
      <c r="CJ394" s="292">
        <v>24199</v>
      </c>
      <c r="CK394" s="292">
        <f t="shared" ref="CK394" si="2641">SUM(CK395,-CK396)</f>
        <v>32821</v>
      </c>
      <c r="CL394" s="292">
        <f t="shared" ref="CL394:CO394" si="2642">SUM(CL395,-CL396)</f>
        <v>-99</v>
      </c>
      <c r="CM394" s="292">
        <f t="shared" si="2642"/>
        <v>-98</v>
      </c>
      <c r="CN394" s="292">
        <f t="shared" si="2642"/>
        <v>57124</v>
      </c>
      <c r="CO394" s="292">
        <f t="shared" si="2642"/>
        <v>-96</v>
      </c>
    </row>
    <row r="395" spans="1:93" s="289" customFormat="1" x14ac:dyDescent="0.25">
      <c r="A395" s="597" t="str">
        <f>Language!C315</f>
        <v>(+) EBITDA Ajustado</v>
      </c>
      <c r="B395" s="291" t="e">
        <f t="shared" ref="B395:AM395" si="2643">B375</f>
        <v>#REF!</v>
      </c>
      <c r="C395" s="291" t="e">
        <f t="shared" si="2643"/>
        <v>#REF!</v>
      </c>
      <c r="D395" s="291" t="e">
        <f t="shared" si="2643"/>
        <v>#REF!</v>
      </c>
      <c r="E395" s="291" t="e">
        <f t="shared" si="2643"/>
        <v>#REF!</v>
      </c>
      <c r="F395" s="290" t="e">
        <f t="shared" si="2643"/>
        <v>#REF!</v>
      </c>
      <c r="G395" s="291" t="e">
        <f t="shared" si="2643"/>
        <v>#REF!</v>
      </c>
      <c r="H395" s="291" t="e">
        <f t="shared" si="2643"/>
        <v>#REF!</v>
      </c>
      <c r="I395" s="291" t="e">
        <f t="shared" si="2643"/>
        <v>#REF!</v>
      </c>
      <c r="J395" s="290" t="e">
        <f t="shared" si="2643"/>
        <v>#REF!</v>
      </c>
      <c r="K395" s="291" t="e">
        <f t="shared" si="2643"/>
        <v>#REF!</v>
      </c>
      <c r="L395" s="291" t="e">
        <f t="shared" si="2643"/>
        <v>#REF!</v>
      </c>
      <c r="M395" s="291" t="e">
        <f t="shared" si="2643"/>
        <v>#REF!</v>
      </c>
      <c r="N395" s="290" t="e">
        <f t="shared" si="2643"/>
        <v>#REF!</v>
      </c>
      <c r="O395" s="291" t="e">
        <f t="shared" si="2643"/>
        <v>#REF!</v>
      </c>
      <c r="P395" s="291" t="e">
        <f t="shared" si="2643"/>
        <v>#REF!</v>
      </c>
      <c r="Q395" s="291" t="e">
        <f t="shared" si="2643"/>
        <v>#REF!</v>
      </c>
      <c r="R395" s="290">
        <f t="shared" si="2643"/>
        <v>291520</v>
      </c>
      <c r="S395" s="291">
        <f t="shared" si="2643"/>
        <v>147392</v>
      </c>
      <c r="T395" s="291">
        <f t="shared" si="2643"/>
        <v>174059</v>
      </c>
      <c r="U395" s="291">
        <f t="shared" si="2643"/>
        <v>138945</v>
      </c>
      <c r="V395" s="291">
        <f t="shared" si="2643"/>
        <v>438912</v>
      </c>
      <c r="W395" s="292" t="e">
        <f t="shared" si="2643"/>
        <v>#REF!</v>
      </c>
      <c r="X395" s="293" t="e">
        <f t="shared" si="2643"/>
        <v>#REF!</v>
      </c>
      <c r="Y395" s="294" t="e">
        <f t="shared" si="2643"/>
        <v>#REF!</v>
      </c>
      <c r="Z395" s="292" t="e">
        <f t="shared" si="2643"/>
        <v>#REF!</v>
      </c>
      <c r="AA395" s="291">
        <f t="shared" si="2643"/>
        <v>166803</v>
      </c>
      <c r="AB395" s="291">
        <f t="shared" si="2643"/>
        <v>178678</v>
      </c>
      <c r="AC395" s="292" t="e">
        <f t="shared" si="2643"/>
        <v>#REF!</v>
      </c>
      <c r="AD395" s="292" t="e">
        <f t="shared" si="2643"/>
        <v>#REF!</v>
      </c>
      <c r="AE395" s="293" t="e">
        <f t="shared" si="2643"/>
        <v>#REF!</v>
      </c>
      <c r="AF395" s="292" t="e">
        <f t="shared" si="2643"/>
        <v>#REF!</v>
      </c>
      <c r="AG395" s="292" t="e">
        <f t="shared" si="2643"/>
        <v>#REF!</v>
      </c>
      <c r="AH395" s="291">
        <f t="shared" si="2643"/>
        <v>53384.221128192105</v>
      </c>
      <c r="AI395" s="291">
        <f t="shared" si="2643"/>
        <v>67465.778871807925</v>
      </c>
      <c r="AJ395" s="292" t="e">
        <f t="shared" si="2643"/>
        <v>#REF!</v>
      </c>
      <c r="AK395" s="292" t="e">
        <f t="shared" si="2643"/>
        <v>#REF!</v>
      </c>
      <c r="AL395" s="293" t="e">
        <f t="shared" si="2643"/>
        <v>#REF!</v>
      </c>
      <c r="AM395" s="292" t="e">
        <f t="shared" si="2643"/>
        <v>#REF!</v>
      </c>
      <c r="AN395" s="292" t="e">
        <f t="shared" si="2589"/>
        <v>#REF!</v>
      </c>
      <c r="AO395" s="292" t="e">
        <f t="shared" si="2590"/>
        <v>#REF!</v>
      </c>
      <c r="AP395" s="292" t="e">
        <f t="shared" si="2590"/>
        <v>#REF!</v>
      </c>
      <c r="AQ395" s="292" t="e">
        <f t="shared" ref="AQ395:CI395" si="2644">AQ375</f>
        <v>#REF!</v>
      </c>
      <c r="AR395" s="292" t="e">
        <f t="shared" si="2644"/>
        <v>#REF!</v>
      </c>
      <c r="AS395" s="293" t="e">
        <f t="shared" si="2644"/>
        <v>#REF!</v>
      </c>
      <c r="AT395" s="292">
        <f t="shared" si="2644"/>
        <v>85225.837999999989</v>
      </c>
      <c r="AU395" s="292">
        <f t="shared" si="2644"/>
        <v>87528.019693085444</v>
      </c>
      <c r="AV395" s="292">
        <f t="shared" si="2644"/>
        <v>123602.20839999999</v>
      </c>
      <c r="AW395" s="292">
        <f t="shared" si="2644"/>
        <v>122494.31039999999</v>
      </c>
      <c r="AX395" s="292">
        <f t="shared" si="2644"/>
        <v>172408.91199999998</v>
      </c>
      <c r="AY395" s="292">
        <f t="shared" si="2644"/>
        <v>287931.12040000001</v>
      </c>
      <c r="AZ395" s="292">
        <f t="shared" si="2644"/>
        <v>410426.43080000003</v>
      </c>
      <c r="BA395" s="292">
        <f t="shared" si="2644"/>
        <v>110205</v>
      </c>
      <c r="BB395" s="292">
        <f t="shared" si="2644"/>
        <v>169045</v>
      </c>
      <c r="BC395" s="292">
        <f t="shared" si="2644"/>
        <v>91120</v>
      </c>
      <c r="BD395" s="292">
        <f t="shared" si="2644"/>
        <v>111908</v>
      </c>
      <c r="BE395" s="292">
        <f t="shared" si="2644"/>
        <v>190978</v>
      </c>
      <c r="BF395" s="292">
        <f t="shared" si="2644"/>
        <v>282098</v>
      </c>
      <c r="BG395" s="292">
        <f t="shared" si="2644"/>
        <v>394345</v>
      </c>
      <c r="BH395" s="292">
        <f t="shared" si="2644"/>
        <v>84567</v>
      </c>
      <c r="BI395" s="292">
        <f t="shared" si="2644"/>
        <v>89051</v>
      </c>
      <c r="BJ395" s="292">
        <f t="shared" si="2644"/>
        <v>148461</v>
      </c>
      <c r="BK395" s="292">
        <f t="shared" si="2644"/>
        <v>89961</v>
      </c>
      <c r="BL395" s="292">
        <f t="shared" si="2644"/>
        <v>173618</v>
      </c>
      <c r="BM395" s="292">
        <f t="shared" si="2644"/>
        <v>322079</v>
      </c>
      <c r="BN395" s="292">
        <f t="shared" si="2644"/>
        <v>412040</v>
      </c>
      <c r="BO395" s="292">
        <f t="shared" si="2644"/>
        <v>47750</v>
      </c>
      <c r="BP395" s="292">
        <f t="shared" si="2644"/>
        <v>-200684</v>
      </c>
      <c r="BQ395" s="292">
        <f t="shared" si="2644"/>
        <v>84410.999999999985</v>
      </c>
      <c r="BR395" s="292">
        <f t="shared" si="2644"/>
        <v>74261.969332993918</v>
      </c>
      <c r="BS395" s="292">
        <f t="shared" si="2644"/>
        <v>151033</v>
      </c>
      <c r="BT395" s="292">
        <f t="shared" si="2644"/>
        <v>238457</v>
      </c>
      <c r="BU395" s="292">
        <f t="shared" si="2644"/>
        <v>318202.9693329939</v>
      </c>
      <c r="BV395" s="292">
        <f t="shared" si="2644"/>
        <v>85921.9014207453</v>
      </c>
      <c r="BW395" s="292">
        <f t="shared" si="2644"/>
        <v>89972.456043027007</v>
      </c>
      <c r="BX395" s="292">
        <f t="shared" si="2644"/>
        <v>190299.67873188615</v>
      </c>
      <c r="BY395" s="292">
        <f t="shared" si="2644"/>
        <v>152977.67873188615</v>
      </c>
      <c r="BZ395" s="292">
        <f t="shared" si="2644"/>
        <v>177375.35746377229</v>
      </c>
      <c r="CA395" s="292">
        <f t="shared" si="2644"/>
        <v>367675.0361956585</v>
      </c>
      <c r="CB395" s="292">
        <f t="shared" si="2644"/>
        <v>525282.71492754458</v>
      </c>
      <c r="CC395" s="292">
        <f t="shared" si="2644"/>
        <v>65279.682523697826</v>
      </c>
      <c r="CD395" s="292">
        <f t="shared" si="2644"/>
        <v>88458.560834805699</v>
      </c>
      <c r="CE395" s="292">
        <f t="shared" si="2644"/>
        <v>194527.75664149647</v>
      </c>
      <c r="CF395" s="292">
        <f t="shared" si="2644"/>
        <v>96137</v>
      </c>
      <c r="CG395" s="292">
        <f t="shared" si="2644"/>
        <v>153815.24335850353</v>
      </c>
      <c r="CH395" s="292">
        <f t="shared" si="2644"/>
        <v>345818</v>
      </c>
      <c r="CI395" s="292">
        <f t="shared" si="2644"/>
        <v>487016</v>
      </c>
      <c r="CJ395" s="292">
        <v>66315</v>
      </c>
      <c r="CK395" s="292">
        <f t="shared" ref="CK395:CO395" si="2645">CK375</f>
        <v>104405</v>
      </c>
      <c r="CL395" s="292">
        <f t="shared" si="2645"/>
        <v>-99</v>
      </c>
      <c r="CM395" s="292">
        <f t="shared" si="2645"/>
        <v>-98</v>
      </c>
      <c r="CN395" s="292">
        <f t="shared" si="2645"/>
        <v>170824</v>
      </c>
      <c r="CO395" s="292">
        <f t="shared" si="2645"/>
        <v>-96</v>
      </c>
    </row>
    <row r="396" spans="1:93" s="289" customFormat="1" x14ac:dyDescent="0.25">
      <c r="A396" s="597" t="str">
        <f>Language!C316</f>
        <v>(-) Depreciação e Amortização</v>
      </c>
      <c r="B396" s="291">
        <f t="shared" ref="B396:AM396" si="2646">-B321</f>
        <v>25324</v>
      </c>
      <c r="C396" s="291">
        <f t="shared" si="2646"/>
        <v>26994</v>
      </c>
      <c r="D396" s="291">
        <f t="shared" si="2646"/>
        <v>23654</v>
      </c>
      <c r="E396" s="291">
        <f t="shared" si="2646"/>
        <v>26352</v>
      </c>
      <c r="F396" s="290">
        <f t="shared" si="2646"/>
        <v>28960</v>
      </c>
      <c r="G396" s="291">
        <f t="shared" si="2646"/>
        <v>33713</v>
      </c>
      <c r="H396" s="291">
        <f t="shared" si="2646"/>
        <v>27727</v>
      </c>
      <c r="I396" s="291">
        <f t="shared" si="2646"/>
        <v>32814</v>
      </c>
      <c r="J396" s="290">
        <f t="shared" si="2646"/>
        <v>34535</v>
      </c>
      <c r="K396" s="291">
        <f t="shared" si="2646"/>
        <v>35372</v>
      </c>
      <c r="L396" s="291">
        <f t="shared" si="2646"/>
        <v>36580</v>
      </c>
      <c r="M396" s="291">
        <f t="shared" si="2646"/>
        <v>37379</v>
      </c>
      <c r="N396" s="290">
        <f t="shared" si="2646"/>
        <v>41062</v>
      </c>
      <c r="O396" s="291">
        <f t="shared" si="2646"/>
        <v>43380</v>
      </c>
      <c r="P396" s="291">
        <f t="shared" si="2646"/>
        <v>42532</v>
      </c>
      <c r="Q396" s="291">
        <f t="shared" si="2646"/>
        <v>45048</v>
      </c>
      <c r="R396" s="290">
        <f t="shared" si="2646"/>
        <v>52614</v>
      </c>
      <c r="S396" s="291">
        <f t="shared" si="2646"/>
        <v>52781</v>
      </c>
      <c r="T396" s="291">
        <f t="shared" si="2646"/>
        <v>55588</v>
      </c>
      <c r="U396" s="291">
        <f t="shared" si="2646"/>
        <v>52090</v>
      </c>
      <c r="V396" s="291">
        <f t="shared" si="2646"/>
        <v>105395</v>
      </c>
      <c r="W396" s="292">
        <f t="shared" si="2646"/>
        <v>160983</v>
      </c>
      <c r="X396" s="293">
        <f t="shared" si="2646"/>
        <v>213073</v>
      </c>
      <c r="Y396" s="294">
        <f t="shared" si="2646"/>
        <v>70077</v>
      </c>
      <c r="Z396" s="292">
        <f t="shared" si="2646"/>
        <v>63456</v>
      </c>
      <c r="AA396" s="291">
        <f t="shared" si="2646"/>
        <v>72296</v>
      </c>
      <c r="AB396" s="291">
        <f t="shared" si="2646"/>
        <v>72225</v>
      </c>
      <c r="AC396" s="292">
        <f t="shared" si="2646"/>
        <v>133533</v>
      </c>
      <c r="AD396" s="292">
        <f t="shared" si="2646"/>
        <v>205829</v>
      </c>
      <c r="AE396" s="293">
        <f t="shared" si="2646"/>
        <v>278054</v>
      </c>
      <c r="AF396" s="292">
        <f t="shared" si="2646"/>
        <v>-95302.999999999985</v>
      </c>
      <c r="AG396" s="292">
        <f t="shared" si="2646"/>
        <v>-293017.00000000006</v>
      </c>
      <c r="AH396" s="291">
        <f t="shared" si="2646"/>
        <v>-44745.999999999985</v>
      </c>
      <c r="AI396" s="291">
        <f t="shared" si="2646"/>
        <v>-47353.000000000015</v>
      </c>
      <c r="AJ396" s="292">
        <f t="shared" si="2646"/>
        <v>-197714.00000000003</v>
      </c>
      <c r="AK396" s="292">
        <f t="shared" si="2646"/>
        <v>-242459.99999999997</v>
      </c>
      <c r="AL396" s="293">
        <f t="shared" si="2646"/>
        <v>-289813</v>
      </c>
      <c r="AM396" s="292">
        <f t="shared" si="2646"/>
        <v>52014</v>
      </c>
      <c r="AN396" s="292">
        <f t="shared" si="2589"/>
        <v>50194</v>
      </c>
      <c r="AO396" s="292">
        <f t="shared" si="2590"/>
        <v>59066</v>
      </c>
      <c r="AP396" s="292">
        <f t="shared" si="2590"/>
        <v>74206</v>
      </c>
      <c r="AQ396" s="292">
        <f t="shared" ref="AQ396:CI396" si="2647">-AQ321</f>
        <v>102208</v>
      </c>
      <c r="AR396" s="292">
        <f t="shared" si="2647"/>
        <v>161274</v>
      </c>
      <c r="AS396" s="293">
        <f t="shared" si="2647"/>
        <v>235480</v>
      </c>
      <c r="AT396" s="292">
        <f t="shared" si="2647"/>
        <v>76900.904999999999</v>
      </c>
      <c r="AU396" s="292">
        <f t="shared" si="2647"/>
        <v>82318.657000000007</v>
      </c>
      <c r="AV396" s="292">
        <f t="shared" si="2647"/>
        <v>83245.140799999979</v>
      </c>
      <c r="AW396" s="292">
        <f t="shared" si="2647"/>
        <v>108274.71120000002</v>
      </c>
      <c r="AX396" s="292">
        <f t="shared" si="2647"/>
        <v>159219.56200000001</v>
      </c>
      <c r="AY396" s="292">
        <f t="shared" si="2647"/>
        <v>242464.7028</v>
      </c>
      <c r="AZ396" s="734">
        <f t="shared" si="2647"/>
        <v>350739.41399999999</v>
      </c>
      <c r="BA396" s="734">
        <f t="shared" si="2647"/>
        <v>84567</v>
      </c>
      <c r="BB396" s="734">
        <f t="shared" si="2647"/>
        <v>157499</v>
      </c>
      <c r="BC396" s="734">
        <f t="shared" si="2647"/>
        <v>100559</v>
      </c>
      <c r="BD396" s="734">
        <f t="shared" si="2647"/>
        <v>116571</v>
      </c>
      <c r="BE396" s="734">
        <f t="shared" si="2647"/>
        <v>157499</v>
      </c>
      <c r="BF396" s="734">
        <f t="shared" si="2647"/>
        <v>258058</v>
      </c>
      <c r="BG396" s="734">
        <f t="shared" si="2647"/>
        <v>374629</v>
      </c>
      <c r="BH396" s="734">
        <f t="shared" si="2647"/>
        <v>110724</v>
      </c>
      <c r="BI396" s="734">
        <f t="shared" si="2647"/>
        <v>116367</v>
      </c>
      <c r="BJ396" s="734">
        <f t="shared" si="2647"/>
        <v>56248</v>
      </c>
      <c r="BK396" s="734">
        <f t="shared" si="2647"/>
        <v>90055</v>
      </c>
      <c r="BL396" s="734">
        <f t="shared" si="2647"/>
        <v>227091</v>
      </c>
      <c r="BM396" s="734">
        <f t="shared" si="2647"/>
        <v>283339</v>
      </c>
      <c r="BN396" s="734">
        <f t="shared" si="2647"/>
        <v>373394</v>
      </c>
      <c r="BO396" s="734">
        <f t="shared" si="2647"/>
        <v>43621</v>
      </c>
      <c r="BP396" s="734">
        <f t="shared" si="2647"/>
        <v>40738.484666496952</v>
      </c>
      <c r="BQ396" s="734">
        <f t="shared" si="2647"/>
        <v>41336.242333248476</v>
      </c>
      <c r="BR396" s="734">
        <f t="shared" si="2647"/>
        <v>23788.242333248476</v>
      </c>
      <c r="BS396" s="734">
        <f t="shared" si="2647"/>
        <v>84359.484666496952</v>
      </c>
      <c r="BT396" s="734">
        <f t="shared" si="2647"/>
        <v>128707.72699974544</v>
      </c>
      <c r="BU396" s="734">
        <f t="shared" si="2647"/>
        <v>152495.9693329939</v>
      </c>
      <c r="BV396" s="734">
        <f t="shared" si="2647"/>
        <v>35757.9014207453</v>
      </c>
      <c r="BW396" s="734">
        <f t="shared" si="2647"/>
        <v>35601.456043027007</v>
      </c>
      <c r="BX396" s="734">
        <f t="shared" si="2647"/>
        <v>39816.678731886153</v>
      </c>
      <c r="BY396" s="734">
        <f t="shared" si="2647"/>
        <v>44418.678731886153</v>
      </c>
      <c r="BZ396" s="292">
        <f t="shared" si="2647"/>
        <v>71359.357463772307</v>
      </c>
      <c r="CA396" s="292">
        <f t="shared" si="2647"/>
        <v>111176.03619565847</v>
      </c>
      <c r="CB396" s="292">
        <f t="shared" si="2647"/>
        <v>155755.71492754461</v>
      </c>
      <c r="CC396" s="292">
        <f t="shared" si="2647"/>
        <v>38116.682523697826</v>
      </c>
      <c r="CD396" s="292">
        <f t="shared" si="2647"/>
        <v>41356.560834805699</v>
      </c>
      <c r="CE396" s="292">
        <f t="shared" si="2647"/>
        <v>45565.756641496468</v>
      </c>
      <c r="CF396" s="292">
        <f t="shared" si="2647"/>
        <v>0</v>
      </c>
      <c r="CG396" s="292">
        <f t="shared" si="2647"/>
        <v>79473.243358503532</v>
      </c>
      <c r="CH396" s="292">
        <f t="shared" si="2647"/>
        <v>125039</v>
      </c>
      <c r="CI396" s="292">
        <f t="shared" si="2647"/>
        <v>161830</v>
      </c>
      <c r="CJ396" s="292">
        <v>42116</v>
      </c>
      <c r="CK396" s="292">
        <f t="shared" ref="CK396:CO396" si="2648">-CK321</f>
        <v>71584</v>
      </c>
      <c r="CL396" s="292">
        <f t="shared" si="2648"/>
        <v>0</v>
      </c>
      <c r="CM396" s="292">
        <f t="shared" si="2648"/>
        <v>0</v>
      </c>
      <c r="CN396" s="292">
        <f t="shared" si="2648"/>
        <v>113700</v>
      </c>
      <c r="CO396" s="292">
        <f t="shared" si="2648"/>
        <v>0</v>
      </c>
    </row>
    <row r="397" spans="1:93" s="289" customFormat="1" x14ac:dyDescent="0.25">
      <c r="A397" s="543" t="str">
        <f>Language!C317</f>
        <v>(+) D&amp;A Reavaliação</v>
      </c>
      <c r="B397" s="586">
        <f t="shared" ref="B397:AM397" si="2649">-B323</f>
        <v>0</v>
      </c>
      <c r="C397" s="586">
        <f t="shared" si="2649"/>
        <v>0</v>
      </c>
      <c r="D397" s="586">
        <f t="shared" si="2649"/>
        <v>0</v>
      </c>
      <c r="E397" s="586">
        <f t="shared" si="2649"/>
        <v>50917</v>
      </c>
      <c r="F397" s="587">
        <f t="shared" si="2649"/>
        <v>12924</v>
      </c>
      <c r="G397" s="586">
        <f t="shared" si="2649"/>
        <v>14737</v>
      </c>
      <c r="H397" s="586">
        <f t="shared" si="2649"/>
        <v>12352</v>
      </c>
      <c r="I397" s="586">
        <f t="shared" si="2649"/>
        <v>20205</v>
      </c>
      <c r="J397" s="587">
        <f t="shared" si="2649"/>
        <v>14052</v>
      </c>
      <c r="K397" s="586">
        <f t="shared" si="2649"/>
        <v>14332</v>
      </c>
      <c r="L397" s="586">
        <f t="shared" si="2649"/>
        <v>14150</v>
      </c>
      <c r="M397" s="586">
        <f t="shared" si="2649"/>
        <v>13569</v>
      </c>
      <c r="N397" s="587">
        <f t="shared" si="2649"/>
        <v>15479</v>
      </c>
      <c r="O397" s="586">
        <f t="shared" si="2649"/>
        <v>6820</v>
      </c>
      <c r="P397" s="586">
        <f t="shared" si="2649"/>
        <v>10032</v>
      </c>
      <c r="Q397" s="586">
        <f t="shared" si="2649"/>
        <v>10447</v>
      </c>
      <c r="R397" s="587">
        <f t="shared" si="2649"/>
        <v>10874</v>
      </c>
      <c r="S397" s="586">
        <f t="shared" si="2649"/>
        <v>9954</v>
      </c>
      <c r="T397" s="586">
        <f t="shared" si="2649"/>
        <v>9142</v>
      </c>
      <c r="U397" s="586">
        <f t="shared" si="2649"/>
        <v>7390</v>
      </c>
      <c r="V397" s="586">
        <f t="shared" si="2649"/>
        <v>20828</v>
      </c>
      <c r="W397" s="588">
        <f t="shared" si="2649"/>
        <v>29970</v>
      </c>
      <c r="X397" s="589">
        <f t="shared" si="2649"/>
        <v>37360</v>
      </c>
      <c r="Y397" s="590">
        <f t="shared" si="2649"/>
        <v>9464</v>
      </c>
      <c r="Z397" s="588">
        <f t="shared" si="2649"/>
        <v>7773</v>
      </c>
      <c r="AA397" s="427">
        <f t="shared" si="2649"/>
        <v>9047</v>
      </c>
      <c r="AB397" s="427">
        <f t="shared" si="2649"/>
        <v>9016</v>
      </c>
      <c r="AC397" s="588">
        <f t="shared" si="2649"/>
        <v>17237</v>
      </c>
      <c r="AD397" s="588">
        <f t="shared" si="2649"/>
        <v>26284</v>
      </c>
      <c r="AE397" s="589">
        <f t="shared" si="2649"/>
        <v>35300</v>
      </c>
      <c r="AF397" s="588">
        <f t="shared" si="2649"/>
        <v>13983.000000000002</v>
      </c>
      <c r="AG397" s="588">
        <f t="shared" si="2649"/>
        <v>-34175</v>
      </c>
      <c r="AH397" s="427">
        <f t="shared" si="2649"/>
        <v>-19721.203041866946</v>
      </c>
      <c r="AI397" s="427">
        <f t="shared" si="2649"/>
        <v>7087.2030418669474</v>
      </c>
      <c r="AJ397" s="588">
        <f t="shared" si="2649"/>
        <v>-20192</v>
      </c>
      <c r="AK397" s="588">
        <f t="shared" si="2649"/>
        <v>-26344</v>
      </c>
      <c r="AL397" s="589">
        <f t="shared" si="2649"/>
        <v>-32826</v>
      </c>
      <c r="AM397" s="588">
        <f t="shared" si="2649"/>
        <v>6196</v>
      </c>
      <c r="AN397" s="588">
        <f t="shared" si="2589"/>
        <v>6499</v>
      </c>
      <c r="AO397" s="588">
        <f t="shared" si="2590"/>
        <v>7412.9999999999964</v>
      </c>
      <c r="AP397" s="588">
        <f t="shared" si="2590"/>
        <v>7719.0000000000036</v>
      </c>
      <c r="AQ397" s="588">
        <f t="shared" ref="AQ397:CI397" si="2650">-AQ323</f>
        <v>12695</v>
      </c>
      <c r="AR397" s="588">
        <f t="shared" si="2650"/>
        <v>20107.999999999996</v>
      </c>
      <c r="AS397" s="589">
        <f t="shared" si="2650"/>
        <v>27827</v>
      </c>
      <c r="AT397" s="588">
        <f t="shared" si="2650"/>
        <v>7707.6857</v>
      </c>
      <c r="AU397" s="588">
        <f t="shared" si="2650"/>
        <v>10606.083199999999</v>
      </c>
      <c r="AV397" s="588">
        <f t="shared" si="2650"/>
        <v>6605.1976000000031</v>
      </c>
      <c r="AW397" s="588">
        <f t="shared" si="2650"/>
        <v>8888.4439999999959</v>
      </c>
      <c r="AX397" s="588">
        <f t="shared" si="2650"/>
        <v>18313.768899999999</v>
      </c>
      <c r="AY397" s="588">
        <f t="shared" si="2650"/>
        <v>24918.966500000002</v>
      </c>
      <c r="AZ397" s="736">
        <f t="shared" si="2650"/>
        <v>33807.410499999998</v>
      </c>
      <c r="BA397" s="736">
        <f t="shared" si="2650"/>
        <v>5092</v>
      </c>
      <c r="BB397" s="736">
        <f t="shared" si="2650"/>
        <v>8318</v>
      </c>
      <c r="BC397" s="736">
        <f t="shared" si="2650"/>
        <v>7181</v>
      </c>
      <c r="BD397" s="736">
        <f t="shared" si="2650"/>
        <v>5773</v>
      </c>
      <c r="BE397" s="736">
        <f t="shared" si="2650"/>
        <v>8318</v>
      </c>
      <c r="BF397" s="736">
        <f t="shared" si="2650"/>
        <v>15499</v>
      </c>
      <c r="BG397" s="736">
        <f t="shared" si="2650"/>
        <v>21272</v>
      </c>
      <c r="BH397" s="736">
        <f t="shared" si="2650"/>
        <v>5028</v>
      </c>
      <c r="BI397" s="736">
        <f t="shared" si="2650"/>
        <v>-807</v>
      </c>
      <c r="BJ397" s="736">
        <f t="shared" si="2650"/>
        <v>1981</v>
      </c>
      <c r="BK397" s="736">
        <f t="shared" si="2650"/>
        <v>-852</v>
      </c>
      <c r="BL397" s="736">
        <f t="shared" si="2650"/>
        <v>4221</v>
      </c>
      <c r="BM397" s="736">
        <f t="shared" si="2650"/>
        <v>6202</v>
      </c>
      <c r="BN397" s="736">
        <f t="shared" si="2650"/>
        <v>5350</v>
      </c>
      <c r="BO397" s="736">
        <f t="shared" si="2650"/>
        <v>229</v>
      </c>
      <c r="BP397" s="736">
        <f t="shared" si="2650"/>
        <v>229</v>
      </c>
      <c r="BQ397" s="736">
        <f t="shared" si="2650"/>
        <v>230</v>
      </c>
      <c r="BR397" s="736">
        <f t="shared" si="2650"/>
        <v>-2783</v>
      </c>
      <c r="BS397" s="736">
        <f t="shared" si="2650"/>
        <v>458</v>
      </c>
      <c r="BT397" s="736">
        <f t="shared" si="2650"/>
        <v>3700</v>
      </c>
      <c r="BU397" s="736">
        <f t="shared" si="2650"/>
        <v>917</v>
      </c>
      <c r="BV397" s="736">
        <f t="shared" si="2650"/>
        <v>238</v>
      </c>
      <c r="BW397" s="736">
        <f t="shared" si="2650"/>
        <v>238</v>
      </c>
      <c r="BX397" s="736">
        <f t="shared" si="2650"/>
        <v>238</v>
      </c>
      <c r="BY397" s="736">
        <f t="shared" si="2650"/>
        <v>238</v>
      </c>
      <c r="BZ397" s="588">
        <f t="shared" si="2650"/>
        <v>476</v>
      </c>
      <c r="CA397" s="588">
        <f t="shared" si="2650"/>
        <v>714</v>
      </c>
      <c r="CB397" s="588">
        <f t="shared" si="2650"/>
        <v>1113</v>
      </c>
      <c r="CC397" s="588">
        <f t="shared" si="2650"/>
        <v>247</v>
      </c>
      <c r="CD397" s="588">
        <f t="shared" si="2650"/>
        <v>247</v>
      </c>
      <c r="CE397" s="588">
        <f t="shared" si="2650"/>
        <v>247</v>
      </c>
      <c r="CF397" s="588">
        <f t="shared" si="2650"/>
        <v>0</v>
      </c>
      <c r="CG397" s="588">
        <f t="shared" si="2650"/>
        <v>494</v>
      </c>
      <c r="CH397" s="588">
        <f t="shared" si="2650"/>
        <v>741</v>
      </c>
      <c r="CI397" s="588">
        <f t="shared" si="2650"/>
        <v>988</v>
      </c>
      <c r="CJ397" s="588">
        <v>256</v>
      </c>
      <c r="CK397" s="588">
        <f t="shared" ref="CK397:CO397" si="2651">-CK323</f>
        <v>257</v>
      </c>
      <c r="CL397" s="588">
        <f t="shared" si="2651"/>
        <v>0</v>
      </c>
      <c r="CM397" s="588">
        <f t="shared" si="2651"/>
        <v>0</v>
      </c>
      <c r="CN397" s="588">
        <f t="shared" si="2651"/>
        <v>513</v>
      </c>
      <c r="CO397" s="588">
        <f t="shared" si="2651"/>
        <v>0</v>
      </c>
    </row>
    <row r="398" spans="1:93" s="289" customFormat="1" x14ac:dyDescent="0.25">
      <c r="A398" s="418"/>
      <c r="B398" s="291"/>
      <c r="C398" s="291"/>
      <c r="D398" s="291"/>
      <c r="E398" s="291"/>
      <c r="F398" s="291"/>
      <c r="G398" s="291"/>
      <c r="H398" s="291"/>
      <c r="I398" s="291"/>
      <c r="J398" s="291"/>
      <c r="K398" s="291"/>
      <c r="L398" s="291"/>
      <c r="M398" s="291"/>
      <c r="N398" s="291"/>
      <c r="O398" s="291"/>
      <c r="P398" s="291"/>
      <c r="Q398" s="291"/>
      <c r="R398" s="291"/>
      <c r="S398" s="291"/>
      <c r="T398" s="291"/>
      <c r="U398" s="485"/>
      <c r="V398" s="485"/>
      <c r="W398" s="292"/>
      <c r="X398" s="426"/>
      <c r="Y398" s="426"/>
      <c r="Z398" s="426"/>
      <c r="AA398" s="291"/>
      <c r="AB398" s="485"/>
      <c r="AC398" s="426"/>
      <c r="AD398" s="426"/>
      <c r="AE398" s="426"/>
      <c r="AF398" s="426"/>
      <c r="AG398" s="426"/>
      <c r="AH398" s="291"/>
      <c r="AI398" s="485"/>
      <c r="AJ398" s="426"/>
      <c r="AK398" s="426"/>
      <c r="AL398" s="426"/>
      <c r="AM398" s="426"/>
      <c r="AN398" s="426"/>
      <c r="AO398" s="426"/>
      <c r="AP398" s="426"/>
      <c r="AQ398" s="426"/>
      <c r="AR398" s="426"/>
      <c r="AS398" s="426"/>
      <c r="AT398" s="426"/>
      <c r="AU398" s="426"/>
      <c r="AV398" s="426"/>
      <c r="AW398" s="426"/>
      <c r="AX398" s="426"/>
      <c r="AY398" s="426"/>
      <c r="AZ398" s="426"/>
      <c r="BA398" s="426"/>
      <c r="BB398" s="426"/>
      <c r="BC398" s="426"/>
      <c r="BD398" s="426"/>
      <c r="BE398" s="426"/>
    </row>
    <row r="399" spans="1:93" s="289" customFormat="1" x14ac:dyDescent="0.25">
      <c r="A399" s="418"/>
      <c r="B399" s="291"/>
      <c r="C399" s="291"/>
      <c r="D399" s="291"/>
      <c r="E399" s="291"/>
      <c r="F399" s="291"/>
      <c r="G399" s="291"/>
      <c r="H399" s="291"/>
      <c r="I399" s="291"/>
      <c r="J399" s="291"/>
      <c r="K399" s="291"/>
      <c r="L399" s="291"/>
      <c r="M399" s="291"/>
      <c r="N399" s="291"/>
      <c r="O399" s="291"/>
      <c r="P399" s="291"/>
      <c r="Q399" s="291"/>
      <c r="R399" s="291"/>
      <c r="S399" s="291"/>
      <c r="T399" s="291"/>
      <c r="U399" s="427"/>
      <c r="V399" s="427"/>
      <c r="W399" s="292"/>
      <c r="X399" s="428"/>
      <c r="Y399" s="428"/>
      <c r="Z399" s="428"/>
      <c r="AA399" s="291"/>
      <c r="AB399" s="427"/>
      <c r="AC399" s="428"/>
      <c r="AD399" s="428"/>
      <c r="AE399" s="428"/>
      <c r="AF399" s="428"/>
      <c r="AG399" s="428"/>
      <c r="AH399" s="291"/>
      <c r="AI399" s="427"/>
      <c r="AJ399" s="428"/>
      <c r="AK399" s="428"/>
      <c r="AL399" s="428"/>
      <c r="AM399" s="428"/>
      <c r="AN399" s="428"/>
      <c r="AO399" s="428"/>
      <c r="AP399" s="428"/>
      <c r="AQ399" s="428"/>
      <c r="AR399" s="428"/>
      <c r="AS399" s="428"/>
      <c r="AT399" s="428"/>
      <c r="AU399" s="428"/>
      <c r="AV399" s="428"/>
      <c r="AW399" s="428"/>
      <c r="AX399" s="428"/>
      <c r="AY399" s="428"/>
      <c r="AZ399" s="428"/>
      <c r="BA399" s="428"/>
      <c r="BB399" s="428"/>
      <c r="BC399" s="428"/>
      <c r="BD399" s="428"/>
      <c r="BE399" s="428"/>
    </row>
    <row r="400" spans="1:93" s="289" customFormat="1" ht="13" x14ac:dyDescent="0.3">
      <c r="A400" s="537" t="str">
        <f>Language!C320</f>
        <v>Dados Relevantes</v>
      </c>
      <c r="B400" s="538"/>
      <c r="C400" s="538"/>
      <c r="D400" s="538"/>
      <c r="E400" s="538"/>
      <c r="F400" s="539"/>
      <c r="G400" s="538"/>
      <c r="H400" s="538"/>
      <c r="I400" s="538"/>
      <c r="J400" s="539"/>
      <c r="K400" s="538"/>
      <c r="L400" s="538"/>
      <c r="M400" s="538"/>
      <c r="N400" s="539"/>
      <c r="O400" s="538"/>
      <c r="P400" s="538"/>
      <c r="Q400" s="538"/>
      <c r="R400" s="539"/>
      <c r="S400" s="538"/>
      <c r="T400" s="538"/>
      <c r="U400" s="538"/>
      <c r="V400" s="538"/>
      <c r="W400" s="540"/>
      <c r="X400" s="541"/>
      <c r="Y400" s="542"/>
      <c r="Z400" s="540"/>
      <c r="AA400" s="538"/>
      <c r="AB400" s="538"/>
      <c r="AC400" s="540"/>
      <c r="AD400" s="540"/>
      <c r="AE400" s="541"/>
      <c r="AF400" s="540"/>
      <c r="AG400" s="540"/>
      <c r="AH400" s="538"/>
      <c r="AI400" s="538"/>
      <c r="AJ400" s="540"/>
      <c r="AK400" s="540"/>
      <c r="AL400" s="541"/>
      <c r="AM400" s="540"/>
      <c r="AN400" s="540"/>
      <c r="AO400" s="540"/>
      <c r="AP400" s="540"/>
      <c r="AQ400" s="540"/>
      <c r="AR400" s="540"/>
      <c r="AS400" s="541"/>
      <c r="AT400" s="540"/>
      <c r="AU400" s="540"/>
      <c r="AV400" s="540"/>
      <c r="AW400" s="540"/>
      <c r="AX400" s="540"/>
      <c r="AY400" s="540"/>
      <c r="AZ400" s="540"/>
      <c r="BA400" s="540"/>
      <c r="BB400" s="540"/>
      <c r="BC400" s="540"/>
      <c r="BD400" s="540"/>
      <c r="BE400" s="540"/>
      <c r="BF400" s="540"/>
      <c r="BG400" s="540"/>
      <c r="BH400" s="540"/>
      <c r="BI400" s="540"/>
      <c r="BJ400" s="540"/>
      <c r="BK400" s="540"/>
      <c r="BL400" s="540"/>
      <c r="BM400" s="540"/>
      <c r="BN400" s="540"/>
      <c r="BO400" s="540"/>
      <c r="BP400" s="540"/>
      <c r="BQ400" s="540"/>
      <c r="BR400" s="540"/>
      <c r="BS400" s="540"/>
      <c r="BT400" s="540"/>
      <c r="BU400" s="540"/>
      <c r="BV400" s="540"/>
      <c r="BW400" s="540"/>
      <c r="BX400" s="540"/>
      <c r="BY400" s="540"/>
      <c r="BZ400" s="540"/>
      <c r="CA400" s="540"/>
      <c r="CB400" s="540"/>
      <c r="CC400" s="540"/>
      <c r="CD400" s="540"/>
      <c r="CE400" s="540"/>
      <c r="CF400" s="540"/>
      <c r="CG400" s="540"/>
      <c r="CH400" s="540"/>
      <c r="CI400" s="540"/>
      <c r="CJ400" s="540"/>
      <c r="CK400" s="540"/>
      <c r="CL400" s="540"/>
      <c r="CM400" s="540"/>
      <c r="CN400" s="540"/>
      <c r="CO400" s="540"/>
    </row>
    <row r="401" spans="1:93" s="289" customFormat="1" hidden="1" x14ac:dyDescent="0.25">
      <c r="A401" s="598" t="str">
        <f>Language!C321</f>
        <v>ROAE</v>
      </c>
      <c r="B401" s="599" t="s">
        <v>116</v>
      </c>
      <c r="C401" s="599" t="s">
        <v>116</v>
      </c>
      <c r="D401" s="599" t="s">
        <v>116</v>
      </c>
      <c r="E401" s="599" t="s">
        <v>116</v>
      </c>
      <c r="F401" s="600">
        <f t="shared" ref="F401:U401" si="2652">SUM(F$284,E$284,D$284,C$284)/AVERAGE(F$371,B$371)</f>
        <v>0.35727603539539649</v>
      </c>
      <c r="G401" s="599">
        <f t="shared" si="2652"/>
        <v>0.36844208202739925</v>
      </c>
      <c r="H401" s="599">
        <f t="shared" si="2652"/>
        <v>0.40844241043955404</v>
      </c>
      <c r="I401" s="599">
        <f t="shared" si="2652"/>
        <v>0.4028151271836512</v>
      </c>
      <c r="J401" s="600">
        <f t="shared" si="2652"/>
        <v>0.43713935466251802</v>
      </c>
      <c r="K401" s="599">
        <f t="shared" si="2652"/>
        <v>0.45551310607758877</v>
      </c>
      <c r="L401" s="599">
        <f t="shared" si="2652"/>
        <v>0.46364830647467831</v>
      </c>
      <c r="M401" s="599">
        <f t="shared" si="2652"/>
        <v>0.45392377936637401</v>
      </c>
      <c r="N401" s="600">
        <f t="shared" si="2652"/>
        <v>0.27793174065829329</v>
      </c>
      <c r="O401" s="599">
        <f t="shared" si="2652"/>
        <v>0.343556000771639</v>
      </c>
      <c r="P401" s="599">
        <f t="shared" si="2652"/>
        <v>0.38415559059848314</v>
      </c>
      <c r="Q401" s="599">
        <f t="shared" si="2652"/>
        <v>0.37679335036361705</v>
      </c>
      <c r="R401" s="600">
        <f t="shared" si="2652"/>
        <v>0.39693210900626308</v>
      </c>
      <c r="S401" s="599">
        <f t="shared" si="2652"/>
        <v>0.37973743869497445</v>
      </c>
      <c r="T401" s="599">
        <f t="shared" si="2652"/>
        <v>0.33704412195175948</v>
      </c>
      <c r="U401" s="599">
        <f t="shared" si="2652"/>
        <v>0.23439114166538449</v>
      </c>
      <c r="V401" s="599">
        <f>SUM(V$284,U$284,T$284)/AVERAGE(V$371,O$371)</f>
        <v>0.36602111761796402</v>
      </c>
      <c r="W401" s="601">
        <f>SUM(W$284,U$284)/AVERAGE(W$371,P$371)</f>
        <v>0.22733575107187046</v>
      </c>
      <c r="X401" s="602">
        <f>SUM(X$284)/AVERAGE(X$371,Q$371)</f>
        <v>0.23439114166538449</v>
      </c>
      <c r="Y401" s="603">
        <f>SUM(Y$284,U$284,T$284,S$284)/AVERAGE(Y$371,R$371)</f>
        <v>3.448292061881339E-2</v>
      </c>
      <c r="Z401" s="601">
        <f>SUM(Z$284,Y$284,U$284,T$284)/AVERAGE(Z$371,S$371)</f>
        <v>-2.5995905519456873E-2</v>
      </c>
      <c r="AA401" s="601">
        <f>SUM(AA$284,Z$284,V$284,U$284)/AVERAGE(AA$371,T$371)</f>
        <v>0.21847009744725643</v>
      </c>
      <c r="AB401" s="599">
        <f>SUM(AB$284,AA$284,Z$284,Y$284)/AVERAGE(AB$371,X$371)</f>
        <v>-0.29738731734941493</v>
      </c>
      <c r="AC401" s="601">
        <f>SUM(AC$284,Y284:Z284)/AVERAGE(AC$371,V$371)</f>
        <v>-7.4490415193274054E-2</v>
      </c>
      <c r="AD401" s="601">
        <f>SUM(AD$284,Z284:AA284)/AVERAGE(AD$371,W$371)</f>
        <v>-0.11593575842896166</v>
      </c>
      <c r="AE401" s="602">
        <f>SUM(AE$284)/AVERAGE(AE$371,X$371)</f>
        <v>-0.29738731734941493</v>
      </c>
      <c r="AF401" s="601">
        <f>SUM(AF$284,AB$284,AA$284,Z$284)/AVERAGE(AF$371,Y$371)</f>
        <v>-0.35497543733525044</v>
      </c>
      <c r="AG401" s="601">
        <f>SUM(AG$284,AF$284,AB$284,AA$284)/AVERAGE(AG$371,Z$371)</f>
        <v>-0.38430069636206282</v>
      </c>
      <c r="AH401" s="601">
        <f>SUM(AH$284,AG$284,AC$284,AB$284)/AVERAGE(AH$371,AA$371)</f>
        <v>-0.32937798829241793</v>
      </c>
      <c r="AI401" s="599">
        <f>SUM(AI$284,AG$284,AF$284,AE$284)/AVERAGE(AI$371,AD$371)</f>
        <v>-0.90951180313222735</v>
      </c>
      <c r="AJ401" s="601">
        <f>SUM(AJ$284,AD284:AE284)/AVERAGE(AJ$371,AA$371)</f>
        <v>-0.47104685006102714</v>
      </c>
      <c r="AK401" s="601">
        <f>SUM(AK$284,AE284:AF284)/AVERAGE(AK$371,AB$371)</f>
        <v>-0.45440914512273406</v>
      </c>
      <c r="AL401" s="602">
        <f>SUM(AL$284,AF284:AG284)/AVERAGE(AL$371,AC$371)</f>
        <v>-0.78475195246340912</v>
      </c>
      <c r="AM401" s="601">
        <f>SUM(AM$284,AG284:AH284)/AVERAGE(AM$371,AD$371)</f>
        <v>-7.7633545623113559E-2</v>
      </c>
      <c r="AN401" s="601"/>
      <c r="AO401" s="601"/>
      <c r="AP401" s="601"/>
      <c r="AQ401" s="601"/>
      <c r="AR401" s="601"/>
      <c r="AS401" s="602"/>
      <c r="AT401" s="601"/>
      <c r="AU401" s="601"/>
      <c r="AV401" s="601"/>
      <c r="AW401" s="601"/>
      <c r="AX401" s="601"/>
      <c r="AY401" s="601"/>
      <c r="AZ401" s="601"/>
      <c r="BA401" s="601"/>
      <c r="BB401" s="601"/>
      <c r="BC401" s="601"/>
      <c r="BD401" s="601"/>
      <c r="BE401" s="601"/>
      <c r="BF401" s="601"/>
      <c r="BG401" s="601"/>
      <c r="BH401" s="601"/>
      <c r="BI401" s="601"/>
      <c r="BJ401" s="601"/>
      <c r="BK401" s="601"/>
      <c r="BL401" s="601"/>
      <c r="BM401" s="601"/>
      <c r="BN401" s="601"/>
      <c r="BO401" s="601"/>
      <c r="BP401" s="601"/>
      <c r="BQ401" s="601"/>
      <c r="BR401" s="601"/>
      <c r="BS401" s="601"/>
      <c r="BT401" s="601"/>
      <c r="BU401" s="601"/>
      <c r="BV401" s="601"/>
      <c r="BW401" s="601"/>
      <c r="BX401" s="601"/>
      <c r="BY401" s="601"/>
      <c r="BZ401" s="601"/>
      <c r="CA401" s="601"/>
      <c r="CB401" s="601"/>
      <c r="CC401" s="601"/>
      <c r="CD401" s="601"/>
      <c r="CE401" s="601"/>
      <c r="CF401" s="601"/>
      <c r="CG401" s="601"/>
      <c r="CH401" s="601"/>
      <c r="CI401" s="601"/>
      <c r="CJ401" s="601"/>
      <c r="CK401" s="601"/>
      <c r="CL401" s="601"/>
      <c r="CM401" s="601"/>
      <c r="CN401" s="601"/>
      <c r="CO401" s="601"/>
    </row>
    <row r="402" spans="1:93" s="289" customFormat="1" hidden="1" x14ac:dyDescent="0.25">
      <c r="A402" s="418" t="str">
        <f>Language!C322</f>
        <v>ROIC</v>
      </c>
      <c r="B402" s="604" t="s">
        <v>116</v>
      </c>
      <c r="C402" s="604" t="s">
        <v>116</v>
      </c>
      <c r="D402" s="604" t="s">
        <v>116</v>
      </c>
      <c r="E402" s="604" t="s">
        <v>116</v>
      </c>
      <c r="F402" s="605" t="e">
        <f t="shared" ref="F402:U402" si="2653">SUM(F$391,E$391,D$391,C$391)/AVERAGE((F$371+F$355),(B$371+B$355))</f>
        <v>#REF!</v>
      </c>
      <c r="G402" s="604" t="e">
        <f t="shared" si="2653"/>
        <v>#REF!</v>
      </c>
      <c r="H402" s="604" t="e">
        <f t="shared" si="2653"/>
        <v>#REF!</v>
      </c>
      <c r="I402" s="604" t="e">
        <f t="shared" si="2653"/>
        <v>#REF!</v>
      </c>
      <c r="J402" s="605" t="e">
        <f t="shared" si="2653"/>
        <v>#REF!</v>
      </c>
      <c r="K402" s="604" t="e">
        <f t="shared" si="2653"/>
        <v>#REF!</v>
      </c>
      <c r="L402" s="604" t="e">
        <f t="shared" si="2653"/>
        <v>#REF!</v>
      </c>
      <c r="M402" s="604" t="e">
        <f t="shared" si="2653"/>
        <v>#REF!</v>
      </c>
      <c r="N402" s="605" t="e">
        <f t="shared" si="2653"/>
        <v>#REF!</v>
      </c>
      <c r="O402" s="604" t="e">
        <f t="shared" si="2653"/>
        <v>#REF!</v>
      </c>
      <c r="P402" s="604" t="e">
        <f t="shared" si="2653"/>
        <v>#REF!</v>
      </c>
      <c r="Q402" s="604" t="e">
        <f t="shared" si="2653"/>
        <v>#REF!</v>
      </c>
      <c r="R402" s="605" t="e">
        <f t="shared" si="2653"/>
        <v>#REF!</v>
      </c>
      <c r="S402" s="604" t="e">
        <f t="shared" si="2653"/>
        <v>#REF!</v>
      </c>
      <c r="T402" s="604" t="e">
        <f t="shared" si="2653"/>
        <v>#REF!</v>
      </c>
      <c r="U402" s="604">
        <f t="shared" si="2653"/>
        <v>0.17114767289710162</v>
      </c>
      <c r="V402" s="604">
        <f>SUM(V$391,U$391,T$391)/AVERAGE((V$371+V$355),(O$371+R$355))</f>
        <v>0.10893354576140683</v>
      </c>
      <c r="W402" s="606" t="e">
        <f>SUM(W$391,U$391)/AVERAGE((W$371+W$355),(P$371+P$355))</f>
        <v>#REF!</v>
      </c>
      <c r="X402" s="607" t="e">
        <f>SUM(X$391)/AVERAGE((X$371+X$355),(Q$371+Q$355))</f>
        <v>#REF!</v>
      </c>
      <c r="Y402" s="608" t="e">
        <f>SUM(Y$391,U$391,T$391,S$391)/AVERAGE((Y$371+Y$355),(R$371+R$355))</f>
        <v>#REF!</v>
      </c>
      <c r="Z402" s="606" t="e">
        <f>SUM(Z$391,Y$391,U$391,T$391)/AVERAGE((Z$371+Z$355),(S$371+S$355))</f>
        <v>#REF!</v>
      </c>
      <c r="AA402" s="606" t="e">
        <f>SUM(AA$391,Z$391,V$391,U$391)/AVERAGE((AA$371+AA$355),(T$371+T$355))</f>
        <v>#REF!</v>
      </c>
      <c r="AB402" s="604" t="e">
        <f>SUM(AB$391,AA$391,Z$391,Y$391)/AVERAGE((AB$371+AB$355),(X$371+X$355))</f>
        <v>#REF!</v>
      </c>
      <c r="AC402" s="606" t="e">
        <f>SUM(AC$391,AB$391,AA$391)/AVERAGE((AC$371+AC$355),(V$371+S$355))</f>
        <v>#REF!</v>
      </c>
      <c r="AD402" s="606" t="e">
        <f>SUM(AD$391,AC$391,AB$391)/AVERAGE((AD$371+AD$355),(W$371+T$355))</f>
        <v>#REF!</v>
      </c>
      <c r="AE402" s="607" t="e">
        <f>SUM(AE$391)/AVERAGE((AE$371+AE$355),(X$371+X$355))</f>
        <v>#REF!</v>
      </c>
      <c r="AF402" s="606" t="e">
        <f>SUM(AF$391,AB$391,AA$391,Z$391)/AVERAGE((AF$371+AF$355),(Y$371+Y$355))</f>
        <v>#REF!</v>
      </c>
      <c r="AG402" s="606" t="e">
        <f>SUM(AG$391,AF$391,AB$391,AA$391)/AVERAGE((AG$371+AG$355),(Z$371+Z$355))</f>
        <v>#REF!</v>
      </c>
      <c r="AH402" s="606" t="e">
        <f>SUM(AH$391,AG$391,AC$391,AB$391)/AVERAGE((AH$371+AH$355),(AA$371+AA$355))</f>
        <v>#REF!</v>
      </c>
      <c r="AI402" s="604" t="e">
        <f>SUM(AI$391,AG$391,AF$391,AE$391)/AVERAGE((AI$371+AI$355),(AD$371+AD$355))</f>
        <v>#REF!</v>
      </c>
      <c r="AJ402" s="606" t="e">
        <f>SUM(AJ$391,AG$391,AF$391)/AVERAGE((AJ$371+AJ$355),(AA$371+X$355))</f>
        <v>#REF!</v>
      </c>
      <c r="AK402" s="606" t="e">
        <f>SUM(AK$391,AJ$391,AG$391)/AVERAGE((AK$371+AK$355),(AB$371+Y$355))</f>
        <v>#REF!</v>
      </c>
      <c r="AL402" s="607" t="e">
        <f>SUM(AL$391,AK$391,AJ$391)/AVERAGE((AL$371+AL$355),(AC$371+Z$355))</f>
        <v>#REF!</v>
      </c>
      <c r="AM402" s="606" t="e">
        <f>SUM(AM$391,AL$391,AK$391)/AVERAGE((AM$371+AM$355),(AD$371+AA$355))</f>
        <v>#REF!</v>
      </c>
      <c r="AN402" s="606"/>
      <c r="AO402" s="606"/>
      <c r="AP402" s="606"/>
      <c r="AQ402" s="606"/>
      <c r="AR402" s="606"/>
      <c r="AS402" s="607"/>
      <c r="AT402" s="606"/>
      <c r="AU402" s="606"/>
      <c r="AV402" s="606"/>
      <c r="AW402" s="606"/>
      <c r="AX402" s="606"/>
      <c r="AY402" s="606"/>
      <c r="AZ402" s="606"/>
      <c r="BA402" s="606"/>
      <c r="BB402" s="606"/>
      <c r="BC402" s="606"/>
      <c r="BD402" s="606"/>
      <c r="BE402" s="606"/>
      <c r="BF402" s="606"/>
      <c r="BG402" s="606"/>
      <c r="BH402" s="606"/>
      <c r="BI402" s="606"/>
      <c r="BJ402" s="606"/>
      <c r="BK402" s="606"/>
      <c r="BL402" s="606"/>
      <c r="BM402" s="606"/>
      <c r="BN402" s="606"/>
      <c r="BO402" s="606"/>
      <c r="BP402" s="606"/>
      <c r="BQ402" s="606"/>
      <c r="BR402" s="606"/>
      <c r="BS402" s="606"/>
      <c r="BT402" s="606"/>
      <c r="BU402" s="606"/>
      <c r="BV402" s="606"/>
      <c r="BW402" s="606"/>
      <c r="BX402" s="606"/>
      <c r="BY402" s="606"/>
      <c r="BZ402" s="606"/>
      <c r="CA402" s="606"/>
      <c r="CB402" s="606"/>
      <c r="CC402" s="606"/>
      <c r="CD402" s="606"/>
      <c r="CE402" s="606"/>
      <c r="CF402" s="606"/>
      <c r="CG402" s="606"/>
      <c r="CH402" s="606"/>
      <c r="CI402" s="606"/>
      <c r="CJ402" s="606"/>
      <c r="CK402" s="606"/>
      <c r="CL402" s="606"/>
      <c r="CM402" s="606"/>
      <c r="CN402" s="606"/>
      <c r="CO402" s="606"/>
    </row>
    <row r="403" spans="1:93" s="289" customFormat="1" hidden="1" x14ac:dyDescent="0.25">
      <c r="A403" s="609" t="str">
        <f>Language!C323</f>
        <v>ROAA</v>
      </c>
      <c r="B403" s="610" t="s">
        <v>116</v>
      </c>
      <c r="C403" s="610" t="s">
        <v>116</v>
      </c>
      <c r="D403" s="610" t="s">
        <v>116</v>
      </c>
      <c r="E403" s="610" t="s">
        <v>116</v>
      </c>
      <c r="F403" s="611">
        <f t="shared" ref="F403:U403" si="2654">SUM(F$284,E$284,D$284,C$284)/AVERAGE(F$6,B$6)</f>
        <v>0.10095321032264389</v>
      </c>
      <c r="G403" s="610">
        <f t="shared" si="2654"/>
        <v>0.10372577059712461</v>
      </c>
      <c r="H403" s="610">
        <f t="shared" si="2654"/>
        <v>0.11552357748980628</v>
      </c>
      <c r="I403" s="610">
        <f t="shared" si="2654"/>
        <v>0.11650037281330657</v>
      </c>
      <c r="J403" s="611">
        <f t="shared" si="2654"/>
        <v>0.12854361152868185</v>
      </c>
      <c r="K403" s="610">
        <f t="shared" si="2654"/>
        <v>0.12950781065308081</v>
      </c>
      <c r="L403" s="610">
        <f t="shared" si="2654"/>
        <v>0.13159682203205211</v>
      </c>
      <c r="M403" s="610">
        <f t="shared" si="2654"/>
        <v>0.12554421409137975</v>
      </c>
      <c r="N403" s="611">
        <f t="shared" si="2654"/>
        <v>0.10039663307757027</v>
      </c>
      <c r="O403" s="610">
        <f t="shared" si="2654"/>
        <v>0.10981341911423297</v>
      </c>
      <c r="P403" s="610">
        <f t="shared" si="2654"/>
        <v>0.11435828703672657</v>
      </c>
      <c r="Q403" s="610">
        <f t="shared" si="2654"/>
        <v>9.7891917953841778E-2</v>
      </c>
      <c r="R403" s="611">
        <f t="shared" si="2654"/>
        <v>0.10203466833174718</v>
      </c>
      <c r="S403" s="610">
        <f t="shared" si="2654"/>
        <v>8.4709690296182541E-2</v>
      </c>
      <c r="T403" s="610">
        <f t="shared" si="2654"/>
        <v>7.1101850532133498E-2</v>
      </c>
      <c r="U403" s="610">
        <f t="shared" si="2654"/>
        <v>4.5056871588127233E-2</v>
      </c>
      <c r="V403" s="610">
        <f>SUM(V$284,U$284,T$284)/AVERAGE(V$6,O$6)</f>
        <v>8.1649930598983289E-2</v>
      </c>
      <c r="W403" s="612">
        <f>SUM(W$284,U$284)/AVERAGE(W$6,P$6)</f>
        <v>4.795809076781931E-2</v>
      </c>
      <c r="X403" s="613">
        <f>SUM(X$284)/AVERAGE(X$6,Q$6)</f>
        <v>4.5056871588127233E-2</v>
      </c>
      <c r="Y403" s="614">
        <f>SUM(Y$284,U$284,T$284,S$284)/AVERAGE(Y$6,R$6)</f>
        <v>4.1853863870022654E-3</v>
      </c>
      <c r="Z403" s="612">
        <f>SUM(Z$284,Y$284,U$284,T$284)/AVERAGE(Z$6,S$6)</f>
        <v>-3.0034915144773601E-3</v>
      </c>
      <c r="AA403" s="612">
        <f>SUM(AA$284,Z$284,V$284,U$284)/AVERAGE(AA$6,T$6)</f>
        <v>2.5119079561695516E-2</v>
      </c>
      <c r="AB403" s="610">
        <f>SUM(AB$284,AA$284,Z$284,Y$284)/AVERAGE(AB$6,X$6)</f>
        <v>-3.3456474151325917E-2</v>
      </c>
      <c r="AC403" s="612">
        <f>SUM(AC$284,AB$284,AA$284)/AVERAGE(AC$6,V$6)</f>
        <v>-3.358158930567795E-2</v>
      </c>
      <c r="AD403" s="612">
        <f>SUM(AD$284,AC$284,AB$284)/AVERAGE(AD$6,W$6)</f>
        <v>-3.7609474724579352E-2</v>
      </c>
      <c r="AE403" s="613">
        <f>SUM(AE$284)/AVERAGE(AE$6,X$6)</f>
        <v>-3.3456474151325917E-2</v>
      </c>
      <c r="AF403" s="612">
        <f>SUM(AF$284,AB$284,AA$284,Z$284)/AVERAGE(AF$6,Y$6)</f>
        <v>-3.9541512062571942E-2</v>
      </c>
      <c r="AG403" s="612">
        <f>SUM(AG$284,AF$284,AB$284,AA$284)/AVERAGE(AG$6,Z$6)</f>
        <v>-4.7826171352693063E-2</v>
      </c>
      <c r="AH403" s="612">
        <f>SUM(AH$284,AG$284,AC$284,AB$284)/AVERAGE(AH$6,AA$6)</f>
        <v>-4.3840212912511868E-2</v>
      </c>
      <c r="AI403" s="610">
        <f>SUM(AI$284,AG$284,AF$284,AE$284)/AVERAGE(AI$6,AD$6)</f>
        <v>-0.10154265349748239</v>
      </c>
      <c r="AJ403" s="612">
        <f>SUM(AJ$284,AG$284,AF$284)/AVERAGE(AJ$6,AA$6)</f>
        <v>-3.6586865856095024E-2</v>
      </c>
      <c r="AK403" s="612">
        <f>SUM(AK$284,AJ$284,AG$284)/AVERAGE(AK$6,AB$6)</f>
        <v>-4.9931421386269395E-2</v>
      </c>
      <c r="AL403" s="613">
        <f>SUM(AL$284,AK$284,AJ$284)/AVERAGE(AL$6,AC$6)</f>
        <v>-0.10647846400710036</v>
      </c>
      <c r="AM403" s="612">
        <f>SUM(AM$284,AL$284,AK$284)/AVERAGE(AM$6,AD$6)</f>
        <v>-8.401419826280758E-2</v>
      </c>
      <c r="AN403" s="612"/>
      <c r="AO403" s="612"/>
      <c r="AP403" s="612"/>
      <c r="AQ403" s="612"/>
      <c r="AR403" s="612"/>
      <c r="AS403" s="613"/>
      <c r="AT403" s="612"/>
      <c r="AU403" s="612">
        <v>-4.3605641509651023E-3</v>
      </c>
      <c r="AV403" s="612"/>
      <c r="AW403" s="612"/>
      <c r="AX403" s="612"/>
      <c r="AY403" s="612"/>
      <c r="AZ403" s="612"/>
      <c r="BA403" s="612"/>
      <c r="BB403" s="612"/>
      <c r="BC403" s="612"/>
      <c r="BD403" s="612"/>
      <c r="BE403" s="612"/>
      <c r="BF403" s="612"/>
      <c r="BG403" s="612"/>
      <c r="BH403" s="612"/>
      <c r="BI403" s="612"/>
      <c r="BJ403" s="612"/>
      <c r="BK403" s="612"/>
      <c r="BL403" s="612"/>
      <c r="BM403" s="612"/>
      <c r="BN403" s="612"/>
      <c r="BO403" s="612"/>
      <c r="BP403" s="612"/>
      <c r="BQ403" s="612"/>
      <c r="BR403" s="612"/>
      <c r="BS403" s="612"/>
      <c r="BT403" s="612"/>
      <c r="BU403" s="612"/>
      <c r="BV403" s="612"/>
      <c r="BW403" s="612"/>
      <c r="BX403" s="612"/>
      <c r="BY403" s="612"/>
      <c r="BZ403" s="612"/>
      <c r="CA403" s="612"/>
      <c r="CB403" s="612"/>
      <c r="CC403" s="612"/>
      <c r="CD403" s="612"/>
      <c r="CE403" s="612"/>
      <c r="CF403" s="612"/>
      <c r="CG403" s="612"/>
      <c r="CH403" s="612"/>
      <c r="CI403" s="612"/>
      <c r="CJ403" s="612"/>
      <c r="CK403" s="612"/>
      <c r="CL403" s="612"/>
      <c r="CM403" s="612"/>
      <c r="CN403" s="612"/>
      <c r="CO403" s="612"/>
    </row>
    <row r="404" spans="1:93" s="423" customFormat="1" ht="13" x14ac:dyDescent="0.3">
      <c r="A404" s="525" t="str">
        <f>Language!C324</f>
        <v>Margem Bruta</v>
      </c>
      <c r="B404" s="615">
        <f t="shared" ref="B404:AG404" si="2655">SUM(B139,B147)/B$362</f>
        <v>0.52174877512441653</v>
      </c>
      <c r="C404" s="615">
        <f t="shared" si="2655"/>
        <v>0.44693613394087994</v>
      </c>
      <c r="D404" s="615">
        <f t="shared" si="2655"/>
        <v>0.52753083453467886</v>
      </c>
      <c r="E404" s="615">
        <f t="shared" si="2655"/>
        <v>0.60593535661451559</v>
      </c>
      <c r="F404" s="616">
        <f t="shared" si="2655"/>
        <v>0.56148531363806542</v>
      </c>
      <c r="G404" s="615">
        <f t="shared" si="2655"/>
        <v>0.49691523092791384</v>
      </c>
      <c r="H404" s="615">
        <f t="shared" si="2655"/>
        <v>0.58035338473800635</v>
      </c>
      <c r="I404" s="615">
        <f t="shared" si="2655"/>
        <v>0.58717143794218241</v>
      </c>
      <c r="J404" s="616">
        <f t="shared" si="2655"/>
        <v>0.57092663081166883</v>
      </c>
      <c r="K404" s="615">
        <f t="shared" si="2655"/>
        <v>0.47439539756383392</v>
      </c>
      <c r="L404" s="615">
        <f t="shared" si="2655"/>
        <v>0.49547110287182489</v>
      </c>
      <c r="M404" s="615">
        <f t="shared" si="2655"/>
        <v>0.54452272312465777</v>
      </c>
      <c r="N404" s="616">
        <f t="shared" si="2655"/>
        <v>0.54162503808572304</v>
      </c>
      <c r="O404" s="615">
        <f t="shared" si="2655"/>
        <v>0.56604173707893468</v>
      </c>
      <c r="P404" s="615">
        <f t="shared" si="2655"/>
        <v>0.6539285232636548</v>
      </c>
      <c r="Q404" s="615">
        <f t="shared" si="2655"/>
        <v>0.60647351244164749</v>
      </c>
      <c r="R404" s="616">
        <f t="shared" si="2655"/>
        <v>0.77056234749657948</v>
      </c>
      <c r="S404" s="615">
        <f t="shared" si="2655"/>
        <v>0.60352253265639089</v>
      </c>
      <c r="T404" s="615">
        <f t="shared" si="2655"/>
        <v>0.53999789723268565</v>
      </c>
      <c r="U404" s="615">
        <f t="shared" si="2655"/>
        <v>0.47995857527975788</v>
      </c>
      <c r="V404" s="615">
        <f t="shared" si="2655"/>
        <v>0.70649520759322459</v>
      </c>
      <c r="W404" s="617">
        <f t="shared" si="2655"/>
        <v>0.64839174535135147</v>
      </c>
      <c r="X404" s="618">
        <f t="shared" si="2655"/>
        <v>0.60814480160839324</v>
      </c>
      <c r="Y404" s="619">
        <f t="shared" si="2655"/>
        <v>0.46062553390447197</v>
      </c>
      <c r="Z404" s="617">
        <f t="shared" si="2655"/>
        <v>0.44693031519378823</v>
      </c>
      <c r="AA404" s="617">
        <f t="shared" si="2655"/>
        <v>0.44430669252290794</v>
      </c>
      <c r="AB404" s="615">
        <f t="shared" si="2655"/>
        <v>0.49507475966990594</v>
      </c>
      <c r="AC404" s="617">
        <f t="shared" si="2655"/>
        <v>0.45410733037342715</v>
      </c>
      <c r="AD404" s="617">
        <f t="shared" si="2655"/>
        <v>0.45085003849834321</v>
      </c>
      <c r="AE404" s="618">
        <f t="shared" si="2655"/>
        <v>0.46237610346241886</v>
      </c>
      <c r="AF404" s="617">
        <f t="shared" si="2655"/>
        <v>0.36564156728432406</v>
      </c>
      <c r="AG404" s="617">
        <f t="shared" si="2655"/>
        <v>0.24642400926861172</v>
      </c>
      <c r="AH404" s="617">
        <f t="shared" ref="AH404:BM404" si="2656">SUM(AH139,AH147)/AH$362</f>
        <v>0.53136237736189806</v>
      </c>
      <c r="AI404" s="615">
        <f t="shared" si="2656"/>
        <v>0.43028540043236213</v>
      </c>
      <c r="AJ404" s="617">
        <f t="shared" si="2656"/>
        <v>0.30850062204882783</v>
      </c>
      <c r="AK404" s="617">
        <f t="shared" si="2656"/>
        <v>0.38223890987628817</v>
      </c>
      <c r="AL404" s="618">
        <f t="shared" si="2656"/>
        <v>0.39426490335852343</v>
      </c>
      <c r="AM404" s="617">
        <f t="shared" si="2656"/>
        <v>0.43600827198531455</v>
      </c>
      <c r="AN404" s="617">
        <f t="shared" si="2656"/>
        <v>0.3870799795963214</v>
      </c>
      <c r="AO404" s="617">
        <f t="shared" si="2656"/>
        <v>0.39071510659593545</v>
      </c>
      <c r="AP404" s="617">
        <f t="shared" si="2656"/>
        <v>0.22960658562266678</v>
      </c>
      <c r="AQ404" s="617">
        <f t="shared" si="2656"/>
        <v>0.41267001809408371</v>
      </c>
      <c r="AR404" s="617">
        <f t="shared" si="2656"/>
        <v>0.4058312876283996</v>
      </c>
      <c r="AS404" s="618">
        <f t="shared" si="2656"/>
        <v>0.366581744145143</v>
      </c>
      <c r="AT404" s="617">
        <f t="shared" si="2656"/>
        <v>0.10730661769367603</v>
      </c>
      <c r="AU404" s="617">
        <f t="shared" si="2656"/>
        <v>0.13744018708633915</v>
      </c>
      <c r="AV404" s="617">
        <f t="shared" si="2656"/>
        <v>0.21185560983365867</v>
      </c>
      <c r="AW404" s="617">
        <f t="shared" si="2656"/>
        <v>0.1726825667949613</v>
      </c>
      <c r="AX404" s="617">
        <f t="shared" si="2656"/>
        <v>0.122542054658387</v>
      </c>
      <c r="AY404" s="617">
        <f t="shared" si="2656"/>
        <v>0.15559233581450616</v>
      </c>
      <c r="AZ404" s="617">
        <f t="shared" si="2656"/>
        <v>0.16040639543286642</v>
      </c>
      <c r="BA404" s="617">
        <f t="shared" si="2656"/>
        <v>0.22399450331553367</v>
      </c>
      <c r="BB404" s="617">
        <f t="shared" si="2656"/>
        <v>0.12329926437080919</v>
      </c>
      <c r="BC404" s="617">
        <f t="shared" si="2656"/>
        <v>6.2779799591205943E-2</v>
      </c>
      <c r="BD404" s="617">
        <f t="shared" si="2656"/>
        <v>9.9444835478322474E-2</v>
      </c>
      <c r="BE404" s="617">
        <f t="shared" si="2656"/>
        <v>0.17772875694807946</v>
      </c>
      <c r="BF404" s="617">
        <f t="shared" si="2656"/>
        <v>0.13941307454551496</v>
      </c>
      <c r="BG404" s="617">
        <f t="shared" si="2656"/>
        <v>0.12932215141648229</v>
      </c>
      <c r="BH404" s="617">
        <f t="shared" si="2656"/>
        <v>5.7228447908787151E-2</v>
      </c>
      <c r="BI404" s="617">
        <f t="shared" si="2656"/>
        <v>1.4706581361523325E-2</v>
      </c>
      <c r="BJ404" s="617">
        <f t="shared" si="2656"/>
        <v>0.40895463939954313</v>
      </c>
      <c r="BK404" s="617">
        <f t="shared" si="2656"/>
        <v>0.12483998631944106</v>
      </c>
      <c r="BL404" s="617">
        <f t="shared" si="2656"/>
        <v>3.5409497003680464E-2</v>
      </c>
      <c r="BM404" s="617">
        <f t="shared" si="2656"/>
        <v>0.16958620129159713</v>
      </c>
      <c r="BN404" s="617">
        <f t="shared" ref="BN404:CI404" si="2657">SUM(BN139,BN147)/BN$362</f>
        <v>0.15874164296422252</v>
      </c>
      <c r="BO404" s="617">
        <f t="shared" si="2657"/>
        <v>0.16177672632061615</v>
      </c>
      <c r="BP404" s="617">
        <f t="shared" si="2657"/>
        <v>2.9537524423069436E-2</v>
      </c>
      <c r="BQ404" s="617">
        <f t="shared" si="2657"/>
        <v>-0.17587513975399907</v>
      </c>
      <c r="BR404" s="617">
        <f t="shared" si="2657"/>
        <v>8.7271053866905715E-2</v>
      </c>
      <c r="BS404" s="617">
        <f t="shared" si="2657"/>
        <v>0.54380189793717437</v>
      </c>
      <c r="BT404" s="617">
        <f t="shared" si="2657"/>
        <v>0.40425999215405889</v>
      </c>
      <c r="BU404" s="617">
        <f t="shared" si="2657"/>
        <v>0.33874078986532707</v>
      </c>
      <c r="BV404" s="617">
        <f t="shared" si="2657"/>
        <v>2.7570918915174398E-2</v>
      </c>
      <c r="BW404" s="617">
        <f t="shared" si="2657"/>
        <v>3.9679895393938631E-2</v>
      </c>
      <c r="BX404" s="617">
        <f t="shared" si="2657"/>
        <v>0.50937172386771579</v>
      </c>
      <c r="BY404" s="617">
        <f t="shared" si="2657"/>
        <v>0.36246381380951015</v>
      </c>
      <c r="BZ404" s="617">
        <f t="shared" si="2657"/>
        <v>3.7821359679084197E-2</v>
      </c>
      <c r="CA404" s="617">
        <f t="shared" si="2657"/>
        <v>0.20870741511805282</v>
      </c>
      <c r="CB404" s="617">
        <f t="shared" si="2657"/>
        <v>0.25396775182965659</v>
      </c>
      <c r="CC404" s="617">
        <f t="shared" si="2657"/>
        <v>0.24397345702301426</v>
      </c>
      <c r="CD404" s="617">
        <f t="shared" si="2657"/>
        <v>0.31818300098014557</v>
      </c>
      <c r="CE404" s="617">
        <f t="shared" si="2657"/>
        <v>0.48397330405224132</v>
      </c>
      <c r="CF404" s="617">
        <f t="shared" si="2657"/>
        <v>0.45409017950389358</v>
      </c>
      <c r="CG404" s="617">
        <f t="shared" si="2657"/>
        <v>0.28150822707201345</v>
      </c>
      <c r="CH404" s="617">
        <f t="shared" si="2657"/>
        <v>0.3717452345147006</v>
      </c>
      <c r="CI404" s="617">
        <f t="shared" si="2657"/>
        <v>0.39308120418320452</v>
      </c>
      <c r="CJ404" s="617">
        <v>0.36712504523472711</v>
      </c>
      <c r="CK404" s="617">
        <f t="shared" ref="CK404:CO404" si="2658">SUM(CK139,CK147)/CK$362</f>
        <v>0.22174474692601115</v>
      </c>
      <c r="CL404" s="617" t="e">
        <f t="shared" si="2658"/>
        <v>#DIV/0!</v>
      </c>
      <c r="CM404" s="617" t="e">
        <f t="shared" si="2658"/>
        <v>#DIV/0!</v>
      </c>
      <c r="CN404" s="617">
        <f t="shared" si="2658"/>
        <v>0.29647275671173923</v>
      </c>
      <c r="CO404" s="617" t="e">
        <f t="shared" si="2658"/>
        <v>#DIV/0!</v>
      </c>
    </row>
    <row r="405" spans="1:93" s="289" customFormat="1" x14ac:dyDescent="0.25">
      <c r="A405" s="455" t="str">
        <f>Language!C325</f>
        <v>Concepa</v>
      </c>
      <c r="B405" s="604">
        <f t="shared" ref="B405:AS405" si="2659">SUM(B140,B148)/B$366</f>
        <v>0.5934597746180259</v>
      </c>
      <c r="C405" s="604">
        <f t="shared" si="2659"/>
        <v>0.4295822400424541</v>
      </c>
      <c r="D405" s="604">
        <f t="shared" si="2659"/>
        <v>0.59217398749892969</v>
      </c>
      <c r="E405" s="604">
        <f t="shared" si="2659"/>
        <v>0.57671426616177746</v>
      </c>
      <c r="F405" s="605">
        <f t="shared" si="2659"/>
        <v>0.58441091954022983</v>
      </c>
      <c r="G405" s="604">
        <f t="shared" si="2659"/>
        <v>0.37056565139493219</v>
      </c>
      <c r="H405" s="604">
        <f t="shared" si="2659"/>
        <v>0.57526105989092957</v>
      </c>
      <c r="I405" s="604">
        <f t="shared" si="2659"/>
        <v>0.53945332645693655</v>
      </c>
      <c r="J405" s="605">
        <f t="shared" si="2659"/>
        <v>0.58476319979961</v>
      </c>
      <c r="K405" s="604">
        <f t="shared" si="2659"/>
        <v>0.45761468705547653</v>
      </c>
      <c r="L405" s="604">
        <f t="shared" si="2659"/>
        <v>0.43997981454614271</v>
      </c>
      <c r="M405" s="604">
        <f t="shared" si="2659"/>
        <v>0.56888179450558685</v>
      </c>
      <c r="N405" s="605">
        <f t="shared" si="2659"/>
        <v>0.5708237571065683</v>
      </c>
      <c r="O405" s="604">
        <f t="shared" si="2659"/>
        <v>0.4618921108661655</v>
      </c>
      <c r="P405" s="604">
        <f t="shared" si="2659"/>
        <v>0.55884776128346092</v>
      </c>
      <c r="Q405" s="604">
        <f t="shared" si="2659"/>
        <v>0.65791435702940126</v>
      </c>
      <c r="R405" s="605">
        <f t="shared" si="2659"/>
        <v>0.75988671259025642</v>
      </c>
      <c r="S405" s="604">
        <f t="shared" si="2659"/>
        <v>0.67071190052362828</v>
      </c>
      <c r="T405" s="604">
        <f t="shared" si="2659"/>
        <v>0.6276769509981851</v>
      </c>
      <c r="U405" s="604">
        <f t="shared" si="2659"/>
        <v>0.14590518970081015</v>
      </c>
      <c r="V405" s="604">
        <f t="shared" si="2659"/>
        <v>0.72029650139886359</v>
      </c>
      <c r="W405" s="606">
        <f t="shared" si="2659"/>
        <v>0.69177428691191445</v>
      </c>
      <c r="X405" s="607">
        <f t="shared" si="2659"/>
        <v>0.62085961597243444</v>
      </c>
      <c r="Y405" s="608">
        <f t="shared" si="2659"/>
        <v>0.51118580935292646</v>
      </c>
      <c r="Z405" s="606">
        <f t="shared" si="2659"/>
        <v>0.41357905880088536</v>
      </c>
      <c r="AA405" s="606">
        <f t="shared" si="2659"/>
        <v>0.4350153985251321</v>
      </c>
      <c r="AB405" s="604">
        <f t="shared" si="2659"/>
        <v>0.3699610186503583</v>
      </c>
      <c r="AC405" s="606">
        <f t="shared" si="2659"/>
        <v>0.47072551261934525</v>
      </c>
      <c r="AD405" s="606">
        <f t="shared" si="2659"/>
        <v>0.45929743659297434</v>
      </c>
      <c r="AE405" s="607">
        <f t="shared" si="2659"/>
        <v>0.43435373706301</v>
      </c>
      <c r="AF405" s="606">
        <f t="shared" si="2659"/>
        <v>0.31046416333908561</v>
      </c>
      <c r="AG405" s="606">
        <f t="shared" si="2659"/>
        <v>-5.526089122641592E-2</v>
      </c>
      <c r="AH405" s="606">
        <f t="shared" si="2659"/>
        <v>0.76940708752574194</v>
      </c>
      <c r="AI405" s="604">
        <f t="shared" si="2659"/>
        <v>0.74895621946998592</v>
      </c>
      <c r="AJ405" s="606">
        <f t="shared" si="2659"/>
        <v>0.15480361035867254</v>
      </c>
      <c r="AK405" s="606">
        <f t="shared" si="2659"/>
        <v>0.29698032489011922</v>
      </c>
      <c r="AL405" s="607">
        <f t="shared" si="2659"/>
        <v>0.3819337106235684</v>
      </c>
      <c r="AM405" s="606">
        <f t="shared" si="2659"/>
        <v>0.73541081167927969</v>
      </c>
      <c r="AN405" s="606">
        <f t="shared" si="2659"/>
        <v>0.58499531401415628</v>
      </c>
      <c r="AO405" s="606">
        <f t="shared" si="2659"/>
        <v>13.272895944721791</v>
      </c>
      <c r="AP405" s="606">
        <f t="shared" si="2659"/>
        <v>27.608398499141355</v>
      </c>
      <c r="AQ405" s="606">
        <f t="shared" si="2659"/>
        <v>0.67166964323961653</v>
      </c>
      <c r="AR405" s="606">
        <f t="shared" si="2659"/>
        <v>0.37645664002114015</v>
      </c>
      <c r="AS405" s="607">
        <f t="shared" si="2659"/>
        <v>0.34339929800225005</v>
      </c>
      <c r="AT405" s="606"/>
      <c r="AU405" s="606"/>
      <c r="AV405" s="606"/>
      <c r="AW405" s="606"/>
      <c r="AX405" s="606"/>
      <c r="AY405" s="606"/>
      <c r="AZ405" s="606"/>
      <c r="BA405" s="606"/>
      <c r="BB405" s="606"/>
      <c r="BC405" s="606"/>
      <c r="BD405" s="606"/>
      <c r="BE405" s="606"/>
      <c r="BF405" s="606"/>
      <c r="BG405" s="606"/>
      <c r="BH405" s="606"/>
      <c r="BI405" s="606"/>
      <c r="BJ405" s="606"/>
      <c r="BK405" s="606"/>
      <c r="BL405" s="606"/>
      <c r="BM405" s="606"/>
      <c r="BN405" s="606"/>
      <c r="BO405" s="606"/>
      <c r="BP405" s="606"/>
      <c r="BQ405" s="606"/>
      <c r="BR405" s="606"/>
      <c r="BS405" s="606"/>
      <c r="BT405" s="606"/>
      <c r="BU405" s="606"/>
      <c r="BV405" s="606"/>
      <c r="BW405" s="606"/>
      <c r="BX405" s="606"/>
      <c r="BY405" s="606"/>
      <c r="BZ405" s="606"/>
      <c r="CA405" s="606"/>
      <c r="CB405" s="606"/>
      <c r="CC405" s="606"/>
      <c r="CD405" s="606"/>
      <c r="CE405" s="606"/>
      <c r="CF405" s="606"/>
      <c r="CG405" s="606"/>
      <c r="CH405" s="606"/>
      <c r="CI405" s="606"/>
      <c r="CJ405" s="606"/>
      <c r="CK405" s="606"/>
      <c r="CL405" s="606"/>
      <c r="CM405" s="606"/>
      <c r="CN405" s="606"/>
      <c r="CO405" s="606"/>
    </row>
    <row r="406" spans="1:93" s="289" customFormat="1" x14ac:dyDescent="0.25">
      <c r="A406" s="455" t="str">
        <f>Language!C326</f>
        <v>Concer</v>
      </c>
      <c r="B406" s="604">
        <f t="shared" ref="B406:AG406" si="2660">SUM(B141,B149)/B$367</f>
        <v>0.43724765039188412</v>
      </c>
      <c r="C406" s="604">
        <f t="shared" si="2660"/>
        <v>0.41215667703964282</v>
      </c>
      <c r="D406" s="604">
        <f t="shared" si="2660"/>
        <v>0.44031114735587479</v>
      </c>
      <c r="E406" s="604">
        <f t="shared" si="2660"/>
        <v>0.68117774566473988</v>
      </c>
      <c r="F406" s="605">
        <f t="shared" si="2660"/>
        <v>0.5086108951743108</v>
      </c>
      <c r="G406" s="604">
        <f t="shared" si="2660"/>
        <v>0.46895620415554123</v>
      </c>
      <c r="H406" s="604">
        <f t="shared" si="2660"/>
        <v>0.50747736542188537</v>
      </c>
      <c r="I406" s="604">
        <f t="shared" si="2660"/>
        <v>0.57095469052345893</v>
      </c>
      <c r="J406" s="605">
        <f t="shared" si="2660"/>
        <v>0.4504741366577058</v>
      </c>
      <c r="K406" s="604">
        <f t="shared" si="2660"/>
        <v>0.41025717347303248</v>
      </c>
      <c r="L406" s="604">
        <f t="shared" si="2660"/>
        <v>0.45303308069061754</v>
      </c>
      <c r="M406" s="604">
        <f t="shared" si="2660"/>
        <v>0.45164659959316072</v>
      </c>
      <c r="N406" s="605">
        <f t="shared" si="2660"/>
        <v>0.41291629162916293</v>
      </c>
      <c r="O406" s="604">
        <f t="shared" si="2660"/>
        <v>0.62546474683972153</v>
      </c>
      <c r="P406" s="604">
        <f t="shared" si="2660"/>
        <v>0.7636612194782344</v>
      </c>
      <c r="Q406" s="604">
        <f t="shared" si="2660"/>
        <v>-0.9196132057042391</v>
      </c>
      <c r="R406" s="605">
        <f t="shared" si="2660"/>
        <v>0.87401179732276679</v>
      </c>
      <c r="S406" s="604">
        <f t="shared" si="2660"/>
        <v>0.62589014628760697</v>
      </c>
      <c r="T406" s="604">
        <f t="shared" si="2660"/>
        <v>0.61197874080130821</v>
      </c>
      <c r="U406" s="604">
        <f t="shared" si="2660"/>
        <v>0.64665795899823952</v>
      </c>
      <c r="V406" s="604">
        <f t="shared" si="2660"/>
        <v>0.80974147299384192</v>
      </c>
      <c r="W406" s="606">
        <f t="shared" si="2660"/>
        <v>0.77234813932994228</v>
      </c>
      <c r="X406" s="607">
        <f t="shared" si="2660"/>
        <v>0.75103594596069345</v>
      </c>
      <c r="Y406" s="608">
        <f t="shared" si="2660"/>
        <v>0.49070303578738717</v>
      </c>
      <c r="Z406" s="606">
        <f t="shared" si="2660"/>
        <v>0.45816006582312258</v>
      </c>
      <c r="AA406" s="606">
        <f t="shared" si="2660"/>
        <v>0.43378096781662423</v>
      </c>
      <c r="AB406" s="604">
        <f t="shared" si="2660"/>
        <v>0.46142322097378274</v>
      </c>
      <c r="AC406" s="606">
        <f t="shared" si="2660"/>
        <v>0.47468866954104749</v>
      </c>
      <c r="AD406" s="606">
        <f t="shared" si="2660"/>
        <v>0.46155961121184197</v>
      </c>
      <c r="AE406" s="607">
        <f t="shared" si="2660"/>
        <v>0.46152521087785198</v>
      </c>
      <c r="AF406" s="606">
        <f t="shared" si="2660"/>
        <v>0.40013861884310048</v>
      </c>
      <c r="AG406" s="606">
        <f t="shared" si="2660"/>
        <v>0.34692196311666645</v>
      </c>
      <c r="AH406" s="606">
        <f t="shared" ref="AH406:BM406" si="2661">SUM(AH141,AH149)/AH$367</f>
        <v>0.33118021475172416</v>
      </c>
      <c r="AI406" s="604">
        <f t="shared" si="2661"/>
        <v>0.27651148221653576</v>
      </c>
      <c r="AJ406" s="606">
        <f t="shared" si="2661"/>
        <v>0.36978919871923915</v>
      </c>
      <c r="AK406" s="606">
        <f t="shared" si="2661"/>
        <v>0.35689318946303411</v>
      </c>
      <c r="AL406" s="607">
        <f t="shared" si="2661"/>
        <v>0.33651283651375108</v>
      </c>
      <c r="AM406" s="606">
        <f t="shared" si="2661"/>
        <v>0.21459211296956643</v>
      </c>
      <c r="AN406" s="606">
        <f t="shared" si="2661"/>
        <v>0.20587239296987281</v>
      </c>
      <c r="AO406" s="606">
        <f t="shared" si="2661"/>
        <v>0.32011930939486472</v>
      </c>
      <c r="AP406" s="606">
        <f t="shared" si="2661"/>
        <v>9.3094638745204711E-2</v>
      </c>
      <c r="AQ406" s="606">
        <f t="shared" si="2661"/>
        <v>0.21035643434220641</v>
      </c>
      <c r="AR406" s="606">
        <f t="shared" si="2661"/>
        <v>0.25122462863393985</v>
      </c>
      <c r="AS406" s="607">
        <f t="shared" si="2661"/>
        <v>0.20822251727897645</v>
      </c>
      <c r="AT406" s="606">
        <f t="shared" si="2661"/>
        <v>-0.39801691969818304</v>
      </c>
      <c r="AU406" s="606">
        <f t="shared" si="2661"/>
        <v>-0.36226670825152302</v>
      </c>
      <c r="AV406" s="606">
        <f t="shared" si="2661"/>
        <v>-0.39442476364162948</v>
      </c>
      <c r="AW406" s="606">
        <f t="shared" si="2661"/>
        <v>-0.42693036366788323</v>
      </c>
      <c r="AX406" s="606">
        <f t="shared" si="2661"/>
        <v>-0.37965889116596141</v>
      </c>
      <c r="AY406" s="606">
        <f t="shared" si="2661"/>
        <v>-0.38467062838740812</v>
      </c>
      <c r="AZ406" s="606">
        <f t="shared" si="2661"/>
        <v>-0.39550287719293015</v>
      </c>
      <c r="BA406" s="606">
        <f t="shared" si="2661"/>
        <v>-0.28803680981595092</v>
      </c>
      <c r="BB406" s="606">
        <f t="shared" si="2661"/>
        <v>-0.44024262827954491</v>
      </c>
      <c r="BC406" s="606">
        <f t="shared" si="2661"/>
        <v>-0.46706930084962639</v>
      </c>
      <c r="BD406" s="606">
        <f t="shared" si="2661"/>
        <v>-0.51934406544335621</v>
      </c>
      <c r="BE406" s="606">
        <f t="shared" si="2661"/>
        <v>-0.35095254090887279</v>
      </c>
      <c r="BF406" s="606">
        <f t="shared" si="2661"/>
        <v>-0.39385481199083217</v>
      </c>
      <c r="BG406" s="606">
        <f t="shared" si="2661"/>
        <v>-0.42991067337290229</v>
      </c>
      <c r="BH406" s="606">
        <f t="shared" si="2661"/>
        <v>-0.64840257556494274</v>
      </c>
      <c r="BI406" s="606">
        <f t="shared" si="2661"/>
        <v>-0.61476776331061267</v>
      </c>
      <c r="BJ406" s="606">
        <f t="shared" si="2661"/>
        <v>0.96284209320966452</v>
      </c>
      <c r="BK406" s="606">
        <f t="shared" si="2661"/>
        <v>0.17854160093539467</v>
      </c>
      <c r="BL406" s="606">
        <f t="shared" si="2661"/>
        <v>-0.63182636007196868</v>
      </c>
      <c r="BM406" s="606">
        <f t="shared" si="2661"/>
        <v>-6.9343188534577355E-2</v>
      </c>
      <c r="BN406" s="606">
        <f t="shared" ref="BN406:CI406" si="2662">SUM(BN141,BN149)/BN$367</f>
        <v>-3.3640926335757192E-3</v>
      </c>
      <c r="BO406" s="606">
        <f t="shared" si="2662"/>
        <v>0.1483756456534312</v>
      </c>
      <c r="BP406" s="606">
        <f t="shared" si="2662"/>
        <v>0.13343575736884034</v>
      </c>
      <c r="BQ406" s="606">
        <f t="shared" si="2662"/>
        <v>0.21223487237361835</v>
      </c>
      <c r="BR406" s="606">
        <f t="shared" si="2662"/>
        <v>0.17528525515669904</v>
      </c>
      <c r="BS406" s="606">
        <f t="shared" si="2662"/>
        <v>0.14088002569418084</v>
      </c>
      <c r="BT406" s="606">
        <f t="shared" si="2662"/>
        <v>0.16725664259728468</v>
      </c>
      <c r="BU406" s="606">
        <f t="shared" si="2662"/>
        <v>0.16938523407631825</v>
      </c>
      <c r="BV406" s="606">
        <f t="shared" si="2662"/>
        <v>0.2978668985625863</v>
      </c>
      <c r="BW406" s="606">
        <f t="shared" si="2662"/>
        <v>0.24703095922855692</v>
      </c>
      <c r="BX406" s="606">
        <f t="shared" si="2662"/>
        <v>0.23587052724743962</v>
      </c>
      <c r="BY406" s="606">
        <f t="shared" si="2662"/>
        <v>0.24538815685029369</v>
      </c>
      <c r="BZ406" s="606">
        <f t="shared" si="2662"/>
        <v>0.28491724483470199</v>
      </c>
      <c r="CA406" s="606">
        <f t="shared" si="2662"/>
        <v>0.26777477641703817</v>
      </c>
      <c r="CB406" s="606">
        <f t="shared" si="2662"/>
        <v>0.26575327660671161</v>
      </c>
      <c r="CC406" s="606">
        <f t="shared" si="2662"/>
        <v>0.34225912067352665</v>
      </c>
      <c r="CD406" s="606">
        <f t="shared" si="2662"/>
        <v>0.28754963131026662</v>
      </c>
      <c r="CE406" s="606">
        <f t="shared" si="2662"/>
        <v>0.31816178091249725</v>
      </c>
      <c r="CF406" s="606">
        <f t="shared" si="2662"/>
        <v>0.29991352286239326</v>
      </c>
      <c r="CG406" s="606">
        <f t="shared" si="2662"/>
        <v>0.31449012494961709</v>
      </c>
      <c r="CH406" s="606">
        <f t="shared" si="2662"/>
        <v>0.31801581746587249</v>
      </c>
      <c r="CI406" s="606">
        <f t="shared" si="2662"/>
        <v>0.31329899411679796</v>
      </c>
      <c r="CJ406" s="606">
        <v>0.31788456070514642</v>
      </c>
      <c r="CK406" s="606">
        <f t="shared" ref="CK406:CO406" si="2663">SUM(CK141,CK149)/CK$367</f>
        <v>-0.12472299562475141</v>
      </c>
      <c r="CL406" s="606" t="e">
        <f t="shared" si="2663"/>
        <v>#DIV/0!</v>
      </c>
      <c r="CM406" s="606" t="e">
        <f t="shared" si="2663"/>
        <v>#DIV/0!</v>
      </c>
      <c r="CN406" s="606">
        <f t="shared" si="2663"/>
        <v>9.6492723965438842E-2</v>
      </c>
      <c r="CO406" s="606" t="e">
        <f t="shared" si="2663"/>
        <v>#DIV/0!</v>
      </c>
    </row>
    <row r="407" spans="1:93" x14ac:dyDescent="0.25">
      <c r="A407" s="455" t="str">
        <f>Language!C327</f>
        <v>Econorte</v>
      </c>
      <c r="B407" s="604">
        <f t="shared" ref="B407:AG407" si="2664">SUM(B142,B150)/B$368</f>
        <v>0.50158997988188725</v>
      </c>
      <c r="C407" s="604">
        <f t="shared" si="2664"/>
        <v>0.49819300025361402</v>
      </c>
      <c r="D407" s="604">
        <f t="shared" si="2664"/>
        <v>0.54317692377688132</v>
      </c>
      <c r="E407" s="604">
        <f t="shared" si="2664"/>
        <v>0.57060410080914126</v>
      </c>
      <c r="F407" s="605">
        <f t="shared" si="2664"/>
        <v>0.5797267856091386</v>
      </c>
      <c r="G407" s="604">
        <f t="shared" si="2664"/>
        <v>0.67381636666162459</v>
      </c>
      <c r="H407" s="604">
        <f t="shared" si="2664"/>
        <v>0.65570011878124912</v>
      </c>
      <c r="I407" s="604">
        <f t="shared" si="2664"/>
        <v>0.66777628067950645</v>
      </c>
      <c r="J407" s="605">
        <f t="shared" si="2664"/>
        <v>0.65344655344655345</v>
      </c>
      <c r="K407" s="604">
        <f t="shared" si="2664"/>
        <v>0.55985667293233088</v>
      </c>
      <c r="L407" s="604">
        <f t="shared" si="2664"/>
        <v>0.6032354302762204</v>
      </c>
      <c r="M407" s="604">
        <f t="shared" si="2664"/>
        <v>0.59147558541453682</v>
      </c>
      <c r="N407" s="605">
        <f t="shared" si="2664"/>
        <v>0.60868132146750842</v>
      </c>
      <c r="O407" s="604">
        <f t="shared" si="2664"/>
        <v>0.61807927144779051</v>
      </c>
      <c r="P407" s="604">
        <f t="shared" si="2664"/>
        <v>0.5953252391650049</v>
      </c>
      <c r="Q407" s="604">
        <f t="shared" si="2664"/>
        <v>0.60636468565236845</v>
      </c>
      <c r="R407" s="605">
        <f t="shared" si="2664"/>
        <v>0.52127952304517311</v>
      </c>
      <c r="S407" s="604">
        <f t="shared" si="2664"/>
        <v>0.44577350541175331</v>
      </c>
      <c r="T407" s="604">
        <f t="shared" si="2664"/>
        <v>0.50003428336342648</v>
      </c>
      <c r="U407" s="604">
        <f t="shared" si="2664"/>
        <v>0.68459246810786034</v>
      </c>
      <c r="V407" s="604">
        <f t="shared" si="2664"/>
        <v>0.48455405198506635</v>
      </c>
      <c r="W407" s="606">
        <f t="shared" si="2664"/>
        <v>0.48981828356468887</v>
      </c>
      <c r="X407" s="607">
        <f t="shared" si="2664"/>
        <v>0.54615911526521055</v>
      </c>
      <c r="Y407" s="608">
        <f t="shared" si="2664"/>
        <v>0.49613761897967917</v>
      </c>
      <c r="Z407" s="606">
        <f t="shared" si="2664"/>
        <v>0.46567226890756303</v>
      </c>
      <c r="AA407" s="606">
        <f t="shared" si="2664"/>
        <v>0.50165505047389958</v>
      </c>
      <c r="AB407" s="604">
        <f t="shared" si="2664"/>
        <v>0.52606748283069571</v>
      </c>
      <c r="AC407" s="606">
        <f t="shared" si="2664"/>
        <v>0.48113549134622347</v>
      </c>
      <c r="AD407" s="606">
        <f t="shared" si="2664"/>
        <v>0.4880042945038609</v>
      </c>
      <c r="AE407" s="607">
        <f t="shared" si="2664"/>
        <v>0.49778302827597848</v>
      </c>
      <c r="AF407" s="606">
        <f t="shared" si="2664"/>
        <v>0.43746842452429052</v>
      </c>
      <c r="AG407" s="606">
        <f t="shared" si="2664"/>
        <v>0.4646151303710932</v>
      </c>
      <c r="AH407" s="606">
        <f t="shared" ref="AH407:BM407" si="2665">SUM(AH142,AH150)/AH$368</f>
        <v>0.52496619548222034</v>
      </c>
      <c r="AI407" s="604">
        <f t="shared" si="2665"/>
        <v>0.52718427600856388</v>
      </c>
      <c r="AJ407" s="606">
        <f t="shared" si="2665"/>
        <v>0.45100163453908326</v>
      </c>
      <c r="AK407" s="606">
        <f t="shared" si="2665"/>
        <v>0.47690389023059521</v>
      </c>
      <c r="AL407" s="607">
        <f t="shared" si="2665"/>
        <v>0.49000525285098617</v>
      </c>
      <c r="AM407" s="606">
        <f t="shared" si="2665"/>
        <v>0.40954970177537758</v>
      </c>
      <c r="AN407" s="606">
        <f t="shared" si="2665"/>
        <v>0.37272560501161922</v>
      </c>
      <c r="AO407" s="606">
        <f t="shared" si="2665"/>
        <v>0.47310787085675682</v>
      </c>
      <c r="AP407" s="606">
        <f t="shared" si="2665"/>
        <v>0.22810229319055483</v>
      </c>
      <c r="AQ407" s="606">
        <f t="shared" si="2665"/>
        <v>0.39187520043132079</v>
      </c>
      <c r="AR407" s="606">
        <f t="shared" si="2665"/>
        <v>0.4203716379782349</v>
      </c>
      <c r="AS407" s="607">
        <f t="shared" si="2665"/>
        <v>0.37914514970105101</v>
      </c>
      <c r="AT407" s="606">
        <f t="shared" si="2665"/>
        <v>0.3568716483344424</v>
      </c>
      <c r="AU407" s="606">
        <f t="shared" si="2665"/>
        <v>0.49132350706579547</v>
      </c>
      <c r="AV407" s="606">
        <f t="shared" si="2665"/>
        <v>0.64458266452648472</v>
      </c>
      <c r="AW407" s="606">
        <f t="shared" si="2665"/>
        <v>0.5083435716396324</v>
      </c>
      <c r="AX407" s="606">
        <f t="shared" si="2665"/>
        <v>0.4325600492711969</v>
      </c>
      <c r="AY407" s="606">
        <f t="shared" si="2665"/>
        <v>0.53014073061722011</v>
      </c>
      <c r="AZ407" s="606">
        <f t="shared" si="2665"/>
        <v>0.52202001239911233</v>
      </c>
      <c r="BA407" s="606">
        <f t="shared" si="2665"/>
        <v>0.54335721348158683</v>
      </c>
      <c r="BB407" s="606">
        <f t="shared" si="2665"/>
        <v>0.38749386553247178</v>
      </c>
      <c r="BC407" s="606">
        <f t="shared" si="2665"/>
        <v>0.47530775033302841</v>
      </c>
      <c r="BD407" s="606">
        <f t="shared" si="2665"/>
        <v>0.40685627072877228</v>
      </c>
      <c r="BE407" s="606">
        <f t="shared" si="2665"/>
        <v>0.47182153482304579</v>
      </c>
      <c r="BF407" s="606">
        <f t="shared" si="2665"/>
        <v>0.47310790003553238</v>
      </c>
      <c r="BG407" s="606">
        <f t="shared" si="2665"/>
        <v>0.45405945941384462</v>
      </c>
      <c r="BH407" s="606">
        <f t="shared" si="2665"/>
        <v>0.4254401837836137</v>
      </c>
      <c r="BI407" s="606">
        <f t="shared" si="2665"/>
        <v>0.17123309020634625</v>
      </c>
      <c r="BJ407" s="606">
        <f t="shared" si="2665"/>
        <v>1.9722446159161581E-3</v>
      </c>
      <c r="BK407" s="606">
        <f t="shared" si="2665"/>
        <v>-0.47453196908091683</v>
      </c>
      <c r="BL407" s="606">
        <f t="shared" si="2665"/>
        <v>0.29772857176413475</v>
      </c>
      <c r="BM407" s="606">
        <f t="shared" si="2665"/>
        <v>0.19353791693925884</v>
      </c>
      <c r="BN407" s="606">
        <f t="shared" ref="BN407:CI407" si="2666">SUM(BN142,BN150)/BN$368</f>
        <v>6.9937960594024212E-2</v>
      </c>
      <c r="BO407" s="606" t="e">
        <f t="shared" si="2666"/>
        <v>#DIV/0!</v>
      </c>
      <c r="BP407" s="606">
        <f t="shared" si="2666"/>
        <v>10.56842105263158</v>
      </c>
      <c r="BQ407" s="606">
        <f t="shared" si="2666"/>
        <v>4.8631578947368421</v>
      </c>
      <c r="BR407" s="606" t="e">
        <f t="shared" si="2666"/>
        <v>#DIV/0!</v>
      </c>
      <c r="BS407" s="606">
        <f t="shared" si="2666"/>
        <v>-35.389473684210529</v>
      </c>
      <c r="BT407" s="606" t="e">
        <f t="shared" si="2666"/>
        <v>#DIV/0!</v>
      </c>
      <c r="BU407" s="606" t="e">
        <f t="shared" si="2666"/>
        <v>#DIV/0!</v>
      </c>
      <c r="BV407" s="606" t="e">
        <f t="shared" si="2666"/>
        <v>#DIV/0!</v>
      </c>
      <c r="BW407" s="606" t="e">
        <f t="shared" si="2666"/>
        <v>#DIV/0!</v>
      </c>
      <c r="BX407" s="606" t="e">
        <f t="shared" si="2666"/>
        <v>#DIV/0!</v>
      </c>
      <c r="BY407" s="606" t="e">
        <f t="shared" si="2666"/>
        <v>#DIV/0!</v>
      </c>
      <c r="BZ407" s="606" t="e">
        <f t="shared" si="2666"/>
        <v>#DIV/0!</v>
      </c>
      <c r="CA407" s="606" t="e">
        <f t="shared" si="2666"/>
        <v>#DIV/0!</v>
      </c>
      <c r="CB407" s="606" t="e">
        <f t="shared" si="2666"/>
        <v>#DIV/0!</v>
      </c>
      <c r="CC407" s="606" t="e">
        <f t="shared" si="2666"/>
        <v>#DIV/0!</v>
      </c>
      <c r="CD407" s="606" t="e">
        <f t="shared" si="2666"/>
        <v>#DIV/0!</v>
      </c>
      <c r="CE407" s="606" t="e">
        <f t="shared" si="2666"/>
        <v>#DIV/0!</v>
      </c>
      <c r="CF407" s="606" t="e">
        <f t="shared" si="2666"/>
        <v>#DIV/0!</v>
      </c>
      <c r="CG407" s="606" t="e">
        <f t="shared" si="2666"/>
        <v>#DIV/0!</v>
      </c>
      <c r="CH407" s="606" t="e">
        <f t="shared" si="2666"/>
        <v>#DIV/0!</v>
      </c>
      <c r="CI407" s="606" t="e">
        <f t="shared" si="2666"/>
        <v>#DIV/0!</v>
      </c>
      <c r="CJ407" s="606" t="e">
        <v>#DIV/0!</v>
      </c>
      <c r="CK407" s="606" t="e">
        <f t="shared" ref="CK407:CO407" si="2667">SUM(CK142,CK150)/CK$368</f>
        <v>#DIV/0!</v>
      </c>
      <c r="CL407" s="606" t="e">
        <f t="shared" si="2667"/>
        <v>#DIV/0!</v>
      </c>
      <c r="CM407" s="606" t="e">
        <f t="shared" si="2667"/>
        <v>#DIV/0!</v>
      </c>
      <c r="CN407" s="606" t="e">
        <f t="shared" si="2667"/>
        <v>#DIV/0!</v>
      </c>
      <c r="CO407" s="606" t="e">
        <f t="shared" si="2667"/>
        <v>#DIV/0!</v>
      </c>
    </row>
    <row r="408" spans="1:93" x14ac:dyDescent="0.25">
      <c r="A408" s="455" t="str">
        <f>Language!C328</f>
        <v>Concebra</v>
      </c>
      <c r="B408" s="604"/>
      <c r="C408" s="604"/>
      <c r="D408" s="604"/>
      <c r="E408" s="604"/>
      <c r="F408" s="605"/>
      <c r="G408" s="604"/>
      <c r="H408" s="604"/>
      <c r="I408" s="604"/>
      <c r="J408" s="605"/>
      <c r="K408" s="604"/>
      <c r="L408" s="604"/>
      <c r="M408" s="604"/>
      <c r="N408" s="605"/>
      <c r="O408" s="604"/>
      <c r="P408" s="604"/>
      <c r="Q408" s="604"/>
      <c r="R408" s="605">
        <f t="shared" ref="R408:AB408" si="2668">SUM(R143,R151)/R$368</f>
        <v>8.0073377665673004E-2</v>
      </c>
      <c r="S408" s="604">
        <f t="shared" si="2668"/>
        <v>0.18528293663284826</v>
      </c>
      <c r="T408" s="604">
        <f t="shared" si="2668"/>
        <v>0.91845130619614657</v>
      </c>
      <c r="U408" s="604">
        <f t="shared" si="2668"/>
        <v>0.59903750668398137</v>
      </c>
      <c r="V408" s="604">
        <f t="shared" si="2668"/>
        <v>0.13124639319742312</v>
      </c>
      <c r="W408" s="606">
        <f t="shared" si="2668"/>
        <v>0.39894452130388147</v>
      </c>
      <c r="X408" s="607">
        <f t="shared" si="2668"/>
        <v>0.45682388165235932</v>
      </c>
      <c r="Y408" s="608">
        <f t="shared" si="2668"/>
        <v>0.59478629517151416</v>
      </c>
      <c r="Z408" s="606">
        <f t="shared" si="2668"/>
        <v>0.77661764705882352</v>
      </c>
      <c r="AA408" s="606">
        <f t="shared" si="2668"/>
        <v>0.81537449371903203</v>
      </c>
      <c r="AB408" s="604">
        <f t="shared" si="2668"/>
        <v>0.79402806808002391</v>
      </c>
      <c r="AC408" s="606">
        <f>SUM(AC143,AC151)/AC$369</f>
        <v>0.42329129152188799</v>
      </c>
      <c r="AD408" s="606">
        <f>SUM(AD143,AD151)/AD$369</f>
        <v>0.44211933812468662</v>
      </c>
      <c r="AE408" s="607">
        <f>SUM(AE143,AE151)/AE$369</f>
        <v>0.45479404162868808</v>
      </c>
      <c r="AF408" s="606">
        <f t="shared" ref="AF408:AI409" si="2669">SUM(AF143,AF151)/AF$368</f>
        <v>0.50583785224399813</v>
      </c>
      <c r="AG408" s="606">
        <f t="shared" si="2669"/>
        <v>0.3878444033524352</v>
      </c>
      <c r="AH408" s="606">
        <f t="shared" si="2669"/>
        <v>0.96292545078172276</v>
      </c>
      <c r="AI408" s="604">
        <f t="shared" si="2669"/>
        <v>0.38358948774955653</v>
      </c>
      <c r="AJ408" s="606">
        <f t="shared" ref="AJ408:BO408" si="2670">SUM(AJ143,AJ151)/AJ$369</f>
        <v>0.28800582646416761</v>
      </c>
      <c r="AK408" s="606">
        <f t="shared" si="2670"/>
        <v>0.37583759575152526</v>
      </c>
      <c r="AL408" s="607">
        <f t="shared" si="2670"/>
        <v>0.33433208105750967</v>
      </c>
      <c r="AM408" s="606">
        <f t="shared" si="2670"/>
        <v>0.37213581844862037</v>
      </c>
      <c r="AN408" s="606">
        <f t="shared" si="2670"/>
        <v>0.37937540053378332</v>
      </c>
      <c r="AO408" s="606">
        <f t="shared" si="2670"/>
        <v>0.63373169734506074</v>
      </c>
      <c r="AP408" s="606">
        <f t="shared" si="2670"/>
        <v>0.26889099110142656</v>
      </c>
      <c r="AQ408" s="606">
        <f t="shared" si="2670"/>
        <v>0.37571439051252775</v>
      </c>
      <c r="AR408" s="606">
        <f t="shared" si="2670"/>
        <v>0.46810887655454719</v>
      </c>
      <c r="AS408" s="607">
        <f t="shared" si="2670"/>
        <v>0.41942785800368698</v>
      </c>
      <c r="AT408" s="606">
        <f t="shared" si="2670"/>
        <v>0.26216684565068826</v>
      </c>
      <c r="AU408" s="606">
        <f t="shared" si="2670"/>
        <v>0.25098809551984474</v>
      </c>
      <c r="AV408" s="606">
        <f t="shared" si="2670"/>
        <v>0.28824962801630261</v>
      </c>
      <c r="AW408" s="606">
        <f t="shared" si="2670"/>
        <v>0.29365288674974177</v>
      </c>
      <c r="AX408" s="606">
        <f t="shared" si="2670"/>
        <v>0.25649143887053172</v>
      </c>
      <c r="AY408" s="606">
        <f t="shared" si="2670"/>
        <v>0.26785521381502803</v>
      </c>
      <c r="AZ408" s="606">
        <f t="shared" si="2670"/>
        <v>0.27455896378620093</v>
      </c>
      <c r="BA408" s="606">
        <f t="shared" si="2670"/>
        <v>0.3130199264848133</v>
      </c>
      <c r="BB408" s="606">
        <f t="shared" si="2670"/>
        <v>0.16525519496922239</v>
      </c>
      <c r="BC408" s="606">
        <f t="shared" si="2670"/>
        <v>-7.721305957590037E-2</v>
      </c>
      <c r="BD408" s="606">
        <f t="shared" si="2670"/>
        <v>0.16656975805149077</v>
      </c>
      <c r="BE408" s="606">
        <f t="shared" si="2670"/>
        <v>0.2426403074955199</v>
      </c>
      <c r="BF408" s="606">
        <f t="shared" si="2670"/>
        <v>0.15519391187120699</v>
      </c>
      <c r="BG408" s="606">
        <f t="shared" si="2670"/>
        <v>0.15771606596121823</v>
      </c>
      <c r="BH408" s="606">
        <f t="shared" si="2670"/>
        <v>8.9747484675733152E-2</v>
      </c>
      <c r="BI408" s="606">
        <f t="shared" si="2670"/>
        <v>5.1306429432437482E-2</v>
      </c>
      <c r="BJ408" s="606">
        <f t="shared" si="2670"/>
        <v>0.36247990163624327</v>
      </c>
      <c r="BK408" s="606">
        <f t="shared" si="2670"/>
        <v>0.22364180667113809</v>
      </c>
      <c r="BL408" s="606">
        <f t="shared" si="2670"/>
        <v>7.0034303226592834E-2</v>
      </c>
      <c r="BM408" s="606">
        <f t="shared" si="2670"/>
        <v>0.17408691165253287</v>
      </c>
      <c r="BN408" s="606">
        <f t="shared" si="2670"/>
        <v>0.1867390623368487</v>
      </c>
      <c r="BO408" s="606">
        <f t="shared" si="2670"/>
        <v>4.6315166083154793E-2</v>
      </c>
      <c r="BP408" s="606">
        <f t="shared" ref="BP408:CI408" si="2671">SUM(BP143,BP151)/BP$369</f>
        <v>-0.34167879511373483</v>
      </c>
      <c r="BQ408" s="606">
        <f t="shared" si="2671"/>
        <v>-1.509634786117837</v>
      </c>
      <c r="BR408" s="606">
        <f t="shared" si="2671"/>
        <v>-0.11392921570311829</v>
      </c>
      <c r="BS408" s="606">
        <f t="shared" si="2671"/>
        <v>0.67624234076240919</v>
      </c>
      <c r="BT408" s="606">
        <f t="shared" si="2671"/>
        <v>0.48872618066238693</v>
      </c>
      <c r="BU408" s="606">
        <f t="shared" si="2671"/>
        <v>0.38765723341226893</v>
      </c>
      <c r="BV408" s="606">
        <f t="shared" si="2671"/>
        <v>-0.41011091049780757</v>
      </c>
      <c r="BW408" s="606">
        <f t="shared" si="2671"/>
        <v>-0.43414863593603009</v>
      </c>
      <c r="BX408" s="606">
        <f t="shared" si="2671"/>
        <v>0.78390283895890944</v>
      </c>
      <c r="BY408" s="606">
        <f t="shared" si="2671"/>
        <v>0.39991725549543272</v>
      </c>
      <c r="BZ408" s="606">
        <f t="shared" si="2671"/>
        <v>-0.42073531528361935</v>
      </c>
      <c r="CA408" s="606">
        <f t="shared" si="2671"/>
        <v>1.925643953812968E-2</v>
      </c>
      <c r="CB408" s="606">
        <f t="shared" si="2671"/>
        <v>0.14028953799926611</v>
      </c>
      <c r="CC408" s="606">
        <f t="shared" si="2671"/>
        <v>7.9498467326846137E-2</v>
      </c>
      <c r="CD408" s="606">
        <f t="shared" si="2671"/>
        <v>0.25253091226803925</v>
      </c>
      <c r="CE408" s="606">
        <f t="shared" si="2671"/>
        <v>0.54180159281122131</v>
      </c>
      <c r="CF408" s="606">
        <f t="shared" si="2671"/>
        <v>0.54634657641502282</v>
      </c>
      <c r="CG408" s="606">
        <f t="shared" si="2671"/>
        <v>0.16625320807363214</v>
      </c>
      <c r="CH408" s="606">
        <f t="shared" si="2671"/>
        <v>0.36333253381726682</v>
      </c>
      <c r="CI408" s="606">
        <f t="shared" si="2671"/>
        <v>0.41161507631108135</v>
      </c>
      <c r="CJ408" s="606">
        <v>0.36580880802355104</v>
      </c>
      <c r="CK408" s="606">
        <f t="shared" ref="CK408:CO408" si="2672">SUM(CK143,CK151)/CK$369</f>
        <v>0.36026330962906017</v>
      </c>
      <c r="CL408" s="606" t="e">
        <f t="shared" si="2672"/>
        <v>#DIV/0!</v>
      </c>
      <c r="CM408" s="606" t="e">
        <f t="shared" si="2672"/>
        <v>#DIV/0!</v>
      </c>
      <c r="CN408" s="606">
        <f t="shared" si="2672"/>
        <v>0.36321655264115432</v>
      </c>
      <c r="CO408" s="606" t="e">
        <f t="shared" si="2672"/>
        <v>#DIV/0!</v>
      </c>
    </row>
    <row r="409" spans="1:93" s="289" customFormat="1" x14ac:dyDescent="0.25">
      <c r="A409" s="543" t="str">
        <f>Language!C329</f>
        <v>Transbrasiliana</v>
      </c>
      <c r="B409" s="610"/>
      <c r="C409" s="610"/>
      <c r="D409" s="610"/>
      <c r="E409" s="610"/>
      <c r="F409" s="611"/>
      <c r="G409" s="610"/>
      <c r="H409" s="610"/>
      <c r="I409" s="610"/>
      <c r="J409" s="611"/>
      <c r="K409" s="610"/>
      <c r="L409" s="610"/>
      <c r="M409" s="610"/>
      <c r="N409" s="611"/>
      <c r="O409" s="610"/>
      <c r="P409" s="610"/>
      <c r="Q409" s="610"/>
      <c r="R409" s="605">
        <f t="shared" ref="R409:AB409" si="2673">SUM(R144,R152)/R$368</f>
        <v>0.20825498738821371</v>
      </c>
      <c r="S409" s="604">
        <f t="shared" si="2673"/>
        <v>0.17952008523208796</v>
      </c>
      <c r="T409" s="604">
        <f t="shared" si="2673"/>
        <v>0.19486663771627089</v>
      </c>
      <c r="U409" s="604">
        <f t="shared" si="2673"/>
        <v>0.23437858070430068</v>
      </c>
      <c r="V409" s="604">
        <f t="shared" si="2673"/>
        <v>0.19427858059805203</v>
      </c>
      <c r="W409" s="606">
        <f t="shared" si="2673"/>
        <v>0.19447855621706486</v>
      </c>
      <c r="X409" s="607">
        <f t="shared" si="2673"/>
        <v>0.20602012970512523</v>
      </c>
      <c r="Y409" s="608">
        <f t="shared" si="2673"/>
        <v>0.19805148482563234</v>
      </c>
      <c r="Z409" s="606">
        <f t="shared" si="2673"/>
        <v>0.20888655462184874</v>
      </c>
      <c r="AA409" s="606">
        <f t="shared" si="2673"/>
        <v>0.13302082690844796</v>
      </c>
      <c r="AB409" s="604">
        <f t="shared" si="2673"/>
        <v>0.45631531800537473</v>
      </c>
      <c r="AC409" s="606">
        <f>SUM(AC144,AC152)/AC$370</f>
        <v>0.40883380469139913</v>
      </c>
      <c r="AD409" s="606">
        <f>SUM(AD144,AD152)/AD$370</f>
        <v>0.35972906743027067</v>
      </c>
      <c r="AE409" s="607">
        <f>SUM(AE144,AE152)/AE$370</f>
        <v>0.50632741535920722</v>
      </c>
      <c r="AF409" s="606">
        <f t="shared" si="2669"/>
        <v>0.23908085620837005</v>
      </c>
      <c r="AG409" s="606">
        <f t="shared" si="2669"/>
        <v>0.26049086299201019</v>
      </c>
      <c r="AH409" s="606">
        <f t="shared" si="2669"/>
        <v>0.25174508367806153</v>
      </c>
      <c r="AI409" s="604">
        <f t="shared" si="2669"/>
        <v>0.38114914705219327</v>
      </c>
      <c r="AJ409" s="606">
        <f t="shared" ref="AJ409:BO409" si="2674">SUM(AJ144,AJ152)/AJ$370</f>
        <v>0.49698671819884443</v>
      </c>
      <c r="AK409" s="606">
        <f t="shared" si="2674"/>
        <v>0.49759440668145261</v>
      </c>
      <c r="AL409" s="607">
        <f t="shared" si="2674"/>
        <v>0.52054129978365138</v>
      </c>
      <c r="AM409" s="606">
        <f t="shared" si="2674"/>
        <v>0.46362811095554618</v>
      </c>
      <c r="AN409" s="606">
        <f t="shared" si="2674"/>
        <v>0.43426301847708682</v>
      </c>
      <c r="AO409" s="606">
        <f t="shared" si="2674"/>
        <v>0.51589317400073853</v>
      </c>
      <c r="AP409" s="606">
        <f t="shared" si="2674"/>
        <v>0.44531853945552297</v>
      </c>
      <c r="AQ409" s="606">
        <f t="shared" si="2674"/>
        <v>0.44907663689047067</v>
      </c>
      <c r="AR409" s="606">
        <f t="shared" si="2674"/>
        <v>0.4732271271894663</v>
      </c>
      <c r="AS409" s="607">
        <f t="shared" si="2674"/>
        <v>0.46563220038224562</v>
      </c>
      <c r="AT409" s="606">
        <f t="shared" si="2674"/>
        <v>0.31903434769508887</v>
      </c>
      <c r="AU409" s="606">
        <f t="shared" si="2674"/>
        <v>0.28707251312615295</v>
      </c>
      <c r="AV409" s="606">
        <f t="shared" si="2674"/>
        <v>0.309989734377005</v>
      </c>
      <c r="AW409" s="606">
        <f t="shared" si="2674"/>
        <v>0.19554157183023163</v>
      </c>
      <c r="AX409" s="606">
        <f t="shared" si="2674"/>
        <v>0.3025758129338692</v>
      </c>
      <c r="AY409" s="606">
        <f t="shared" si="2674"/>
        <v>0.30526585343141821</v>
      </c>
      <c r="AZ409" s="606">
        <f t="shared" si="2674"/>
        <v>0.27695443396552322</v>
      </c>
      <c r="BA409" s="606">
        <f t="shared" si="2674"/>
        <v>0.19735555153051984</v>
      </c>
      <c r="BB409" s="606">
        <f t="shared" si="2674"/>
        <v>0.25303824500097066</v>
      </c>
      <c r="BC409" s="606">
        <f t="shared" si="2674"/>
        <v>0.32586178728965853</v>
      </c>
      <c r="BD409" s="606">
        <f t="shared" si="2674"/>
        <v>0.35623685384664416</v>
      </c>
      <c r="BE409" s="606">
        <f t="shared" si="2674"/>
        <v>0.22423163418290853</v>
      </c>
      <c r="BF409" s="606">
        <f t="shared" si="2674"/>
        <v>0.26127553147144644</v>
      </c>
      <c r="BG409" s="606">
        <f t="shared" si="2674"/>
        <v>0.28710888393747347</v>
      </c>
      <c r="BH409" s="606">
        <f t="shared" si="2674"/>
        <v>0.34356372859860496</v>
      </c>
      <c r="BI409" s="606">
        <f t="shared" si="2674"/>
        <v>0.45029035715175836</v>
      </c>
      <c r="BJ409" s="606">
        <f t="shared" si="2674"/>
        <v>0.45296182830564191</v>
      </c>
      <c r="BK409" s="606">
        <f t="shared" si="2674"/>
        <v>0.51787456755078509</v>
      </c>
      <c r="BL409" s="606">
        <f t="shared" si="2674"/>
        <v>0.40331830930884838</v>
      </c>
      <c r="BM409" s="606">
        <f t="shared" si="2674"/>
        <v>0.42239349727621112</v>
      </c>
      <c r="BN409" s="606">
        <f t="shared" si="2674"/>
        <v>0.44905681410010279</v>
      </c>
      <c r="BO409" s="606">
        <f t="shared" si="2674"/>
        <v>0.42527664531158998</v>
      </c>
      <c r="BP409" s="606">
        <f t="shared" ref="BP409:CI409" si="2675">SUM(BP144,BP152)/BP$370</f>
        <v>0.39129054927118989</v>
      </c>
      <c r="BQ409" s="606">
        <f t="shared" si="2675"/>
        <v>0.44689742507387081</v>
      </c>
      <c r="BR409" s="606">
        <f t="shared" si="2675"/>
        <v>0.38006264410318874</v>
      </c>
      <c r="BS409" s="606">
        <f t="shared" si="2675"/>
        <v>0.40805165559870399</v>
      </c>
      <c r="BT409" s="606">
        <f t="shared" si="2675"/>
        <v>0.42174411165171333</v>
      </c>
      <c r="BU409" s="606">
        <f t="shared" si="2675"/>
        <v>0.41112133575768328</v>
      </c>
      <c r="BV409" s="606">
        <f t="shared" si="2675"/>
        <v>0.3473310561918157</v>
      </c>
      <c r="BW409" s="606">
        <f t="shared" si="2675"/>
        <v>0.34327656812943363</v>
      </c>
      <c r="BX409" s="606">
        <f t="shared" si="2675"/>
        <v>0.45725419999627082</v>
      </c>
      <c r="BY409" s="606">
        <f t="shared" si="2675"/>
        <v>0.42803926965776679</v>
      </c>
      <c r="BZ409" s="606">
        <f t="shared" si="2675"/>
        <v>0.34530621367903441</v>
      </c>
      <c r="CA409" s="606">
        <f t="shared" si="2675"/>
        <v>0.38725884103947283</v>
      </c>
      <c r="CB409" s="606">
        <f t="shared" si="2675"/>
        <v>0.39850510612025952</v>
      </c>
      <c r="CC409" s="606">
        <f t="shared" si="2675"/>
        <v>0.43794095092024538</v>
      </c>
      <c r="CD409" s="606">
        <f t="shared" si="2675"/>
        <v>0.48153761869978084</v>
      </c>
      <c r="CE409" s="606">
        <f t="shared" si="2675"/>
        <v>0.4688135474370661</v>
      </c>
      <c r="CF409" s="606">
        <f t="shared" si="2675"/>
        <v>0.39365960499981117</v>
      </c>
      <c r="CG409" s="606">
        <f t="shared" si="2675"/>
        <v>0.46026936026936027</v>
      </c>
      <c r="CH409" s="606">
        <f t="shared" si="2675"/>
        <v>0.46324193115561951</v>
      </c>
      <c r="CI409" s="606">
        <f t="shared" si="2675"/>
        <v>0.44625356112222603</v>
      </c>
      <c r="CJ409" s="606">
        <v>0.43380307635626786</v>
      </c>
      <c r="CK409" s="606">
        <f t="shared" ref="CK409:CO409" si="2676">SUM(CK144,CK152)/CK$370</f>
        <v>0.40162648538507312</v>
      </c>
      <c r="CL409" s="606" t="e">
        <f t="shared" si="2676"/>
        <v>#DIV/0!</v>
      </c>
      <c r="CM409" s="606" t="e">
        <f t="shared" si="2676"/>
        <v>#DIV/0!</v>
      </c>
      <c r="CN409" s="606">
        <f t="shared" si="2676"/>
        <v>0.41754296440742833</v>
      </c>
      <c r="CO409" s="606" t="e">
        <f t="shared" si="2676"/>
        <v>#DIV/0!</v>
      </c>
    </row>
    <row r="410" spans="1:93" s="423" customFormat="1" ht="13" x14ac:dyDescent="0.3">
      <c r="A410" s="525" t="str">
        <f>Language!C330</f>
        <v>Margem EBITDA</v>
      </c>
      <c r="B410" s="615" t="e">
        <f t="shared" ref="B410:AG410" si="2677">B293/B$362</f>
        <v>#REF!</v>
      </c>
      <c r="C410" s="615" t="e">
        <f t="shared" si="2677"/>
        <v>#REF!</v>
      </c>
      <c r="D410" s="615" t="e">
        <f t="shared" si="2677"/>
        <v>#REF!</v>
      </c>
      <c r="E410" s="615" t="e">
        <f t="shared" si="2677"/>
        <v>#REF!</v>
      </c>
      <c r="F410" s="616" t="e">
        <f t="shared" si="2677"/>
        <v>#REF!</v>
      </c>
      <c r="G410" s="615" t="e">
        <f t="shared" si="2677"/>
        <v>#REF!</v>
      </c>
      <c r="H410" s="615" t="e">
        <f t="shared" si="2677"/>
        <v>#REF!</v>
      </c>
      <c r="I410" s="615" t="e">
        <f t="shared" si="2677"/>
        <v>#REF!</v>
      </c>
      <c r="J410" s="616" t="e">
        <f t="shared" si="2677"/>
        <v>#REF!</v>
      </c>
      <c r="K410" s="615" t="e">
        <f t="shared" si="2677"/>
        <v>#REF!</v>
      </c>
      <c r="L410" s="615" t="e">
        <f t="shared" si="2677"/>
        <v>#REF!</v>
      </c>
      <c r="M410" s="615" t="e">
        <f t="shared" si="2677"/>
        <v>#REF!</v>
      </c>
      <c r="N410" s="616" t="e">
        <f t="shared" si="2677"/>
        <v>#REF!</v>
      </c>
      <c r="O410" s="615" t="e">
        <f t="shared" si="2677"/>
        <v>#REF!</v>
      </c>
      <c r="P410" s="615" t="e">
        <f t="shared" si="2677"/>
        <v>#REF!</v>
      </c>
      <c r="Q410" s="615" t="e">
        <f t="shared" si="2677"/>
        <v>#REF!</v>
      </c>
      <c r="R410" s="616" t="e">
        <f t="shared" si="2677"/>
        <v>#REF!</v>
      </c>
      <c r="S410" s="615" t="e">
        <f t="shared" si="2677"/>
        <v>#REF!</v>
      </c>
      <c r="T410" s="615" t="e">
        <f t="shared" si="2677"/>
        <v>#REF!</v>
      </c>
      <c r="U410" s="615" t="e">
        <f t="shared" si="2677"/>
        <v>#REF!</v>
      </c>
      <c r="V410" s="615" t="e">
        <f t="shared" si="2677"/>
        <v>#REF!</v>
      </c>
      <c r="W410" s="617" t="e">
        <f t="shared" si="2677"/>
        <v>#REF!</v>
      </c>
      <c r="X410" s="618" t="e">
        <f t="shared" si="2677"/>
        <v>#REF!</v>
      </c>
      <c r="Y410" s="619" t="e">
        <f t="shared" si="2677"/>
        <v>#REF!</v>
      </c>
      <c r="Z410" s="617" t="e">
        <f t="shared" si="2677"/>
        <v>#REF!</v>
      </c>
      <c r="AA410" s="617" t="e">
        <f t="shared" si="2677"/>
        <v>#REF!</v>
      </c>
      <c r="AB410" s="615" t="e">
        <f t="shared" si="2677"/>
        <v>#REF!</v>
      </c>
      <c r="AC410" s="617" t="e">
        <f t="shared" si="2677"/>
        <v>#REF!</v>
      </c>
      <c r="AD410" s="617" t="e">
        <f t="shared" si="2677"/>
        <v>#REF!</v>
      </c>
      <c r="AE410" s="618" t="e">
        <f t="shared" si="2677"/>
        <v>#REF!</v>
      </c>
      <c r="AF410" s="617" t="e">
        <f t="shared" si="2677"/>
        <v>#REF!</v>
      </c>
      <c r="AG410" s="617" t="e">
        <f t="shared" si="2677"/>
        <v>#REF!</v>
      </c>
      <c r="AH410" s="617" t="e">
        <f t="shared" ref="AH410:BM410" si="2678">AH293/AH$362</f>
        <v>#REF!</v>
      </c>
      <c r="AI410" s="615" t="e">
        <f t="shared" si="2678"/>
        <v>#REF!</v>
      </c>
      <c r="AJ410" s="617" t="e">
        <f t="shared" si="2678"/>
        <v>#REF!</v>
      </c>
      <c r="AK410" s="617" t="e">
        <f t="shared" si="2678"/>
        <v>#REF!</v>
      </c>
      <c r="AL410" s="618" t="e">
        <f t="shared" si="2678"/>
        <v>#REF!</v>
      </c>
      <c r="AM410" s="617">
        <f t="shared" si="2678"/>
        <v>0.2884302651072273</v>
      </c>
      <c r="AN410" s="617">
        <f t="shared" si="2678"/>
        <v>9.7918170920423167E-2</v>
      </c>
      <c r="AO410" s="617">
        <f t="shared" si="2678"/>
        <v>1.2551056705594352</v>
      </c>
      <c r="AP410" s="617">
        <f t="shared" si="2678"/>
        <v>0.44654348467974936</v>
      </c>
      <c r="AQ410" s="617">
        <f t="shared" si="2678"/>
        <v>0.19755810492364548</v>
      </c>
      <c r="AR410" s="617">
        <f t="shared" si="2678"/>
        <v>0.52697335930231071</v>
      </c>
      <c r="AS410" s="618">
        <f t="shared" si="2678"/>
        <v>0.50905966261041102</v>
      </c>
      <c r="AT410" s="617">
        <f t="shared" si="2678"/>
        <v>0.46597610901950665</v>
      </c>
      <c r="AU410" s="617">
        <f t="shared" si="2678"/>
        <v>0.39419123319308974</v>
      </c>
      <c r="AV410" s="617">
        <f t="shared" si="2678"/>
        <v>0.54862414934551651</v>
      </c>
      <c r="AW410" s="617">
        <f t="shared" si="2678"/>
        <v>0.54342133611075039</v>
      </c>
      <c r="AX410" s="617">
        <f t="shared" si="2678"/>
        <v>0.41438884370220297</v>
      </c>
      <c r="AY410" s="617">
        <f t="shared" si="2678"/>
        <v>0.4633785069448747</v>
      </c>
      <c r="AZ410" s="617">
        <f t="shared" si="2678"/>
        <v>0.48599095283324845</v>
      </c>
      <c r="BA410" s="617">
        <f t="shared" si="2678"/>
        <v>0.50790378957658933</v>
      </c>
      <c r="BB410" s="617">
        <f t="shared" si="2678"/>
        <v>0.91653646680988654</v>
      </c>
      <c r="BC410" s="617">
        <f t="shared" si="2678"/>
        <v>0.44827758113564986</v>
      </c>
      <c r="BD410" s="617">
        <f t="shared" si="2678"/>
        <v>0.52074525359971291</v>
      </c>
      <c r="BE410" s="617">
        <f t="shared" si="2678"/>
        <v>0.47563000074777539</v>
      </c>
      <c r="BF410" s="617">
        <f t="shared" si="2678"/>
        <v>0.46651267905214533</v>
      </c>
      <c r="BG410" s="617">
        <f t="shared" si="2678"/>
        <v>0.48076117395426782</v>
      </c>
      <c r="BH410" s="617">
        <f t="shared" si="2678"/>
        <v>0.4215388160564269</v>
      </c>
      <c r="BI410" s="617">
        <f t="shared" si="2678"/>
        <v>0.42149043169092415</v>
      </c>
      <c r="BJ410" s="617">
        <f t="shared" si="2678"/>
        <v>0.64441640378548892</v>
      </c>
      <c r="BK410" s="617">
        <f t="shared" si="2678"/>
        <v>0.43778765818146287</v>
      </c>
      <c r="BL410" s="617">
        <f t="shared" si="2678"/>
        <v>0.4234554381309405</v>
      </c>
      <c r="BM410" s="617">
        <f t="shared" si="2678"/>
        <v>0.50338372187525393</v>
      </c>
      <c r="BN410" s="617">
        <f t="shared" ref="BN410:CI410" si="2679">BN293/BN$362</f>
        <v>0.48791116142370972</v>
      </c>
      <c r="BO410" s="617">
        <f t="shared" si="2679"/>
        <v>0.31732002472105741</v>
      </c>
      <c r="BP410" s="617">
        <f t="shared" si="2679"/>
        <v>0.6537478004380135</v>
      </c>
      <c r="BQ410" s="617">
        <f t="shared" si="2679"/>
        <v>0.59358237938105129</v>
      </c>
      <c r="BR410" s="617">
        <f t="shared" si="2679"/>
        <v>0.13851437950395623</v>
      </c>
      <c r="BS410" s="617">
        <f t="shared" si="2679"/>
        <v>0.24665939370976328</v>
      </c>
      <c r="BT410" s="617">
        <f t="shared" si="2679"/>
        <v>0.31392608702520813</v>
      </c>
      <c r="BU410" s="617">
        <f t="shared" si="2679"/>
        <v>0.3416264144834753</v>
      </c>
      <c r="BV410" s="617">
        <f t="shared" si="2679"/>
        <v>3.9884312978421252E-2</v>
      </c>
      <c r="BW410" s="617">
        <f t="shared" si="2679"/>
        <v>9.0065567381013747E-2</v>
      </c>
      <c r="BX410" s="617">
        <f t="shared" si="2679"/>
        <v>0.56443722003960484</v>
      </c>
      <c r="BY410" s="617">
        <f t="shared" si="2679"/>
        <v>0.45989184747819273</v>
      </c>
      <c r="BZ410" s="617">
        <f t="shared" si="2679"/>
        <v>6.8360121456880696E-2</v>
      </c>
      <c r="CA410" s="617">
        <f t="shared" si="2679"/>
        <v>0.24813446797079619</v>
      </c>
      <c r="CB410" s="617">
        <f t="shared" si="2679"/>
        <v>0.31028170040808806</v>
      </c>
      <c r="CC410" s="617">
        <f t="shared" si="2679"/>
        <v>0.28146208304667214</v>
      </c>
      <c r="CD410" s="617">
        <f t="shared" si="2679"/>
        <v>0.34059190382430238</v>
      </c>
      <c r="CE410" s="617">
        <f t="shared" si="2679"/>
        <v>0.48250463970704155</v>
      </c>
      <c r="CF410" s="617">
        <f t="shared" si="2679"/>
        <v>0.44639064701305803</v>
      </c>
      <c r="CG410" s="617">
        <f t="shared" si="2679"/>
        <v>0.31136961390562723</v>
      </c>
      <c r="CH410" s="617">
        <f t="shared" si="2679"/>
        <v>0.38777868881592414</v>
      </c>
      <c r="CI410" s="617">
        <f t="shared" si="2679"/>
        <v>0.40296532792862</v>
      </c>
      <c r="CJ410" s="617">
        <v>0.28341201434352076</v>
      </c>
      <c r="CK410" s="617">
        <f t="shared" ref="CK410:CO410" si="2680">CK293/CK$362</f>
        <v>0.38115722033986771</v>
      </c>
      <c r="CL410" s="617" t="e">
        <f t="shared" si="2680"/>
        <v>#DIV/0!</v>
      </c>
      <c r="CM410" s="617" t="e">
        <f t="shared" si="2680"/>
        <v>#DIV/0!</v>
      </c>
      <c r="CN410" s="617">
        <f t="shared" si="2680"/>
        <v>0.33091447909378574</v>
      </c>
      <c r="CO410" s="617" t="e">
        <f t="shared" si="2680"/>
        <v>#DIV/0!</v>
      </c>
    </row>
    <row r="411" spans="1:93" s="289" customFormat="1" x14ac:dyDescent="0.25">
      <c r="A411" s="455" t="str">
        <f>Language!C331</f>
        <v>Concepa</v>
      </c>
      <c r="B411" s="604">
        <f t="shared" ref="B411:AS411" si="2681">B294/B$366</f>
        <v>0.79535869840757722</v>
      </c>
      <c r="C411" s="604">
        <f t="shared" si="2681"/>
        <v>0.71608832807570977</v>
      </c>
      <c r="D411" s="604">
        <f t="shared" si="2681"/>
        <v>0.78405685418272109</v>
      </c>
      <c r="E411" s="604">
        <f t="shared" si="2681"/>
        <v>0.81151056161321233</v>
      </c>
      <c r="F411" s="605">
        <f t="shared" si="2681"/>
        <v>0.80705220306513414</v>
      </c>
      <c r="G411" s="604">
        <f t="shared" si="2681"/>
        <v>0.73143076529306372</v>
      </c>
      <c r="H411" s="604">
        <f t="shared" si="2681"/>
        <v>0.77748159741752465</v>
      </c>
      <c r="I411" s="604">
        <f t="shared" si="2681"/>
        <v>0.77712540167413813</v>
      </c>
      <c r="J411" s="605">
        <f t="shared" si="2681"/>
        <v>0.89375749226172374</v>
      </c>
      <c r="K411" s="604">
        <f t="shared" si="2681"/>
        <v>0.73179676386913228</v>
      </c>
      <c r="L411" s="604">
        <f t="shared" si="2681"/>
        <v>0.7313021720389411</v>
      </c>
      <c r="M411" s="604">
        <f t="shared" si="2681"/>
        <v>0.81781063597412418</v>
      </c>
      <c r="N411" s="605">
        <f t="shared" si="2681"/>
        <v>0.78831498729889926</v>
      </c>
      <c r="O411" s="604">
        <f t="shared" si="2681"/>
        <v>0.68209824204397718</v>
      </c>
      <c r="P411" s="604">
        <f t="shared" si="2681"/>
        <v>0.80446994322692755</v>
      </c>
      <c r="Q411" s="604">
        <f t="shared" si="2681"/>
        <v>0.84389553416102092</v>
      </c>
      <c r="R411" s="605">
        <f t="shared" si="2681"/>
        <v>0.97255996348244667</v>
      </c>
      <c r="S411" s="604">
        <f t="shared" si="2681"/>
        <v>0.90847550121486953</v>
      </c>
      <c r="T411" s="604">
        <f t="shared" si="2681"/>
        <v>0.88078817733990145</v>
      </c>
      <c r="U411" s="604">
        <f t="shared" si="2681"/>
        <v>0.39825138365284352</v>
      </c>
      <c r="V411" s="604">
        <f t="shared" si="2681"/>
        <v>0.94410890946324022</v>
      </c>
      <c r="W411" s="606">
        <f t="shared" si="2681"/>
        <v>0.92460927363819634</v>
      </c>
      <c r="X411" s="607">
        <f t="shared" si="2681"/>
        <v>0.85622933281462754</v>
      </c>
      <c r="Y411" s="608">
        <f t="shared" si="2681"/>
        <v>0.78019032910127417</v>
      </c>
      <c r="Z411" s="606">
        <f t="shared" si="2681"/>
        <v>0.68849645526577485</v>
      </c>
      <c r="AA411" s="606">
        <f t="shared" si="2681"/>
        <v>0.77867092362896617</v>
      </c>
      <c r="AB411" s="604">
        <f t="shared" si="2681"/>
        <v>0.67176303074157928</v>
      </c>
      <c r="AC411" s="606">
        <f t="shared" si="2681"/>
        <v>0.74218105901438791</v>
      </c>
      <c r="AD411" s="606">
        <f t="shared" si="2681"/>
        <v>0.75385867353858671</v>
      </c>
      <c r="AE411" s="607">
        <f t="shared" si="2681"/>
        <v>0.73093667718136557</v>
      </c>
      <c r="AF411" s="606">
        <f t="shared" si="2681"/>
        <v>0.76704115106385029</v>
      </c>
      <c r="AG411" s="606">
        <f t="shared" si="2681"/>
        <v>0.63611037830760619</v>
      </c>
      <c r="AH411" s="606">
        <f t="shared" si="2681"/>
        <v>0.26254750849298297</v>
      </c>
      <c r="AI411" s="604">
        <f t="shared" si="2681"/>
        <v>0.83705846045833598</v>
      </c>
      <c r="AJ411" s="606">
        <f t="shared" si="2681"/>
        <v>0.71131416097944644</v>
      </c>
      <c r="AK411" s="606">
        <f t="shared" si="2681"/>
        <v>0.60750061189915583</v>
      </c>
      <c r="AL411" s="607">
        <f t="shared" si="2681"/>
        <v>0.65064830338150026</v>
      </c>
      <c r="AM411" s="606">
        <f t="shared" si="2681"/>
        <v>0.62395020403028401</v>
      </c>
      <c r="AN411" s="606">
        <f t="shared" si="2681"/>
        <v>1.15075911056633</v>
      </c>
      <c r="AO411" s="606">
        <f t="shared" si="2681"/>
        <v>30.66485905324862</v>
      </c>
      <c r="AP411" s="606">
        <f t="shared" si="2681"/>
        <v>61.942956130546627</v>
      </c>
      <c r="AQ411" s="606">
        <f t="shared" si="2681"/>
        <v>0.84719458887278309</v>
      </c>
      <c r="AR411" s="606">
        <f t="shared" si="2681"/>
        <v>0.14864652181252691</v>
      </c>
      <c r="AS411" s="607">
        <f t="shared" si="2681"/>
        <v>7.3633302478960605E-2</v>
      </c>
      <c r="AT411" s="606"/>
      <c r="AU411" s="606"/>
      <c r="AV411" s="606"/>
      <c r="AW411" s="606"/>
      <c r="AX411" s="606"/>
      <c r="AY411" s="606"/>
      <c r="AZ411" s="606"/>
      <c r="BA411" s="606"/>
      <c r="BB411" s="606"/>
      <c r="BC411" s="606"/>
      <c r="BD411" s="606"/>
      <c r="BE411" s="606"/>
      <c r="BF411" s="606"/>
      <c r="BG411" s="606"/>
      <c r="BH411" s="606"/>
      <c r="BI411" s="606"/>
      <c r="BJ411" s="606"/>
      <c r="BK411" s="606"/>
      <c r="BL411" s="606"/>
      <c r="BM411" s="606"/>
      <c r="BN411" s="606"/>
      <c r="BO411" s="606"/>
      <c r="BP411" s="606"/>
      <c r="BQ411" s="606"/>
      <c r="BR411" s="606"/>
      <c r="BS411" s="606"/>
      <c r="BT411" s="606"/>
      <c r="BU411" s="606"/>
      <c r="BV411" s="606"/>
      <c r="BW411" s="606"/>
      <c r="BX411" s="606"/>
      <c r="BY411" s="606"/>
      <c r="BZ411" s="606"/>
      <c r="CA411" s="606"/>
      <c r="CB411" s="606"/>
      <c r="CC411" s="606"/>
      <c r="CD411" s="606"/>
      <c r="CE411" s="606"/>
      <c r="CF411" s="606"/>
      <c r="CG411" s="606"/>
      <c r="CH411" s="606"/>
      <c r="CI411" s="606"/>
      <c r="CJ411" s="606"/>
      <c r="CK411" s="606"/>
      <c r="CL411" s="606"/>
      <c r="CM411" s="606"/>
      <c r="CN411" s="606"/>
      <c r="CO411" s="606"/>
    </row>
    <row r="412" spans="1:93" s="289" customFormat="1" x14ac:dyDescent="0.25">
      <c r="A412" s="455" t="str">
        <f>Language!C332</f>
        <v>Concer</v>
      </c>
      <c r="B412" s="604">
        <f t="shared" ref="B412:AG412" si="2682">B295/B$367</f>
        <v>0.6483221931937706</v>
      </c>
      <c r="C412" s="604">
        <f t="shared" si="2682"/>
        <v>0.58371668245163033</v>
      </c>
      <c r="D412" s="604">
        <f t="shared" si="2682"/>
        <v>0.61686845241829247</v>
      </c>
      <c r="E412" s="604">
        <f t="shared" si="2682"/>
        <v>0.85732779383429669</v>
      </c>
      <c r="F412" s="605">
        <f t="shared" si="2682"/>
        <v>0.67287568020092092</v>
      </c>
      <c r="G412" s="604">
        <f t="shared" si="2682"/>
        <v>0.67114753092103241</v>
      </c>
      <c r="H412" s="604">
        <f t="shared" si="2682"/>
        <v>0.71513696450782449</v>
      </c>
      <c r="I412" s="604">
        <f t="shared" si="2682"/>
        <v>0.70791345211469359</v>
      </c>
      <c r="J412" s="605">
        <f t="shared" si="2682"/>
        <v>0.9065906472482349</v>
      </c>
      <c r="K412" s="604">
        <f t="shared" si="2682"/>
        <v>0.60656030479819023</v>
      </c>
      <c r="L412" s="604">
        <f t="shared" si="2682"/>
        <v>0.66733247598982137</v>
      </c>
      <c r="M412" s="604">
        <f t="shared" si="2682"/>
        <v>0.71301335972290947</v>
      </c>
      <c r="N412" s="605">
        <f t="shared" si="2682"/>
        <v>0.65979410441044106</v>
      </c>
      <c r="O412" s="604">
        <f t="shared" si="2682"/>
        <v>0.83671331034948959</v>
      </c>
      <c r="P412" s="604">
        <f t="shared" si="2682"/>
        <v>0.85440690624169313</v>
      </c>
      <c r="Q412" s="604">
        <f t="shared" si="2682"/>
        <v>-0.48808361008009377</v>
      </c>
      <c r="R412" s="605">
        <f t="shared" si="2682"/>
        <v>0.92000463144623346</v>
      </c>
      <c r="S412" s="604">
        <f t="shared" si="2682"/>
        <v>0.74069371607323575</v>
      </c>
      <c r="T412" s="604">
        <f t="shared" si="2682"/>
        <v>0.77753475061324606</v>
      </c>
      <c r="U412" s="604">
        <f t="shared" si="2682"/>
        <v>0.72534877997993452</v>
      </c>
      <c r="V412" s="604">
        <f t="shared" si="2682"/>
        <v>0.87355817810909231</v>
      </c>
      <c r="W412" s="606">
        <f t="shared" si="2682"/>
        <v>0.85540189545616174</v>
      </c>
      <c r="X412" s="607">
        <f t="shared" si="2682"/>
        <v>0.83334991702803074</v>
      </c>
      <c r="Y412" s="608">
        <f t="shared" si="2682"/>
        <v>0.74140865705728998</v>
      </c>
      <c r="Z412" s="606">
        <f t="shared" si="2682"/>
        <v>0.71620449643087458</v>
      </c>
      <c r="AA412" s="606">
        <f t="shared" si="2682"/>
        <v>0.71044223199814771</v>
      </c>
      <c r="AB412" s="604">
        <f t="shared" si="2682"/>
        <v>0.64478960123375195</v>
      </c>
      <c r="AC412" s="606">
        <f t="shared" si="2682"/>
        <v>0.72900571228469502</v>
      </c>
      <c r="AD412" s="606">
        <f t="shared" si="2682"/>
        <v>0.72304788514698448</v>
      </c>
      <c r="AE412" s="607">
        <f t="shared" si="2682"/>
        <v>0.70330958757960016</v>
      </c>
      <c r="AF412" s="606">
        <f t="shared" si="2682"/>
        <v>0.69277254601043603</v>
      </c>
      <c r="AG412" s="606">
        <f t="shared" si="2682"/>
        <v>0.65496069454668937</v>
      </c>
      <c r="AH412" s="606">
        <f t="shared" ref="AH412:BM412" si="2683">AH295/AH$367</f>
        <v>0.67871335965583002</v>
      </c>
      <c r="AI412" s="604">
        <f t="shared" si="2683"/>
        <v>0.54218686359848856</v>
      </c>
      <c r="AJ412" s="606">
        <f t="shared" si="2683"/>
        <v>0.6666948694114434</v>
      </c>
      <c r="AK412" s="606">
        <f t="shared" si="2683"/>
        <v>0.67070923460602161</v>
      </c>
      <c r="AL412" s="607">
        <f t="shared" si="2683"/>
        <v>0.63812307324246909</v>
      </c>
      <c r="AM412" s="606">
        <f t="shared" si="2683"/>
        <v>0.56733210704713732</v>
      </c>
      <c r="AN412" s="606">
        <f t="shared" si="2683"/>
        <v>-0.62914869009847607</v>
      </c>
      <c r="AO412" s="606">
        <f t="shared" si="2683"/>
        <v>1.6957635737852017</v>
      </c>
      <c r="AP412" s="606">
        <f t="shared" si="2683"/>
        <v>0.47480145434188509</v>
      </c>
      <c r="AQ412" s="606">
        <f t="shared" si="2683"/>
        <v>-1.3868681589932671E-2</v>
      </c>
      <c r="AR412" s="606">
        <f t="shared" si="2683"/>
        <v>0.62268154676884313</v>
      </c>
      <c r="AS412" s="607">
        <f t="shared" si="2683"/>
        <v>0.5824668082097576</v>
      </c>
      <c r="AT412" s="606">
        <f t="shared" si="2683"/>
        <v>0.59840696734854892</v>
      </c>
      <c r="AU412" s="606">
        <f t="shared" si="2683"/>
        <v>0.58544780375815997</v>
      </c>
      <c r="AV412" s="606">
        <f t="shared" si="2683"/>
        <v>0.59049854035178095</v>
      </c>
      <c r="AW412" s="606">
        <f t="shared" si="2683"/>
        <v>0.52454004676892241</v>
      </c>
      <c r="AX412" s="606">
        <f t="shared" si="2683"/>
        <v>0.59175232992630455</v>
      </c>
      <c r="AY412" s="606">
        <f t="shared" si="2683"/>
        <v>0.59132677675368617</v>
      </c>
      <c r="AZ412" s="606">
        <f t="shared" si="2683"/>
        <v>0.57299892876377401</v>
      </c>
      <c r="BA412" s="606">
        <f t="shared" si="2683"/>
        <v>0.64282208588957057</v>
      </c>
      <c r="BB412" s="606">
        <f t="shared" si="2683"/>
        <v>1.9771302530763872</v>
      </c>
      <c r="BC412" s="606">
        <f t="shared" si="2683"/>
        <v>0.58284368922100527</v>
      </c>
      <c r="BD412" s="606">
        <f t="shared" si="2683"/>
        <v>0.51778678374423059</v>
      </c>
      <c r="BE412" s="606">
        <f t="shared" si="2683"/>
        <v>0.59231489034982487</v>
      </c>
      <c r="BF412" s="606">
        <f t="shared" si="2683"/>
        <v>0.58881551576765678</v>
      </c>
      <c r="BG412" s="606">
        <f t="shared" si="2683"/>
        <v>0.56840737685917442</v>
      </c>
      <c r="BH412" s="606">
        <f t="shared" si="2683"/>
        <v>0.52021900504449825</v>
      </c>
      <c r="BI412" s="606">
        <f t="shared" si="2683"/>
        <v>0.42925274864414292</v>
      </c>
      <c r="BJ412" s="606">
        <f t="shared" si="2683"/>
        <v>0.35159738921332873</v>
      </c>
      <c r="BK412" s="606">
        <f t="shared" si="2683"/>
        <v>0.42391566600471409</v>
      </c>
      <c r="BL412" s="606">
        <f t="shared" si="2683"/>
        <v>0.47538818341601408</v>
      </c>
      <c r="BM412" s="606">
        <f t="shared" si="2683"/>
        <v>0.43172378509737397</v>
      </c>
      <c r="BN412" s="606">
        <f t="shared" ref="BN412:CI412" si="2684">BN295/BN$367</f>
        <v>0.42964551059121087</v>
      </c>
      <c r="BO412" s="606">
        <f t="shared" si="2684"/>
        <v>0.42552300420796524</v>
      </c>
      <c r="BP412" s="606">
        <f t="shared" si="2684"/>
        <v>0.38695421266264557</v>
      </c>
      <c r="BQ412" s="606">
        <f t="shared" si="2684"/>
        <v>0.44989544262621567</v>
      </c>
      <c r="BR412" s="606">
        <f t="shared" si="2684"/>
        <v>0.40529188702025271</v>
      </c>
      <c r="BS412" s="606">
        <f t="shared" si="2684"/>
        <v>0.40622110621234681</v>
      </c>
      <c r="BT412" s="606">
        <f t="shared" si="2684"/>
        <v>0.42236550696008002</v>
      </c>
      <c r="BU412" s="606">
        <f t="shared" si="2684"/>
        <v>0.41783885161941858</v>
      </c>
      <c r="BV412" s="606">
        <f t="shared" si="2684"/>
        <v>0.44558118914863504</v>
      </c>
      <c r="BW412" s="606">
        <f t="shared" si="2684"/>
        <v>0.41688377601082727</v>
      </c>
      <c r="BX412" s="606">
        <f t="shared" si="2684"/>
        <v>0.42484827411809334</v>
      </c>
      <c r="BY412" s="606">
        <f t="shared" si="2684"/>
        <v>0.42646451817748848</v>
      </c>
      <c r="BZ412" s="606">
        <f t="shared" si="2684"/>
        <v>0.44374432093208899</v>
      </c>
      <c r="CA412" s="606">
        <f t="shared" si="2684"/>
        <v>0.43713990576095541</v>
      </c>
      <c r="CB412" s="606">
        <f t="shared" si="2684"/>
        <v>0.44061371165860935</v>
      </c>
      <c r="CC412" s="606">
        <f t="shared" si="2684"/>
        <v>0.49213634237605236</v>
      </c>
      <c r="CD412" s="606">
        <f t="shared" si="2684"/>
        <v>0.41562677254679525</v>
      </c>
      <c r="CE412" s="606">
        <f t="shared" si="2684"/>
        <v>0.49057747410182939</v>
      </c>
      <c r="CF412" s="606">
        <f t="shared" si="2684"/>
        <v>0.45892335963679604</v>
      </c>
      <c r="CG412" s="606">
        <f t="shared" si="2684"/>
        <v>0.4533022398802326</v>
      </c>
      <c r="CH412" s="606">
        <f t="shared" si="2684"/>
        <v>0.46943877040867343</v>
      </c>
      <c r="CI412" s="606">
        <f t="shared" si="2684"/>
        <v>0.46669882300750981</v>
      </c>
      <c r="CJ412" s="606">
        <v>0.47696900767699746</v>
      </c>
      <c r="CK412" s="606">
        <f t="shared" ref="CK412:CO412" si="2685">CK295/CK$367</f>
        <v>0.48559577248707314</v>
      </c>
      <c r="CL412" s="606" t="e">
        <f t="shared" si="2685"/>
        <v>#DIV/0!</v>
      </c>
      <c r="CM412" s="606" t="e">
        <f t="shared" si="2685"/>
        <v>#DIV/0!</v>
      </c>
      <c r="CN412" s="606">
        <f t="shared" si="2685"/>
        <v>0.48128410641200547</v>
      </c>
      <c r="CO412" s="606" t="e">
        <f t="shared" si="2685"/>
        <v>#DIV/0!</v>
      </c>
    </row>
    <row r="413" spans="1:93" x14ac:dyDescent="0.25">
      <c r="A413" s="455" t="str">
        <f>Language!C333</f>
        <v>Econorte</v>
      </c>
      <c r="B413" s="604">
        <f t="shared" ref="B413:AG413" si="2686">B296/B$368</f>
        <v>0.54737491076643519</v>
      </c>
      <c r="C413" s="604">
        <f t="shared" si="2686"/>
        <v>0.63000887648998227</v>
      </c>
      <c r="D413" s="604">
        <f t="shared" si="2686"/>
        <v>0.56635020777093636</v>
      </c>
      <c r="E413" s="604">
        <f t="shared" si="2686"/>
        <v>0.70331486905832197</v>
      </c>
      <c r="F413" s="605">
        <f t="shared" si="2686"/>
        <v>0.68212329977035857</v>
      </c>
      <c r="G413" s="604">
        <f t="shared" si="2686"/>
        <v>0.70234457721978516</v>
      </c>
      <c r="H413" s="604">
        <f t="shared" si="2686"/>
        <v>0.69989779287864973</v>
      </c>
      <c r="I413" s="604">
        <f t="shared" si="2686"/>
        <v>0.71274206758077729</v>
      </c>
      <c r="J413" s="605">
        <f t="shared" si="2686"/>
        <v>0.68848651348651346</v>
      </c>
      <c r="K413" s="604">
        <f t="shared" si="2686"/>
        <v>0.63049224624060152</v>
      </c>
      <c r="L413" s="604">
        <f t="shared" si="2686"/>
        <v>0.65354148449153848</v>
      </c>
      <c r="M413" s="604">
        <f t="shared" si="2686"/>
        <v>0.6196144296772309</v>
      </c>
      <c r="N413" s="605">
        <f t="shared" si="2686"/>
        <v>0.67865926320326564</v>
      </c>
      <c r="O413" s="604">
        <f t="shared" si="2686"/>
        <v>0.55823760736831207</v>
      </c>
      <c r="P413" s="604">
        <f t="shared" si="2686"/>
        <v>0.61317111341090946</v>
      </c>
      <c r="Q413" s="604">
        <f t="shared" si="2686"/>
        <v>0.58196122771064474</v>
      </c>
      <c r="R413" s="605">
        <f t="shared" si="2686"/>
        <v>0.65113506076587935</v>
      </c>
      <c r="S413" s="604">
        <f t="shared" si="2686"/>
        <v>0.60463933751422549</v>
      </c>
      <c r="T413" s="604">
        <f t="shared" si="2686"/>
        <v>0.65789774415468649</v>
      </c>
      <c r="U413" s="604">
        <f t="shared" si="2686"/>
        <v>0.60102360400275001</v>
      </c>
      <c r="V413" s="604">
        <f t="shared" si="2686"/>
        <v>0.628519944882168</v>
      </c>
      <c r="W413" s="606">
        <f t="shared" si="2686"/>
        <v>0.63851020503334321</v>
      </c>
      <c r="X413" s="607">
        <f t="shared" si="2686"/>
        <v>0.62766674400362377</v>
      </c>
      <c r="Y413" s="608">
        <f t="shared" si="2686"/>
        <v>0.67564152212461526</v>
      </c>
      <c r="Z413" s="606">
        <f t="shared" si="2686"/>
        <v>0.63859243697478996</v>
      </c>
      <c r="AA413" s="606">
        <f t="shared" si="2686"/>
        <v>0.65361129957441555</v>
      </c>
      <c r="AB413" s="604">
        <f t="shared" si="2686"/>
        <v>0.60272718224345578</v>
      </c>
      <c r="AC413" s="606">
        <f t="shared" si="2686"/>
        <v>0.65739734955463824</v>
      </c>
      <c r="AD413" s="606">
        <f t="shared" si="2686"/>
        <v>0.65612999132840566</v>
      </c>
      <c r="AE413" s="607">
        <f t="shared" si="2686"/>
        <v>0.64241038780384274</v>
      </c>
      <c r="AF413" s="606">
        <f t="shared" si="2686"/>
        <v>0.65759018390921742</v>
      </c>
      <c r="AG413" s="606">
        <f t="shared" si="2686"/>
        <v>0.64175636524679569</v>
      </c>
      <c r="AH413" s="606">
        <f t="shared" ref="AH413:BM413" si="2687">AH296/AH$368</f>
        <v>0.70367640466553072</v>
      </c>
      <c r="AI413" s="604">
        <f t="shared" si="2687"/>
        <v>0.63563728732911384</v>
      </c>
      <c r="AJ413" s="606">
        <f t="shared" si="2687"/>
        <v>0.64969668867248553</v>
      </c>
      <c r="AK413" s="606">
        <f t="shared" si="2687"/>
        <v>0.66860028774720948</v>
      </c>
      <c r="AL413" s="607">
        <f t="shared" si="2687"/>
        <v>0.66001124820720658</v>
      </c>
      <c r="AM413" s="606">
        <f t="shared" si="2687"/>
        <v>0.53205883892106109</v>
      </c>
      <c r="AN413" s="606">
        <f t="shared" si="2687"/>
        <v>0.54335714114754696</v>
      </c>
      <c r="AO413" s="606">
        <f t="shared" si="2687"/>
        <v>0.89125558968244523</v>
      </c>
      <c r="AP413" s="606">
        <f t="shared" si="2687"/>
        <v>0.39368605226527476</v>
      </c>
      <c r="AQ413" s="606">
        <f t="shared" si="2687"/>
        <v>0.53748169719695282</v>
      </c>
      <c r="AR413" s="606">
        <f t="shared" si="2687"/>
        <v>0.66158565167909966</v>
      </c>
      <c r="AS413" s="607">
        <f t="shared" si="2687"/>
        <v>0.60414248669150039</v>
      </c>
      <c r="AT413" s="606">
        <f t="shared" si="2687"/>
        <v>0.40681880455630798</v>
      </c>
      <c r="AU413" s="606">
        <f t="shared" si="2687"/>
        <v>0.45913994833611915</v>
      </c>
      <c r="AV413" s="606">
        <f t="shared" si="2687"/>
        <v>0.603330658105939</v>
      </c>
      <c r="AW413" s="606">
        <f t="shared" si="2687"/>
        <v>0.73317677796612801</v>
      </c>
      <c r="AX413" s="606">
        <f t="shared" si="2687"/>
        <v>0.43627249709163074</v>
      </c>
      <c r="AY413" s="606">
        <f t="shared" si="2687"/>
        <v>0.52481254386288922</v>
      </c>
      <c r="AZ413" s="606">
        <f t="shared" si="2687"/>
        <v>0.60244042342389326</v>
      </c>
      <c r="BA413" s="606">
        <f t="shared" si="2687"/>
        <v>0.69225832191364989</v>
      </c>
      <c r="BB413" s="606">
        <f t="shared" si="2687"/>
        <v>1.0180148863078684</v>
      </c>
      <c r="BC413" s="606">
        <f t="shared" si="2687"/>
        <v>0.74771694994141913</v>
      </c>
      <c r="BD413" s="606">
        <f t="shared" si="2687"/>
        <v>0.77834522027530739</v>
      </c>
      <c r="BE413" s="606">
        <f t="shared" si="2687"/>
        <v>0.69123347066717966</v>
      </c>
      <c r="BF413" s="606">
        <f t="shared" si="2687"/>
        <v>0.712075091792017</v>
      </c>
      <c r="BG413" s="606">
        <f t="shared" si="2687"/>
        <v>0.73112885123332294</v>
      </c>
      <c r="BH413" s="606">
        <f t="shared" si="2687"/>
        <v>0.6022532374553522</v>
      </c>
      <c r="BI413" s="606">
        <f t="shared" si="2687"/>
        <v>0.58814911788541857</v>
      </c>
      <c r="BJ413" s="606">
        <f t="shared" si="2687"/>
        <v>1.1422175515374871</v>
      </c>
      <c r="BK413" s="606">
        <f t="shared" si="2687"/>
        <v>0.48264152629462492</v>
      </c>
      <c r="BL413" s="606">
        <f t="shared" si="2687"/>
        <v>0.59516744051300918</v>
      </c>
      <c r="BM413" s="606">
        <f t="shared" si="2687"/>
        <v>0.78788524249293801</v>
      </c>
      <c r="BN413" s="606">
        <f t="shared" ref="BN413:CI413" si="2688">BN296/BN$368</f>
        <v>0.73141194413560218</v>
      </c>
      <c r="BO413" s="606" t="e">
        <f t="shared" si="2688"/>
        <v>#DIV/0!</v>
      </c>
      <c r="BP413" s="606">
        <f t="shared" si="2688"/>
        <v>-15.094736842105263</v>
      </c>
      <c r="BQ413" s="606">
        <f t="shared" si="2688"/>
        <v>33.621052631578948</v>
      </c>
      <c r="BR413" s="606" t="e">
        <f t="shared" si="2688"/>
        <v>#DIV/0!</v>
      </c>
      <c r="BS413" s="606">
        <f t="shared" si="2688"/>
        <v>-47.547368421052632</v>
      </c>
      <c r="BT413" s="606" t="e">
        <f t="shared" si="2688"/>
        <v>#DIV/0!</v>
      </c>
      <c r="BU413" s="606" t="e">
        <f t="shared" si="2688"/>
        <v>#DIV/0!</v>
      </c>
      <c r="BV413" s="606" t="e">
        <f t="shared" si="2688"/>
        <v>#DIV/0!</v>
      </c>
      <c r="BW413" s="606" t="e">
        <f t="shared" si="2688"/>
        <v>#DIV/0!</v>
      </c>
      <c r="BX413" s="606" t="e">
        <f t="shared" si="2688"/>
        <v>#DIV/0!</v>
      </c>
      <c r="BY413" s="606" t="e">
        <f t="shared" si="2688"/>
        <v>#DIV/0!</v>
      </c>
      <c r="BZ413" s="606" t="e">
        <f t="shared" si="2688"/>
        <v>#DIV/0!</v>
      </c>
      <c r="CA413" s="606" t="e">
        <f t="shared" si="2688"/>
        <v>#DIV/0!</v>
      </c>
      <c r="CB413" s="606" t="e">
        <f t="shared" si="2688"/>
        <v>#DIV/0!</v>
      </c>
      <c r="CC413" s="606" t="e">
        <f t="shared" si="2688"/>
        <v>#DIV/0!</v>
      </c>
      <c r="CD413" s="606" t="e">
        <f t="shared" si="2688"/>
        <v>#DIV/0!</v>
      </c>
      <c r="CE413" s="606" t="e">
        <f t="shared" si="2688"/>
        <v>#DIV/0!</v>
      </c>
      <c r="CF413" s="606" t="e">
        <f t="shared" si="2688"/>
        <v>#DIV/0!</v>
      </c>
      <c r="CG413" s="606" t="e">
        <f t="shared" si="2688"/>
        <v>#DIV/0!</v>
      </c>
      <c r="CH413" s="606" t="e">
        <f t="shared" si="2688"/>
        <v>#DIV/0!</v>
      </c>
      <c r="CI413" s="606" t="e">
        <f t="shared" si="2688"/>
        <v>#DIV/0!</v>
      </c>
      <c r="CJ413" s="606" t="e">
        <v>#DIV/0!</v>
      </c>
      <c r="CK413" s="606" t="e">
        <f t="shared" ref="CK413:CO413" si="2689">CK296/CK$368</f>
        <v>#DIV/0!</v>
      </c>
      <c r="CL413" s="606" t="e">
        <f t="shared" si="2689"/>
        <v>#DIV/0!</v>
      </c>
      <c r="CM413" s="606" t="e">
        <f t="shared" si="2689"/>
        <v>#DIV/0!</v>
      </c>
      <c r="CN413" s="606" t="e">
        <f t="shared" si="2689"/>
        <v>#DIV/0!</v>
      </c>
      <c r="CO413" s="606" t="e">
        <f t="shared" si="2689"/>
        <v>#DIV/0!</v>
      </c>
    </row>
    <row r="414" spans="1:93" x14ac:dyDescent="0.25">
      <c r="A414" s="455" t="str">
        <f>Language!C334</f>
        <v>Concebra</v>
      </c>
      <c r="B414" s="604"/>
      <c r="C414" s="604"/>
      <c r="D414" s="604"/>
      <c r="E414" s="604"/>
      <c r="F414" s="605"/>
      <c r="G414" s="604"/>
      <c r="H414" s="604"/>
      <c r="I414" s="604"/>
      <c r="J414" s="605"/>
      <c r="K414" s="604"/>
      <c r="L414" s="604"/>
      <c r="M414" s="604"/>
      <c r="N414" s="605"/>
      <c r="O414" s="604"/>
      <c r="P414" s="604"/>
      <c r="Q414" s="604"/>
      <c r="R414" s="605"/>
      <c r="S414" s="604"/>
      <c r="T414" s="604"/>
      <c r="U414" s="604"/>
      <c r="V414" s="604"/>
      <c r="W414" s="606" t="e">
        <f>#REF!/W$368</f>
        <v>#REF!</v>
      </c>
      <c r="X414" s="607" t="e">
        <f>#REF!/X$368</f>
        <v>#REF!</v>
      </c>
      <c r="Y414" s="608" t="e">
        <f>#REF!/Y$368</f>
        <v>#REF!</v>
      </c>
      <c r="Z414" s="606" t="e">
        <f>#REF!/Z$368</f>
        <v>#REF!</v>
      </c>
      <c r="AA414" s="606" t="e">
        <f>#REF!/AA$368</f>
        <v>#REF!</v>
      </c>
      <c r="AB414" s="604"/>
      <c r="AC414" s="606">
        <f>AC297/AC$369</f>
        <v>0.44343552629053001</v>
      </c>
      <c r="AD414" s="606">
        <f>AD297/AD$369</f>
        <v>0.46383921109811133</v>
      </c>
      <c r="AE414" s="607">
        <f>AE297/AE$369</f>
        <v>0.48112412441159208</v>
      </c>
      <c r="AF414" s="606" t="e">
        <f>#REF!/AF$368</f>
        <v>#REF!</v>
      </c>
      <c r="AG414" s="606" t="e">
        <f>#REF!/AG$368</f>
        <v>#REF!</v>
      </c>
      <c r="AH414" s="606" t="e">
        <f>#REF!/AH$368</f>
        <v>#REF!</v>
      </c>
      <c r="AI414" s="604"/>
      <c r="AJ414" s="606">
        <f t="shared" ref="AJ414:BO414" si="2690">AJ297/AJ$369</f>
        <v>0.33227788998086266</v>
      </c>
      <c r="AK414" s="606">
        <f t="shared" si="2690"/>
        <v>0.41215458689333606</v>
      </c>
      <c r="AL414" s="607">
        <f t="shared" si="2690"/>
        <v>0.39997758317061161</v>
      </c>
      <c r="AM414" s="606">
        <f t="shared" si="2690"/>
        <v>0.27014001953599254</v>
      </c>
      <c r="AN414" s="606">
        <f t="shared" si="2690"/>
        <v>0.25401783744095047</v>
      </c>
      <c r="AO414" s="606">
        <f t="shared" si="2690"/>
        <v>1.0933242164057517</v>
      </c>
      <c r="AP414" s="606">
        <f t="shared" si="2690"/>
        <v>0.54193790653522489</v>
      </c>
      <c r="AQ414" s="606">
        <f t="shared" si="2690"/>
        <v>0.26217072106325523</v>
      </c>
      <c r="AR414" s="606">
        <f t="shared" si="2690"/>
        <v>0.55980191862490325</v>
      </c>
      <c r="AS414" s="607">
        <f t="shared" si="2690"/>
        <v>0.5554366564299329</v>
      </c>
      <c r="AT414" s="606">
        <f t="shared" si="2690"/>
        <v>0.42330127892219077</v>
      </c>
      <c r="AU414" s="606">
        <f t="shared" si="2690"/>
        <v>0.22086005727403971</v>
      </c>
      <c r="AV414" s="606">
        <f t="shared" si="2690"/>
        <v>0.43198628512280851</v>
      </c>
      <c r="AW414" s="606">
        <f t="shared" si="2690"/>
        <v>0.39689237599173643</v>
      </c>
      <c r="AX414" s="606">
        <f t="shared" si="2690"/>
        <v>0.38809252027635927</v>
      </c>
      <c r="AY414" s="606">
        <f t="shared" si="2690"/>
        <v>0.4034321517307366</v>
      </c>
      <c r="AZ414" s="606">
        <f t="shared" si="2690"/>
        <v>0.40173273405330701</v>
      </c>
      <c r="BA414" s="606">
        <f t="shared" si="2690"/>
        <v>0.36075643257883538</v>
      </c>
      <c r="BB414" s="606">
        <f t="shared" si="2690"/>
        <v>0.40746107927729103</v>
      </c>
      <c r="BC414" s="606">
        <f t="shared" si="2690"/>
        <v>4.4328508919555705E-2</v>
      </c>
      <c r="BD414" s="606">
        <f t="shared" si="2690"/>
        <v>0.2885454016862099</v>
      </c>
      <c r="BE414" s="606">
        <f t="shared" si="2690"/>
        <v>0.30180280013424432</v>
      </c>
      <c r="BF414" s="606">
        <f t="shared" si="2690"/>
        <v>0.23141054840089997</v>
      </c>
      <c r="BG414" s="606">
        <f t="shared" si="2690"/>
        <v>0.24407799323199225</v>
      </c>
      <c r="BH414" s="606">
        <f t="shared" si="2690"/>
        <v>0.24674303483031615</v>
      </c>
      <c r="BI414" s="606">
        <f t="shared" si="2690"/>
        <v>0.14466647425340826</v>
      </c>
      <c r="BJ414" s="606">
        <f t="shared" si="2690"/>
        <v>0.43986254295532645</v>
      </c>
      <c r="BK414" s="606">
        <f t="shared" si="2690"/>
        <v>0.28888089123002175</v>
      </c>
      <c r="BL414" s="606">
        <f t="shared" si="2690"/>
        <v>0.19535426352539659</v>
      </c>
      <c r="BM414" s="606">
        <f t="shared" si="2690"/>
        <v>0.28244043612868486</v>
      </c>
      <c r="BN414" s="606">
        <f t="shared" si="2690"/>
        <v>0.28414743656677455</v>
      </c>
      <c r="BO414" s="606">
        <f t="shared" si="2690"/>
        <v>0.14495479960286356</v>
      </c>
      <c r="BP414" s="606">
        <f t="shared" ref="BP414:CI414" si="2691">BP297/BP$369</f>
        <v>0.96134159703030209</v>
      </c>
      <c r="BQ414" s="606">
        <f t="shared" si="2691"/>
        <v>1.0643159806295399</v>
      </c>
      <c r="BR414" s="606">
        <f t="shared" si="2691"/>
        <v>-0.18295249549007817</v>
      </c>
      <c r="BS414" s="606">
        <f t="shared" si="2691"/>
        <v>0.15882696808976426</v>
      </c>
      <c r="BT414" s="606">
        <f t="shared" si="2691"/>
        <v>0.23650462917886436</v>
      </c>
      <c r="BU414" s="606">
        <f t="shared" si="2691"/>
        <v>0.2757979848911859</v>
      </c>
      <c r="BV414" s="606">
        <f t="shared" si="2691"/>
        <v>-0.56742039950706447</v>
      </c>
      <c r="BW414" s="606">
        <f t="shared" si="2691"/>
        <v>-0.51190390042694844</v>
      </c>
      <c r="BX414" s="606">
        <f t="shared" si="2691"/>
        <v>0.70797493156205271</v>
      </c>
      <c r="BY414" s="606">
        <f t="shared" si="2691"/>
        <v>0.45567180916504263</v>
      </c>
      <c r="BZ414" s="606">
        <f t="shared" si="2691"/>
        <v>-0.54288273016583777</v>
      </c>
      <c r="CA414" s="606">
        <f t="shared" si="2691"/>
        <v>-8.60093896713615E-2</v>
      </c>
      <c r="CB414" s="606">
        <f t="shared" si="2691"/>
        <v>8.6220982158311241E-2</v>
      </c>
      <c r="CC414" s="606">
        <f t="shared" si="2691"/>
        <v>2.9832217649137214E-2</v>
      </c>
      <c r="CD414" s="606">
        <f t="shared" si="2691"/>
        <v>0.19435316910102757</v>
      </c>
      <c r="CE414" s="606">
        <f t="shared" si="2691"/>
        <v>0.45821565473854869</v>
      </c>
      <c r="CF414" s="606">
        <f t="shared" si="2691"/>
        <v>0.42033313969641101</v>
      </c>
      <c r="CG414" s="606">
        <f t="shared" si="2691"/>
        <v>0.1123194788993272</v>
      </c>
      <c r="CH414" s="606">
        <f t="shared" si="2691"/>
        <v>0.29383799390859267</v>
      </c>
      <c r="CI414" s="606">
        <f t="shared" si="2691"/>
        <v>0.32720978967393294</v>
      </c>
      <c r="CJ414" s="606">
        <v>0.22478089598569392</v>
      </c>
      <c r="CK414" s="606">
        <f t="shared" ref="CK414:CO414" si="2692">CK297/CK$369</f>
        <v>0.22801268498942917</v>
      </c>
      <c r="CL414" s="606" t="e">
        <f t="shared" si="2692"/>
        <v>#DIV/0!</v>
      </c>
      <c r="CM414" s="606" t="e">
        <f t="shared" si="2692"/>
        <v>#DIV/0!</v>
      </c>
      <c r="CN414" s="606">
        <f t="shared" si="2692"/>
        <v>0.22629160284082997</v>
      </c>
      <c r="CO414" s="606" t="e">
        <f t="shared" si="2692"/>
        <v>#DIV/0!</v>
      </c>
    </row>
    <row r="415" spans="1:93" s="289" customFormat="1" x14ac:dyDescent="0.25">
      <c r="A415" s="543" t="str">
        <f>Language!C335</f>
        <v>Transbrasiliana</v>
      </c>
      <c r="B415" s="610"/>
      <c r="C415" s="610"/>
      <c r="D415" s="610"/>
      <c r="E415" s="610"/>
      <c r="F415" s="611"/>
      <c r="G415" s="610"/>
      <c r="H415" s="610"/>
      <c r="I415" s="610"/>
      <c r="J415" s="611"/>
      <c r="K415" s="610"/>
      <c r="L415" s="610"/>
      <c r="M415" s="610"/>
      <c r="N415" s="611"/>
      <c r="O415" s="610"/>
      <c r="P415" s="610"/>
      <c r="Q415" s="610"/>
      <c r="R415" s="605">
        <f t="shared" ref="R415:AB415" si="2693">R297/R$368</f>
        <v>-0.12504012841091494</v>
      </c>
      <c r="S415" s="604">
        <f t="shared" si="2693"/>
        <v>-2.4649507251991574E-2</v>
      </c>
      <c r="T415" s="604">
        <f t="shared" si="2693"/>
        <v>0.61559207368637581</v>
      </c>
      <c r="U415" s="604">
        <f t="shared" si="2693"/>
        <v>0.72018944312886712</v>
      </c>
      <c r="V415" s="604">
        <f t="shared" si="2693"/>
        <v>-7.6211002367240224E-2</v>
      </c>
      <c r="W415" s="606">
        <f t="shared" si="2693"/>
        <v>0.15904462856165769</v>
      </c>
      <c r="X415" s="607">
        <f t="shared" si="2693"/>
        <v>0.32136267718449285</v>
      </c>
      <c r="Y415" s="608">
        <f t="shared" si="2693"/>
        <v>0.61606505920958765</v>
      </c>
      <c r="Z415" s="606">
        <f t="shared" si="2693"/>
        <v>0.82081932773109245</v>
      </c>
      <c r="AA415" s="606">
        <f t="shared" si="2693"/>
        <v>0.85752174181212604</v>
      </c>
      <c r="AB415" s="604">
        <f t="shared" si="2693"/>
        <v>0.85846521349656613</v>
      </c>
      <c r="AC415" s="606">
        <f>AC298/AC$370</f>
        <v>0.39627349858592581</v>
      </c>
      <c r="AD415" s="606">
        <f>AD298/AD$370</f>
        <v>0.36094055453068641</v>
      </c>
      <c r="AE415" s="607">
        <f>AE298/AE$370</f>
        <v>0.4457679603633361</v>
      </c>
      <c r="AF415" s="606">
        <f>AF297/AF$368</f>
        <v>0.55952278511298847</v>
      </c>
      <c r="AG415" s="606">
        <f>AG297/AG$368</f>
        <v>0.47167851860679383</v>
      </c>
      <c r="AH415" s="606">
        <f>AH297/AH$368</f>
        <v>1.0086193122376335</v>
      </c>
      <c r="AI415" s="604">
        <f>AI297/AI$368</f>
        <v>0.63653027008647967</v>
      </c>
      <c r="AJ415" s="606">
        <f t="shared" ref="AJ415:AT415" si="2694">AJ298/AJ$370</f>
        <v>0.49013378488235332</v>
      </c>
      <c r="AK415" s="606">
        <f t="shared" si="2694"/>
        <v>0.39917864561559041</v>
      </c>
      <c r="AL415" s="607">
        <f t="shared" si="2694"/>
        <v>0.49622833591332716</v>
      </c>
      <c r="AM415" s="606">
        <f t="shared" si="2694"/>
        <v>0.49464826328102524</v>
      </c>
      <c r="AN415" s="606">
        <f t="shared" si="2694"/>
        <v>-4.9044955179502657E-2</v>
      </c>
      <c r="AO415" s="606">
        <f t="shared" si="2694"/>
        <v>0.81436967031939378</v>
      </c>
      <c r="AP415" s="606">
        <f t="shared" si="2694"/>
        <v>0.4284249639700175</v>
      </c>
      <c r="AQ415" s="606">
        <f t="shared" si="2694"/>
        <v>0.2252284487992805</v>
      </c>
      <c r="AR415" s="606">
        <f t="shared" si="2694"/>
        <v>0.43817048336744852</v>
      </c>
      <c r="AS415" s="607">
        <f t="shared" si="2694"/>
        <v>0.43551837831550366</v>
      </c>
      <c r="AT415" s="606">
        <f t="shared" si="2694"/>
        <v>0.41092949683639651</v>
      </c>
      <c r="AU415" s="606"/>
      <c r="AV415" s="606">
        <f>AV298/AV$370</f>
        <v>0.7771397407930194</v>
      </c>
      <c r="AW415" s="606">
        <f>AW298/AW$370</f>
        <v>0.38676529655911102</v>
      </c>
      <c r="AX415" s="606"/>
      <c r="AY415" s="606">
        <f t="shared" ref="AY415:CI415" si="2695">AY298/AY$370</f>
        <v>0.41561132321445199</v>
      </c>
      <c r="AZ415" s="606">
        <f t="shared" si="2695"/>
        <v>0.40816837668843059</v>
      </c>
      <c r="BA415" s="606">
        <f t="shared" si="2695"/>
        <v>0.32476000724506432</v>
      </c>
      <c r="BB415" s="606">
        <f t="shared" si="2695"/>
        <v>0.79169093379926225</v>
      </c>
      <c r="BC415" s="606">
        <f t="shared" si="2695"/>
        <v>0.39957523280509721</v>
      </c>
      <c r="BD415" s="606">
        <f t="shared" si="2695"/>
        <v>0.42118681879023517</v>
      </c>
      <c r="BE415" s="606">
        <f t="shared" si="2695"/>
        <v>0.37726761619190402</v>
      </c>
      <c r="BF415" s="606">
        <f t="shared" si="2695"/>
        <v>0.38539867802060385</v>
      </c>
      <c r="BG415" s="606">
        <f t="shared" si="2695"/>
        <v>0.39513451184727294</v>
      </c>
      <c r="BH415" s="606">
        <f t="shared" si="2695"/>
        <v>0.21233354470513632</v>
      </c>
      <c r="BI415" s="606">
        <f t="shared" si="2695"/>
        <v>0.55015826334022877</v>
      </c>
      <c r="BJ415" s="606">
        <f t="shared" si="2695"/>
        <v>0.50164359668150005</v>
      </c>
      <c r="BK415" s="606">
        <f t="shared" si="2695"/>
        <v>0.60981992371152316</v>
      </c>
      <c r="BL415" s="606">
        <f t="shared" si="2695"/>
        <v>0.41104893738749426</v>
      </c>
      <c r="BM415" s="606">
        <f t="shared" si="2695"/>
        <v>0.44880651647161934</v>
      </c>
      <c r="BN415" s="606">
        <f t="shared" si="2695"/>
        <v>0.49589407582644884</v>
      </c>
      <c r="BO415" s="606">
        <f t="shared" si="2695"/>
        <v>0.49327897495631917</v>
      </c>
      <c r="BP415" s="606">
        <f t="shared" si="2695"/>
        <v>0.57871829166005484</v>
      </c>
      <c r="BQ415" s="606">
        <f t="shared" si="2695"/>
        <v>0.44981004643309414</v>
      </c>
      <c r="BR415" s="606">
        <f t="shared" si="2695"/>
        <v>0.48778097040171564</v>
      </c>
      <c r="BS415" s="606">
        <f t="shared" si="2695"/>
        <v>0.53658172292561868</v>
      </c>
      <c r="BT415" s="606">
        <f t="shared" si="2695"/>
        <v>0.50599622074424555</v>
      </c>
      <c r="BU415" s="606">
        <f t="shared" si="2695"/>
        <v>0.50332608984877381</v>
      </c>
      <c r="BV415" s="606">
        <f t="shared" si="2695"/>
        <v>0.45487018060857726</v>
      </c>
      <c r="BW415" s="606">
        <f t="shared" si="2695"/>
        <v>0.40237653008704993</v>
      </c>
      <c r="BX415" s="606">
        <f t="shared" si="2695"/>
        <v>0.5365180585855196</v>
      </c>
      <c r="BY415" s="606">
        <f t="shared" si="2695"/>
        <v>0.50564271951555184</v>
      </c>
      <c r="BZ415" s="606">
        <f t="shared" si="2695"/>
        <v>0.42865444792132318</v>
      </c>
      <c r="CA415" s="606">
        <f t="shared" si="2695"/>
        <v>0.46907645114631302</v>
      </c>
      <c r="CB415" s="606">
        <f t="shared" si="2695"/>
        <v>0.47916055180510714</v>
      </c>
      <c r="CC415" s="606">
        <f t="shared" si="2695"/>
        <v>0.51031441717791415</v>
      </c>
      <c r="CD415" s="606">
        <f t="shared" si="2695"/>
        <v>0.52516435354273194</v>
      </c>
      <c r="CE415" s="606">
        <f t="shared" si="2695"/>
        <v>0.57098029591192767</v>
      </c>
      <c r="CF415" s="606">
        <f t="shared" si="2695"/>
        <v>0.50679732638495523</v>
      </c>
      <c r="CG415" s="606">
        <f t="shared" si="2695"/>
        <v>0.51791994014216236</v>
      </c>
      <c r="CH415" s="606">
        <f t="shared" si="2695"/>
        <v>0.53637993705935449</v>
      </c>
      <c r="CI415" s="606">
        <f t="shared" si="2695"/>
        <v>0.52915740851719018</v>
      </c>
      <c r="CJ415" s="606">
        <v>0.1606521138436032</v>
      </c>
      <c r="CK415" s="606">
        <f t="shared" ref="CK415:CO415" si="2696">CK298/CK$370</f>
        <v>0.53594676956921583</v>
      </c>
      <c r="CL415" s="606" t="e">
        <f t="shared" si="2696"/>
        <v>#DIV/0!</v>
      </c>
      <c r="CM415" s="606" t="e">
        <f t="shared" si="2696"/>
        <v>#DIV/0!</v>
      </c>
      <c r="CN415" s="606">
        <f t="shared" si="2696"/>
        <v>0.35030343897505056</v>
      </c>
      <c r="CO415" s="606" t="e">
        <f t="shared" si="2696"/>
        <v>#DIV/0!</v>
      </c>
    </row>
    <row r="416" spans="1:93" s="423" customFormat="1" ht="13" x14ac:dyDescent="0.3">
      <c r="A416" s="525" t="str">
        <f>Language!C336</f>
        <v>Margem Líquida</v>
      </c>
      <c r="B416" s="615">
        <f t="shared" ref="B416:AW416" si="2697">B284/B$362</f>
        <v>0.26161220631920062</v>
      </c>
      <c r="C416" s="615">
        <f t="shared" si="2697"/>
        <v>0.17022530438717418</v>
      </c>
      <c r="D416" s="615">
        <f t="shared" si="2697"/>
        <v>0.20077486785199422</v>
      </c>
      <c r="E416" s="615">
        <f t="shared" si="2697"/>
        <v>0.3360738781548393</v>
      </c>
      <c r="F416" s="616">
        <f t="shared" si="2697"/>
        <v>0.28420577924509038</v>
      </c>
      <c r="G416" s="615">
        <f t="shared" si="2697"/>
        <v>0.20589639760094738</v>
      </c>
      <c r="H416" s="615">
        <f t="shared" si="2697"/>
        <v>0.2746926018466278</v>
      </c>
      <c r="I416" s="615">
        <f t="shared" si="2697"/>
        <v>0.32263505599025444</v>
      </c>
      <c r="J416" s="616">
        <f t="shared" si="2697"/>
        <v>0.37687814951225901</v>
      </c>
      <c r="K416" s="615">
        <f t="shared" si="2697"/>
        <v>0.19846230334884052</v>
      </c>
      <c r="L416" s="615">
        <f t="shared" si="2697"/>
        <v>0.25111392981429081</v>
      </c>
      <c r="M416" s="615">
        <f t="shared" si="2697"/>
        <v>0.29032305165176125</v>
      </c>
      <c r="N416" s="616">
        <f t="shared" si="2697"/>
        <v>0.25839480191881187</v>
      </c>
      <c r="O416" s="615">
        <f t="shared" si="2697"/>
        <v>0.26970715123561106</v>
      </c>
      <c r="P416" s="615">
        <f t="shared" si="2697"/>
        <v>0.33510991233985166</v>
      </c>
      <c r="Q416" s="615">
        <f t="shared" si="2697"/>
        <v>0.20126964017681323</v>
      </c>
      <c r="R416" s="616">
        <f t="shared" si="2697"/>
        <v>0.36210853514750668</v>
      </c>
      <c r="S416" s="615">
        <f t="shared" si="2697"/>
        <v>8.5200498586325363E-2</v>
      </c>
      <c r="T416" s="615">
        <f t="shared" si="2697"/>
        <v>0.16176443930434656</v>
      </c>
      <c r="U416" s="615">
        <f t="shared" si="2697"/>
        <v>-0.15178855662251522</v>
      </c>
      <c r="V416" s="615">
        <f t="shared" si="2697"/>
        <v>0.40427235484798779</v>
      </c>
      <c r="W416" s="617">
        <f t="shared" si="2697"/>
        <v>0.22305036368076053</v>
      </c>
      <c r="X416" s="618">
        <f t="shared" si="2697"/>
        <v>0.13348296474321941</v>
      </c>
      <c r="Y416" s="619">
        <f t="shared" si="2697"/>
        <v>-6.1379240036419759E-3</v>
      </c>
      <c r="Z416" s="617">
        <f t="shared" si="2697"/>
        <v>-8.2322749459065064E-2</v>
      </c>
      <c r="AA416" s="617">
        <f t="shared" si="2697"/>
        <v>-5.0941482983731294E-2</v>
      </c>
      <c r="AB416" s="615">
        <f t="shared" si="2697"/>
        <v>-0.49834778512483208</v>
      </c>
      <c r="AC416" s="617">
        <f t="shared" si="2697"/>
        <v>-4.2397892448554741E-2</v>
      </c>
      <c r="AD416" s="617">
        <f t="shared" si="2697"/>
        <v>-4.5237398249985857E-2</v>
      </c>
      <c r="AE416" s="618">
        <f t="shared" si="2697"/>
        <v>-0.16332926218185223</v>
      </c>
      <c r="AF416" s="617">
        <f t="shared" si="2697"/>
        <v>-0.12119689496405829</v>
      </c>
      <c r="AG416" s="617">
        <f t="shared" si="2697"/>
        <v>-0.22924959895431038</v>
      </c>
      <c r="AH416" s="617">
        <f t="shared" si="2697"/>
        <v>-1.8669297367426431E-2</v>
      </c>
      <c r="AI416" s="615">
        <f t="shared" si="2697"/>
        <v>-0.91197521974535145</v>
      </c>
      <c r="AJ416" s="617">
        <f t="shared" si="2697"/>
        <v>-0.1729865285047868</v>
      </c>
      <c r="AK416" s="617">
        <f t="shared" si="2697"/>
        <v>-0.12192757318803284</v>
      </c>
      <c r="AL416" s="618">
        <f t="shared" si="2697"/>
        <v>-0.31967579034585214</v>
      </c>
      <c r="AM416" s="617">
        <f t="shared" si="2697"/>
        <v>7.5666576533002267E-2</v>
      </c>
      <c r="AN416" s="617">
        <f t="shared" si="2697"/>
        <v>-0.13611727431651871</v>
      </c>
      <c r="AO416" s="617">
        <f t="shared" si="2697"/>
        <v>-9.3771682849710547E-2</v>
      </c>
      <c r="AP416" s="617">
        <f t="shared" si="2697"/>
        <v>-1.1999186369292618</v>
      </c>
      <c r="AQ416" s="617">
        <f t="shared" si="2697"/>
        <v>-2.5351976125511863E-2</v>
      </c>
      <c r="AR416" s="617">
        <f t="shared" si="2697"/>
        <v>-4.6664015250216011E-2</v>
      </c>
      <c r="AS416" s="618">
        <f t="shared" si="2697"/>
        <v>-0.30352197503491057</v>
      </c>
      <c r="AT416" s="617">
        <f t="shared" si="2697"/>
        <v>-0.36186439365145151</v>
      </c>
      <c r="AU416" s="617">
        <f t="shared" si="2697"/>
        <v>-0.41457537428572383</v>
      </c>
      <c r="AV416" s="617">
        <f t="shared" si="2697"/>
        <v>-0.23838922095565235</v>
      </c>
      <c r="AW416" s="617">
        <f t="shared" si="2697"/>
        <v>0.13026023065729739</v>
      </c>
      <c r="AX416" s="759">
        <v>-0.41044336103866014</v>
      </c>
      <c r="AY416" s="617">
        <f t="shared" ref="AY416:CI416" si="2698">AY284/AY$362</f>
        <v>-0.34456008689519513</v>
      </c>
      <c r="AZ416" s="617">
        <f t="shared" si="2698"/>
        <v>-0.20965663478116914</v>
      </c>
      <c r="BA416" s="617">
        <f t="shared" si="2698"/>
        <v>-6.1906869933320424E-2</v>
      </c>
      <c r="BB416" s="617">
        <f t="shared" si="2698"/>
        <v>-3.3255213419265237E-3</v>
      </c>
      <c r="BC416" s="617">
        <f t="shared" si="2698"/>
        <v>-0.26501819632085349</v>
      </c>
      <c r="BD416" s="617">
        <f t="shared" si="2698"/>
        <v>0.74119358041495165</v>
      </c>
      <c r="BE416" s="617">
        <f t="shared" si="2698"/>
        <v>-3.4990902066352601E-2</v>
      </c>
      <c r="BF416" s="617">
        <f t="shared" si="2698"/>
        <v>-0.11166539266841703</v>
      </c>
      <c r="BG416" s="617">
        <f t="shared" si="2698"/>
        <v>0.11246965030784571</v>
      </c>
      <c r="BH416" s="617">
        <f t="shared" si="2698"/>
        <v>-0.2357617685514049</v>
      </c>
      <c r="BI416" s="617">
        <f t="shared" si="2698"/>
        <v>-0.13642326815031705</v>
      </c>
      <c r="BJ416" s="617">
        <f t="shared" si="2698"/>
        <v>0.35498749048188838</v>
      </c>
      <c r="BK416" s="617">
        <f t="shared" si="2698"/>
        <v>-0.21086138662236772</v>
      </c>
      <c r="BL416" s="617">
        <f t="shared" si="2698"/>
        <v>-0.18478889178859667</v>
      </c>
      <c r="BM416" s="617">
        <f t="shared" si="2698"/>
        <v>9.0977575223341271E-3</v>
      </c>
      <c r="BN416" s="617">
        <f t="shared" si="2698"/>
        <v>-4.4210880309959288E-2</v>
      </c>
      <c r="BO416" s="617">
        <f t="shared" si="2698"/>
        <v>-0.23312222967988888</v>
      </c>
      <c r="BP416" s="617">
        <f t="shared" si="2698"/>
        <v>-1.2366444832675241</v>
      </c>
      <c r="BQ416" s="617">
        <f t="shared" si="2698"/>
        <v>-0.43347970333612745</v>
      </c>
      <c r="BR416" s="617">
        <f t="shared" si="2698"/>
        <v>-0.11966993753064047</v>
      </c>
      <c r="BS416" s="617">
        <f t="shared" si="2698"/>
        <v>0.12006010750447801</v>
      </c>
      <c r="BT416" s="617">
        <f t="shared" si="2698"/>
        <v>1.2730092048596139E-2</v>
      </c>
      <c r="BU416" s="617">
        <f t="shared" si="2698"/>
        <v>-1.463598693166729E-2</v>
      </c>
      <c r="BV416" s="617">
        <f t="shared" si="2698"/>
        <v>-0.43606097571527774</v>
      </c>
      <c r="BW416" s="617">
        <f t="shared" si="2698"/>
        <v>-0.39298651535441581</v>
      </c>
      <c r="BX416" s="617">
        <f t="shared" si="2698"/>
        <v>0.55473022530199279</v>
      </c>
      <c r="BY416" s="617">
        <f t="shared" si="2698"/>
        <v>6.0165471122159579E-2</v>
      </c>
      <c r="BZ416" s="617">
        <f t="shared" si="2698"/>
        <v>-0.41098722095530738</v>
      </c>
      <c r="CA416" s="617">
        <f t="shared" si="2698"/>
        <v>-6.1017074831083325E-2</v>
      </c>
      <c r="CB416" s="617">
        <f t="shared" si="2698"/>
        <v>-2.6415393009900822E-2</v>
      </c>
      <c r="CC416" s="617">
        <f t="shared" si="2698"/>
        <v>-6.3518131677587936E-2</v>
      </c>
      <c r="CD416" s="617">
        <f t="shared" si="2698"/>
        <v>-1.5380648479882287E-2</v>
      </c>
      <c r="CE416" s="617">
        <f t="shared" si="2698"/>
        <v>0.1178935222263305</v>
      </c>
      <c r="CF416" s="617">
        <f t="shared" si="2698"/>
        <v>-0.21356127033524683</v>
      </c>
      <c r="CG416" s="617">
        <f t="shared" si="2698"/>
        <v>-3.9170463356014651E-2</v>
      </c>
      <c r="CH416" s="617">
        <f t="shared" si="2698"/>
        <v>3.0355954451360981E-2</v>
      </c>
      <c r="CI416" s="617">
        <f t="shared" si="2698"/>
        <v>-3.2844166823305286E-2</v>
      </c>
      <c r="CJ416" s="617">
        <v>-7.2091818271539959E-2</v>
      </c>
      <c r="CK416" s="617">
        <f t="shared" ref="CK416:CO416" si="2699">CK284/CK$362</f>
        <v>-0.17527499532431834</v>
      </c>
      <c r="CL416" s="617" t="e">
        <f t="shared" si="2699"/>
        <v>#DIV/0!</v>
      </c>
      <c r="CM416" s="617" t="e">
        <f t="shared" si="2699"/>
        <v>#DIV/0!</v>
      </c>
      <c r="CN416" s="617">
        <f t="shared" si="2699"/>
        <v>-0.12223704207876319</v>
      </c>
      <c r="CO416" s="617" t="e">
        <f t="shared" si="2699"/>
        <v>#DIV/0!</v>
      </c>
    </row>
    <row r="417" spans="1:93" s="289" customFormat="1" x14ac:dyDescent="0.25">
      <c r="A417" s="455" t="str">
        <f>Language!C337</f>
        <v>Concepa</v>
      </c>
      <c r="B417" s="604">
        <f t="shared" ref="B417:AS417" si="2700">B285/B$366</f>
        <v>0.30730763026294566</v>
      </c>
      <c r="C417" s="604">
        <f t="shared" si="2700"/>
        <v>0.15463309649459006</v>
      </c>
      <c r="D417" s="604">
        <f t="shared" si="2700"/>
        <v>0.2244484402203385</v>
      </c>
      <c r="E417" s="604">
        <f t="shared" si="2700"/>
        <v>0.36053195857475251</v>
      </c>
      <c r="F417" s="605">
        <f t="shared" si="2700"/>
        <v>0.34897828863346103</v>
      </c>
      <c r="G417" s="604">
        <f t="shared" si="2700"/>
        <v>8.3107243409265424E-2</v>
      </c>
      <c r="H417" s="604">
        <f t="shared" si="2700"/>
        <v>0.2241324496833044</v>
      </c>
      <c r="I417" s="604">
        <f t="shared" si="2700"/>
        <v>0.3288768992740112</v>
      </c>
      <c r="J417" s="605">
        <f t="shared" si="2700"/>
        <v>0.40271242239358751</v>
      </c>
      <c r="K417" s="604">
        <f t="shared" si="2700"/>
        <v>0.20421408250355619</v>
      </c>
      <c r="L417" s="604">
        <f t="shared" si="2700"/>
        <v>0.21623667444647701</v>
      </c>
      <c r="M417" s="604">
        <f t="shared" si="2700"/>
        <v>0.34814752583382341</v>
      </c>
      <c r="N417" s="605">
        <f t="shared" si="2700"/>
        <v>0.32118664569977018</v>
      </c>
      <c r="O417" s="604">
        <f t="shared" si="2700"/>
        <v>0.16238011795074708</v>
      </c>
      <c r="P417" s="604">
        <f t="shared" si="2700"/>
        <v>0.28725077519960451</v>
      </c>
      <c r="Q417" s="604">
        <f t="shared" si="2700"/>
        <v>0.38594443904178416</v>
      </c>
      <c r="R417" s="605">
        <f t="shared" si="2700"/>
        <v>0.42951697236285169</v>
      </c>
      <c r="S417" s="604">
        <f t="shared" si="2700"/>
        <v>0.28451333757779712</v>
      </c>
      <c r="T417" s="604">
        <f t="shared" si="2700"/>
        <v>0.20224267565465387</v>
      </c>
      <c r="U417" s="604">
        <f t="shared" si="2700"/>
        <v>-0.47728670356407582</v>
      </c>
      <c r="V417" s="604">
        <f t="shared" si="2700"/>
        <v>0.4861988405295492</v>
      </c>
      <c r="W417" s="606">
        <f t="shared" si="2700"/>
        <v>0.31497634683327014</v>
      </c>
      <c r="X417" s="607">
        <f t="shared" si="2700"/>
        <v>0.21205226887487147</v>
      </c>
      <c r="Y417" s="608">
        <f t="shared" si="2700"/>
        <v>0.15712371391582822</v>
      </c>
      <c r="Z417" s="606">
        <f t="shared" si="2700"/>
        <v>5.8993359638148397E-2</v>
      </c>
      <c r="AA417" s="606">
        <f t="shared" si="2700"/>
        <v>0.13491368349673663</v>
      </c>
      <c r="AB417" s="604">
        <f t="shared" si="2700"/>
        <v>3.7160663850050187E-2</v>
      </c>
      <c r="AC417" s="606">
        <f t="shared" si="2700"/>
        <v>0.11644637110715141</v>
      </c>
      <c r="AD417" s="606">
        <f t="shared" si="2700"/>
        <v>0.12235634522356345</v>
      </c>
      <c r="AE417" s="607">
        <f t="shared" si="2700"/>
        <v>9.8568784379154825E-2</v>
      </c>
      <c r="AF417" s="606">
        <f t="shared" si="2700"/>
        <v>0.21655837177458126</v>
      </c>
      <c r="AG417" s="606">
        <f t="shared" si="2700"/>
        <v>-9.319527068161973E-2</v>
      </c>
      <c r="AH417" s="606">
        <f t="shared" si="2700"/>
        <v>1.0701890019904197E-2</v>
      </c>
      <c r="AI417" s="604">
        <f t="shared" si="2700"/>
        <v>-5.0845008852130391</v>
      </c>
      <c r="AJ417" s="606">
        <f t="shared" si="2700"/>
        <v>8.4720471498066816E-2</v>
      </c>
      <c r="AK417" s="606">
        <f t="shared" si="2700"/>
        <v>6.7597693772579487E-2</v>
      </c>
      <c r="AL417" s="607">
        <f t="shared" si="2700"/>
        <v>-0.90079071624245655</v>
      </c>
      <c r="AM417" s="606">
        <f t="shared" si="2700"/>
        <v>0.69013469932263893</v>
      </c>
      <c r="AN417" s="606">
        <f t="shared" si="2700"/>
        <v>0.23912090848870843</v>
      </c>
      <c r="AO417" s="606">
        <f t="shared" si="2700"/>
        <v>14.282887214652023</v>
      </c>
      <c r="AP417" s="606">
        <f t="shared" si="2700"/>
        <v>22.25483759407874</v>
      </c>
      <c r="AQ417" s="606">
        <f t="shared" si="2700"/>
        <v>0.49900980556893948</v>
      </c>
      <c r="AR417" s="606">
        <f t="shared" si="2700"/>
        <v>0.17609045243803775</v>
      </c>
      <c r="AS417" s="607">
        <f t="shared" si="2700"/>
        <v>0.14928866579404304</v>
      </c>
      <c r="AT417" s="606"/>
      <c r="AU417" s="606"/>
      <c r="AV417" s="606"/>
      <c r="AW417" s="606"/>
      <c r="AX417" s="606"/>
      <c r="AY417" s="606"/>
      <c r="AZ417" s="606"/>
      <c r="BA417" s="606"/>
      <c r="BB417" s="606"/>
      <c r="BC417" s="606"/>
      <c r="BD417" s="606"/>
      <c r="BE417" s="606"/>
      <c r="BF417" s="606"/>
      <c r="BG417" s="606"/>
      <c r="BH417" s="606"/>
      <c r="BI417" s="606"/>
      <c r="BJ417" s="606"/>
      <c r="BK417" s="606"/>
      <c r="BL417" s="606"/>
      <c r="BM417" s="606"/>
      <c r="BN417" s="606"/>
      <c r="BO417" s="606"/>
      <c r="BP417" s="606"/>
      <c r="BQ417" s="606"/>
      <c r="BR417" s="606"/>
      <c r="BS417" s="606"/>
      <c r="BT417" s="606"/>
      <c r="BU417" s="606"/>
      <c r="BV417" s="606"/>
      <c r="BW417" s="606"/>
      <c r="BX417" s="606"/>
      <c r="BY417" s="606"/>
      <c r="BZ417" s="606"/>
      <c r="CA417" s="606"/>
      <c r="CB417" s="606"/>
      <c r="CC417" s="606"/>
      <c r="CD417" s="606"/>
      <c r="CE417" s="606"/>
      <c r="CF417" s="606"/>
      <c r="CG417" s="606"/>
      <c r="CH417" s="606"/>
      <c r="CI417" s="606"/>
      <c r="CJ417" s="606"/>
      <c r="CK417" s="606"/>
      <c r="CL417" s="606"/>
      <c r="CM417" s="606"/>
      <c r="CN417" s="606"/>
      <c r="CO417" s="606"/>
    </row>
    <row r="418" spans="1:93" s="289" customFormat="1" x14ac:dyDescent="0.25">
      <c r="A418" s="455" t="str">
        <f>Language!C338</f>
        <v>Concer</v>
      </c>
      <c r="B418" s="604">
        <f t="shared" ref="B418:AG418" si="2701">B286/B$367</f>
        <v>0.21124418959725852</v>
      </c>
      <c r="C418" s="604">
        <f t="shared" si="2701"/>
        <v>0.17254092815586525</v>
      </c>
      <c r="D418" s="604">
        <f t="shared" si="2701"/>
        <v>0.20114798318800578</v>
      </c>
      <c r="E418" s="604">
        <f t="shared" si="2701"/>
        <v>0.36997230250481694</v>
      </c>
      <c r="F418" s="605">
        <f t="shared" si="2701"/>
        <v>0.19428332237038809</v>
      </c>
      <c r="G418" s="604">
        <f t="shared" si="2701"/>
        <v>0.21931682165546451</v>
      </c>
      <c r="H418" s="604">
        <f t="shared" si="2701"/>
        <v>0.26328425558994534</v>
      </c>
      <c r="I418" s="604">
        <f t="shared" si="2701"/>
        <v>0.27115321790264618</v>
      </c>
      <c r="J418" s="605">
        <f t="shared" si="2701"/>
        <v>0.34778883932527843</v>
      </c>
      <c r="K418" s="604">
        <f t="shared" si="2701"/>
        <v>0.12361590665555423</v>
      </c>
      <c r="L418" s="604">
        <f t="shared" si="2701"/>
        <v>0.2407858374148357</v>
      </c>
      <c r="M418" s="604">
        <f t="shared" si="2701"/>
        <v>0.21342569684974436</v>
      </c>
      <c r="N418" s="605">
        <f t="shared" si="2701"/>
        <v>0.12570319531953195</v>
      </c>
      <c r="O418" s="604">
        <f t="shared" si="2701"/>
        <v>0.36943148786588254</v>
      </c>
      <c r="P418" s="604">
        <f t="shared" si="2701"/>
        <v>0.44322223769319374</v>
      </c>
      <c r="Q418" s="604">
        <f t="shared" si="2701"/>
        <v>-1.9582926352803283</v>
      </c>
      <c r="R418" s="605">
        <f t="shared" si="2701"/>
        <v>0.46921053139412966</v>
      </c>
      <c r="S418" s="604">
        <f t="shared" si="2701"/>
        <v>4.4659122274358268E-2</v>
      </c>
      <c r="T418" s="604">
        <f t="shared" si="2701"/>
        <v>0.32125919869174163</v>
      </c>
      <c r="U418" s="604">
        <f t="shared" si="2701"/>
        <v>3.1555833191360481E-2</v>
      </c>
      <c r="V418" s="604">
        <f t="shared" si="2701"/>
        <v>0.58682865912947324</v>
      </c>
      <c r="W418" s="606">
        <f t="shared" si="2701"/>
        <v>0.35205856433883209</v>
      </c>
      <c r="X418" s="607">
        <f t="shared" si="2701"/>
        <v>0.29771369695491268</v>
      </c>
      <c r="Y418" s="608">
        <f t="shared" si="2701"/>
        <v>-7.3837071510137242E-2</v>
      </c>
      <c r="Z418" s="606">
        <f t="shared" si="2701"/>
        <v>-0.17013942938468724</v>
      </c>
      <c r="AA418" s="606">
        <f t="shared" si="2701"/>
        <v>-0.18221810604306551</v>
      </c>
      <c r="AB418" s="604">
        <f t="shared" si="2701"/>
        <v>-0.20449438202247192</v>
      </c>
      <c r="AC418" s="606">
        <f t="shared" si="2701"/>
        <v>-0.12122737519423957</v>
      </c>
      <c r="AD418" s="606">
        <f t="shared" si="2701"/>
        <v>-0.14080194988556313</v>
      </c>
      <c r="AE418" s="607">
        <f t="shared" si="2701"/>
        <v>-0.15686644958380103</v>
      </c>
      <c r="AF418" s="606">
        <f t="shared" si="2701"/>
        <v>-0.23964708185320627</v>
      </c>
      <c r="AG418" s="606">
        <f t="shared" si="2701"/>
        <v>-0.20385453692609307</v>
      </c>
      <c r="AH418" s="606">
        <f t="shared" ref="AH418:BM418" si="2702">AH286/AH$367</f>
        <v>-0.16105546043405031</v>
      </c>
      <c r="AI418" s="604">
        <f t="shared" si="2702"/>
        <v>0.17149204008248123</v>
      </c>
      <c r="AJ418" s="606">
        <f t="shared" si="2702"/>
        <v>-0.21956036633267109</v>
      </c>
      <c r="AK418" s="606">
        <f t="shared" si="2702"/>
        <v>-0.20001880552296866</v>
      </c>
      <c r="AL418" s="607">
        <f t="shared" si="2702"/>
        <v>-0.10582421303058905</v>
      </c>
      <c r="AM418" s="606">
        <f t="shared" si="2702"/>
        <v>-8.7137687758430143E-2</v>
      </c>
      <c r="AN418" s="606">
        <f t="shared" si="2702"/>
        <v>-0.49445832602940926</v>
      </c>
      <c r="AO418" s="606">
        <f t="shared" si="2702"/>
        <v>-2.4897688404773442E-2</v>
      </c>
      <c r="AP418" s="606">
        <f t="shared" si="2702"/>
        <v>-0.18812087370007552</v>
      </c>
      <c r="AQ418" s="606">
        <f t="shared" si="2702"/>
        <v>-0.28499717430933447</v>
      </c>
      <c r="AR418" s="606">
        <f t="shared" si="2702"/>
        <v>-0.18815389902132859</v>
      </c>
      <c r="AS418" s="607">
        <f t="shared" si="2702"/>
        <v>-0.18814491806494546</v>
      </c>
      <c r="AT418" s="606">
        <f t="shared" si="2702"/>
        <v>-0.46925256122344106</v>
      </c>
      <c r="AU418" s="606">
        <f t="shared" si="2702"/>
        <v>-0.46990655323664954</v>
      </c>
      <c r="AV418" s="606">
        <f t="shared" si="2702"/>
        <v>-0.53291008733570289</v>
      </c>
      <c r="AW418" s="606">
        <f t="shared" si="2702"/>
        <v>-0.47381085471422968</v>
      </c>
      <c r="AX418" s="606">
        <f t="shared" si="2702"/>
        <v>-0.4695883915179343</v>
      </c>
      <c r="AY418" s="606">
        <f t="shared" si="2702"/>
        <v>-0.49108063319738754</v>
      </c>
      <c r="AZ418" s="606">
        <f t="shared" si="2702"/>
        <v>-0.48600056086087368</v>
      </c>
      <c r="BA418" s="606">
        <f t="shared" si="2702"/>
        <v>-0.48057259713701433</v>
      </c>
      <c r="BB418" s="606">
        <f t="shared" si="2702"/>
        <v>-0.66148130949616901</v>
      </c>
      <c r="BC418" s="606">
        <f t="shared" si="2702"/>
        <v>-0.81140341897840107</v>
      </c>
      <c r="BD418" s="606">
        <f t="shared" si="2702"/>
        <v>-0.14523997148110623</v>
      </c>
      <c r="BE418" s="606">
        <f t="shared" si="2702"/>
        <v>-0.55535294399923218</v>
      </c>
      <c r="BF418" s="606">
        <f t="shared" si="2702"/>
        <v>-0.64995726204794213</v>
      </c>
      <c r="BG418" s="606">
        <f t="shared" si="2702"/>
        <v>-0.50494072744327467</v>
      </c>
      <c r="BH418" s="606">
        <f t="shared" si="2702"/>
        <v>-0.78439896649304841</v>
      </c>
      <c r="BI418" s="606">
        <f t="shared" si="2702"/>
        <v>-0.38670943507713085</v>
      </c>
      <c r="BJ418" s="606">
        <f t="shared" si="2702"/>
        <v>0.62782930646207868</v>
      </c>
      <c r="BK418" s="606">
        <f t="shared" si="2702"/>
        <v>-2.6298695272916242E-2</v>
      </c>
      <c r="BL418" s="606">
        <f t="shared" si="2702"/>
        <v>-0.58840597797260619</v>
      </c>
      <c r="BM418" s="606">
        <f t="shared" si="2702"/>
        <v>-0.15940653378301056</v>
      </c>
      <c r="BN418" s="606">
        <f t="shared" ref="BN418:CI418" si="2703">BN286/BN$367</f>
        <v>-0.12397743439772368</v>
      </c>
      <c r="BO418" s="606">
        <f t="shared" si="2703"/>
        <v>-8.4757593283210017E-2</v>
      </c>
      <c r="BP418" s="606">
        <f t="shared" si="2703"/>
        <v>-9.100565228936687E-2</v>
      </c>
      <c r="BQ418" s="606">
        <f t="shared" si="2703"/>
        <v>-5.7921465794802006E-3</v>
      </c>
      <c r="BR418" s="606">
        <f t="shared" si="2703"/>
        <v>3.8600846837961466E-3</v>
      </c>
      <c r="BS418" s="606">
        <f t="shared" si="2703"/>
        <v>-8.8060965283657922E-2</v>
      </c>
      <c r="BT418" s="606">
        <f t="shared" si="2703"/>
        <v>-5.764995306777259E-2</v>
      </c>
      <c r="BU418" s="606">
        <f t="shared" si="2703"/>
        <v>-4.1342061602827669E-2</v>
      </c>
      <c r="BV418" s="606">
        <f t="shared" si="2703"/>
        <v>-2.2354084607908335E-2</v>
      </c>
      <c r="BW418" s="606">
        <f t="shared" si="2703"/>
        <v>-4.5998984943326E-2</v>
      </c>
      <c r="BX418" s="606">
        <f t="shared" si="2703"/>
        <v>-6.7707674800859777E-2</v>
      </c>
      <c r="BY418" s="606">
        <f t="shared" si="2703"/>
        <v>-7.0026988410858873E-2</v>
      </c>
      <c r="BZ418" s="606">
        <f t="shared" si="2703"/>
        <v>-2.1654763623393938E-2</v>
      </c>
      <c r="CA418" s="606">
        <f t="shared" si="2703"/>
        <v>-3.7750857597401523E-2</v>
      </c>
      <c r="CB418" s="606">
        <f t="shared" si="2703"/>
        <v>-4.6743345983896512E-2</v>
      </c>
      <c r="CC418" s="606">
        <f t="shared" si="2703"/>
        <v>0.12345065481758653</v>
      </c>
      <c r="CD418" s="606">
        <f t="shared" si="2703"/>
        <v>-4.6086216676120249E-3</v>
      </c>
      <c r="CE418" s="606">
        <f t="shared" si="2703"/>
        <v>-0.13107504959224156</v>
      </c>
      <c r="CF418" s="606">
        <f t="shared" si="2703"/>
        <v>-1.0330910171873311</v>
      </c>
      <c r="CG418" s="606">
        <f t="shared" si="2703"/>
        <v>5.8451373294178613E-2</v>
      </c>
      <c r="CH418" s="606">
        <f t="shared" si="2703"/>
        <v>-6.6374314949457433E-3</v>
      </c>
      <c r="CI418" s="606">
        <f t="shared" si="2703"/>
        <v>-0.27409525083706243</v>
      </c>
      <c r="CJ418" s="606">
        <v>-4.2081319306226897E-2</v>
      </c>
      <c r="CK418" s="606">
        <f t="shared" ref="CK418:CO418" si="2704">CK286/CK$367</f>
        <v>-0.26521393260980736</v>
      </c>
      <c r="CL418" s="606" t="e">
        <f t="shared" si="2704"/>
        <v>#DIV/0!</v>
      </c>
      <c r="CM418" s="606" t="e">
        <f t="shared" si="2704"/>
        <v>#DIV/0!</v>
      </c>
      <c r="CN418" s="606">
        <f t="shared" si="2704"/>
        <v>-0.15369201909959071</v>
      </c>
      <c r="CO418" s="606" t="e">
        <f t="shared" si="2704"/>
        <v>#DIV/0!</v>
      </c>
    </row>
    <row r="419" spans="1:93" x14ac:dyDescent="0.25">
      <c r="A419" s="455" t="str">
        <f>Language!C339</f>
        <v>Econorte</v>
      </c>
      <c r="B419" s="604">
        <f t="shared" ref="B419:AG419" si="2705">B287/B$368</f>
        <v>0.24544097605295606</v>
      </c>
      <c r="C419" s="604">
        <f t="shared" si="2705"/>
        <v>0.1848212021303576</v>
      </c>
      <c r="D419" s="604">
        <f t="shared" si="2705"/>
        <v>0.17525554308592919</v>
      </c>
      <c r="E419" s="604">
        <f t="shared" si="2705"/>
        <v>0.27232388851831446</v>
      </c>
      <c r="F419" s="605">
        <f t="shared" si="2705"/>
        <v>0.27718895365954188</v>
      </c>
      <c r="G419" s="604">
        <f t="shared" si="2705"/>
        <v>0.33780063530479504</v>
      </c>
      <c r="H419" s="604">
        <f t="shared" si="2705"/>
        <v>0.3426977155327201</v>
      </c>
      <c r="I419" s="604">
        <f t="shared" si="2705"/>
        <v>0.36921085308182083</v>
      </c>
      <c r="J419" s="605">
        <f t="shared" si="2705"/>
        <v>0.36590909090909091</v>
      </c>
      <c r="K419" s="604">
        <f t="shared" si="2705"/>
        <v>0.26471452067669171</v>
      </c>
      <c r="L419" s="604">
        <f t="shared" si="2705"/>
        <v>0.30366236304716837</v>
      </c>
      <c r="M419" s="604">
        <f t="shared" si="2705"/>
        <v>0.27469451341219997</v>
      </c>
      <c r="N419" s="605">
        <f t="shared" si="2705"/>
        <v>0.25133744073426129</v>
      </c>
      <c r="O419" s="604">
        <f t="shared" si="2705"/>
        <v>0.20643174997412811</v>
      </c>
      <c r="P419" s="604">
        <f t="shared" si="2705"/>
        <v>0.19236691319383092</v>
      </c>
      <c r="Q419" s="604">
        <f t="shared" si="2705"/>
        <v>0.2316208512943726</v>
      </c>
      <c r="R419" s="605">
        <f t="shared" si="2705"/>
        <v>0.17204769548268745</v>
      </c>
      <c r="S419" s="604">
        <f t="shared" si="2705"/>
        <v>6.7459260514782446E-2</v>
      </c>
      <c r="T419" s="604">
        <f t="shared" si="2705"/>
        <v>0.13546499668594153</v>
      </c>
      <c r="U419" s="604">
        <f t="shared" si="2705"/>
        <v>4.818195706974257E-2</v>
      </c>
      <c r="V419" s="604">
        <f t="shared" si="2705"/>
        <v>0.1296211237913531</v>
      </c>
      <c r="W419" s="606">
        <f t="shared" si="2705"/>
        <v>0.12603565932443145</v>
      </c>
      <c r="X419" s="607">
        <f t="shared" si="2705"/>
        <v>0.10351551710803973</v>
      </c>
      <c r="Y419" s="608">
        <f t="shared" si="2705"/>
        <v>2.4927134500540123E-2</v>
      </c>
      <c r="Z419" s="606">
        <f t="shared" si="2705"/>
        <v>6.1890756302521006E-2</v>
      </c>
      <c r="AA419" s="606">
        <f t="shared" si="2705"/>
        <v>8.2135734698492974E-2</v>
      </c>
      <c r="AB419" s="604">
        <f t="shared" si="2705"/>
        <v>2.4863143226833882E-2</v>
      </c>
      <c r="AC419" s="606">
        <f t="shared" si="2705"/>
        <v>4.3129222142908867E-2</v>
      </c>
      <c r="AD419" s="606">
        <f t="shared" si="2705"/>
        <v>5.6186425513757556E-2</v>
      </c>
      <c r="AE419" s="607">
        <f t="shared" si="2705"/>
        <v>4.8139226847092875E-2</v>
      </c>
      <c r="AF419" s="606">
        <f t="shared" si="2705"/>
        <v>6.1745007345019726E-2</v>
      </c>
      <c r="AG419" s="606">
        <f t="shared" si="2705"/>
        <v>7.3256394825327698E-2</v>
      </c>
      <c r="AH419" s="606">
        <f t="shared" ref="AH419:BM419" si="2706">AH287/AH$368</f>
        <v>0.10628041538388995</v>
      </c>
      <c r="AI419" s="604">
        <f t="shared" si="2706"/>
        <v>0.14427353772194718</v>
      </c>
      <c r="AJ419" s="606">
        <f t="shared" si="2706"/>
        <v>6.7483678740798372E-2</v>
      </c>
      <c r="AK419" s="606">
        <f t="shared" si="2706"/>
        <v>8.1070225861630735E-2</v>
      </c>
      <c r="AL419" s="607">
        <f t="shared" si="2706"/>
        <v>9.7538864569937767E-2</v>
      </c>
      <c r="AM419" s="606">
        <f t="shared" si="2706"/>
        <v>3.1725499238400443E-2</v>
      </c>
      <c r="AN419" s="606">
        <f t="shared" si="2706"/>
        <v>2.2213812285716446E-2</v>
      </c>
      <c r="AO419" s="606">
        <f t="shared" si="2706"/>
        <v>0.1226721868006527</v>
      </c>
      <c r="AP419" s="606">
        <f t="shared" si="2706"/>
        <v>-4.6964318807291106</v>
      </c>
      <c r="AQ419" s="606">
        <f t="shared" si="2706"/>
        <v>2.7160164617758338E-2</v>
      </c>
      <c r="AR419" s="606">
        <f t="shared" si="2706"/>
        <v>6.0665801707611731E-2</v>
      </c>
      <c r="AS419" s="607">
        <f t="shared" si="2706"/>
        <v>-0.9593534429357119</v>
      </c>
      <c r="AT419" s="606">
        <f t="shared" si="2706"/>
        <v>-0.11723490037969234</v>
      </c>
      <c r="AU419" s="606">
        <f t="shared" si="2706"/>
        <v>-0.11873575444461328</v>
      </c>
      <c r="AV419" s="606">
        <f t="shared" si="2706"/>
        <v>0.33645666131621188</v>
      </c>
      <c r="AW419" s="606">
        <f t="shared" si="2706"/>
        <v>0.56686521204957929</v>
      </c>
      <c r="AX419" s="606">
        <f t="shared" si="2706"/>
        <v>-0.11807979196605763</v>
      </c>
      <c r="AY419" s="606">
        <f t="shared" si="2706"/>
        <v>0.10276844088205962</v>
      </c>
      <c r="AZ419" s="606">
        <f t="shared" si="2706"/>
        <v>0.27567166686945588</v>
      </c>
      <c r="BA419" s="606">
        <f t="shared" si="2706"/>
        <v>0.29154018283057814</v>
      </c>
      <c r="BB419" s="606">
        <f t="shared" si="2706"/>
        <v>0.81670211025682971</v>
      </c>
      <c r="BC419" s="606">
        <f t="shared" si="2706"/>
        <v>0.31418620700723837</v>
      </c>
      <c r="BD419" s="606">
        <f t="shared" si="2706"/>
        <v>0.29924275777053799</v>
      </c>
      <c r="BE419" s="606">
        <f t="shared" si="2706"/>
        <v>0.5325706455942113</v>
      </c>
      <c r="BF419" s="606">
        <f t="shared" si="2706"/>
        <v>0.45198981404713962</v>
      </c>
      <c r="BG419" s="606">
        <f t="shared" si="2706"/>
        <v>0.40807250571725134</v>
      </c>
      <c r="BH419" s="606">
        <f t="shared" si="2706"/>
        <v>0.30255062703570246</v>
      </c>
      <c r="BI419" s="606">
        <f t="shared" si="2706"/>
        <v>6.7187207780063582E-2</v>
      </c>
      <c r="BJ419" s="606">
        <f t="shared" si="2706"/>
        <v>-0.10625647817574571</v>
      </c>
      <c r="BK419" s="606">
        <f t="shared" si="2706"/>
        <v>-0.48690853849247129</v>
      </c>
      <c r="BL419" s="606">
        <f t="shared" si="2706"/>
        <v>0.18430592638411489</v>
      </c>
      <c r="BM419" s="606">
        <f t="shared" si="2706"/>
        <v>8.1945014986230927E-2</v>
      </c>
      <c r="BN419" s="606">
        <f t="shared" ref="BN419:CI419" si="2707">BN287/BN$368</f>
        <v>-2.3298876181579959E-2</v>
      </c>
      <c r="BO419" s="606" t="e">
        <f t="shared" si="2707"/>
        <v>#DIV/0!</v>
      </c>
      <c r="BP419" s="606">
        <f t="shared" si="2707"/>
        <v>-13.694736842105263</v>
      </c>
      <c r="BQ419" s="606">
        <f t="shared" si="2707"/>
        <v>31.789473684210527</v>
      </c>
      <c r="BR419" s="606" t="e">
        <f t="shared" si="2707"/>
        <v>#DIV/0!</v>
      </c>
      <c r="BS419" s="606">
        <f t="shared" si="2707"/>
        <v>-76.452631578947361</v>
      </c>
      <c r="BT419" s="606" t="e">
        <f t="shared" si="2707"/>
        <v>#DIV/0!</v>
      </c>
      <c r="BU419" s="606" t="e">
        <f t="shared" si="2707"/>
        <v>#DIV/0!</v>
      </c>
      <c r="BV419" s="606" t="e">
        <f t="shared" si="2707"/>
        <v>#DIV/0!</v>
      </c>
      <c r="BW419" s="606" t="e">
        <f t="shared" si="2707"/>
        <v>#DIV/0!</v>
      </c>
      <c r="BX419" s="606" t="e">
        <f t="shared" si="2707"/>
        <v>#DIV/0!</v>
      </c>
      <c r="BY419" s="606" t="e">
        <f t="shared" si="2707"/>
        <v>#DIV/0!</v>
      </c>
      <c r="BZ419" s="606" t="e">
        <f t="shared" si="2707"/>
        <v>#DIV/0!</v>
      </c>
      <c r="CA419" s="606" t="e">
        <f t="shared" si="2707"/>
        <v>#DIV/0!</v>
      </c>
      <c r="CB419" s="606" t="e">
        <f t="shared" si="2707"/>
        <v>#DIV/0!</v>
      </c>
      <c r="CC419" s="606" t="e">
        <f t="shared" si="2707"/>
        <v>#DIV/0!</v>
      </c>
      <c r="CD419" s="606" t="e">
        <f t="shared" si="2707"/>
        <v>#DIV/0!</v>
      </c>
      <c r="CE419" s="606" t="e">
        <f t="shared" si="2707"/>
        <v>#DIV/0!</v>
      </c>
      <c r="CF419" s="606" t="e">
        <f t="shared" si="2707"/>
        <v>#DIV/0!</v>
      </c>
      <c r="CG419" s="606" t="e">
        <f t="shared" si="2707"/>
        <v>#DIV/0!</v>
      </c>
      <c r="CH419" s="606" t="e">
        <f t="shared" si="2707"/>
        <v>#DIV/0!</v>
      </c>
      <c r="CI419" s="606" t="e">
        <f t="shared" si="2707"/>
        <v>#DIV/0!</v>
      </c>
      <c r="CJ419" s="606" t="e">
        <v>#DIV/0!</v>
      </c>
      <c r="CK419" s="606" t="e">
        <f t="shared" ref="CK419:CO419" si="2708">CK287/CK$368</f>
        <v>#DIV/0!</v>
      </c>
      <c r="CL419" s="606" t="e">
        <f t="shared" si="2708"/>
        <v>#DIV/0!</v>
      </c>
      <c r="CM419" s="606" t="e">
        <f t="shared" si="2708"/>
        <v>#DIV/0!</v>
      </c>
      <c r="CN419" s="606" t="e">
        <f t="shared" si="2708"/>
        <v>#DIV/0!</v>
      </c>
      <c r="CO419" s="606" t="e">
        <f t="shared" si="2708"/>
        <v>#DIV/0!</v>
      </c>
    </row>
    <row r="420" spans="1:93" x14ac:dyDescent="0.25">
      <c r="A420" s="455" t="str">
        <f>Language!C340</f>
        <v>Concebra</v>
      </c>
      <c r="B420" s="604"/>
      <c r="C420" s="604"/>
      <c r="D420" s="604"/>
      <c r="E420" s="604"/>
      <c r="F420" s="605"/>
      <c r="G420" s="604"/>
      <c r="H420" s="604"/>
      <c r="I420" s="604"/>
      <c r="J420" s="605"/>
      <c r="K420" s="604"/>
      <c r="L420" s="604"/>
      <c r="M420" s="604"/>
      <c r="N420" s="605"/>
      <c r="O420" s="604"/>
      <c r="P420" s="604"/>
      <c r="Q420" s="604"/>
      <c r="R420" s="605"/>
      <c r="S420" s="604"/>
      <c r="T420" s="604"/>
      <c r="U420" s="604"/>
      <c r="V420" s="604"/>
      <c r="W420" s="606">
        <f t="shared" ref="W420:AA421" si="2709">W288/W$368</f>
        <v>-1.0725777618877368E-3</v>
      </c>
      <c r="X420" s="607">
        <f t="shared" si="2709"/>
        <v>-1.2484394506866417E-3</v>
      </c>
      <c r="Y420" s="608">
        <f t="shared" si="2709"/>
        <v>-1.7324664207243748E-3</v>
      </c>
      <c r="Z420" s="606">
        <f t="shared" si="2709"/>
        <v>-2.7310924369747898E-4</v>
      </c>
      <c r="AA420" s="606">
        <f t="shared" si="2709"/>
        <v>-8.5322477846995204E-3</v>
      </c>
      <c r="AB420" s="604"/>
      <c r="AC420" s="606">
        <f>AC289/AC$369</f>
        <v>-6.8796273188586637E-2</v>
      </c>
      <c r="AD420" s="606">
        <f>AD289/AD$369</f>
        <v>-6.8351997325756308E-2</v>
      </c>
      <c r="AE420" s="607">
        <f>AE289/AE$369</f>
        <v>-0.50554695401365979</v>
      </c>
      <c r="AF420" s="606">
        <f t="shared" ref="AF420:AH421" si="2710">AF288/AF$368</f>
        <v>-1.5694902047549549E-4</v>
      </c>
      <c r="AG420" s="606">
        <f t="shared" si="2710"/>
        <v>-1.3078227456101807E-3</v>
      </c>
      <c r="AH420" s="606">
        <f t="shared" si="2710"/>
        <v>2.0523155054895152E-5</v>
      </c>
      <c r="AI420" s="604"/>
      <c r="AJ420" s="606">
        <f t="shared" ref="AJ420:BO420" si="2711">AJ289/AJ$369</f>
        <v>-0.46796695836046664</v>
      </c>
      <c r="AK420" s="606">
        <f t="shared" si="2711"/>
        <v>-0.2981627989953522</v>
      </c>
      <c r="AL420" s="607">
        <f t="shared" si="2711"/>
        <v>-0.27418652241483649</v>
      </c>
      <c r="AM420" s="606">
        <f t="shared" si="2711"/>
        <v>-0.16613409645028107</v>
      </c>
      <c r="AN420" s="606">
        <f t="shared" si="2711"/>
        <v>-0.20996553679145799</v>
      </c>
      <c r="AO420" s="606">
        <f t="shared" si="2711"/>
        <v>6.1997359732485706E-2</v>
      </c>
      <c r="AP420" s="606">
        <f t="shared" si="2711"/>
        <v>-0.2910227693315468</v>
      </c>
      <c r="AQ420" s="606">
        <f t="shared" si="2711"/>
        <v>-0.18780025978410403</v>
      </c>
      <c r="AR420" s="606">
        <f t="shared" si="2711"/>
        <v>-9.8349195616786997E-2</v>
      </c>
      <c r="AS420" s="607">
        <f t="shared" si="2711"/>
        <v>-0.14543104168163709</v>
      </c>
      <c r="AT420" s="606">
        <f t="shared" si="2711"/>
        <v>-0.44537733086009956</v>
      </c>
      <c r="AU420" s="606">
        <f t="shared" si="2711"/>
        <v>-0.58909426549594113</v>
      </c>
      <c r="AV420" s="606">
        <f t="shared" si="2711"/>
        <v>-0.51027537575744508</v>
      </c>
      <c r="AW420" s="606">
        <f t="shared" si="2711"/>
        <v>0.50086811278872989</v>
      </c>
      <c r="AX420" s="606">
        <f t="shared" si="2711"/>
        <v>-0.51834184439771702</v>
      </c>
      <c r="AY420" s="606">
        <f t="shared" si="2711"/>
        <v>-0.51545548542415776</v>
      </c>
      <c r="AZ420" s="606">
        <f t="shared" si="2711"/>
        <v>-0.25135494777240303</v>
      </c>
      <c r="BA420" s="606">
        <f t="shared" si="2711"/>
        <v>6.4374153608047976E-2</v>
      </c>
      <c r="BB420" s="606">
        <f t="shared" si="2711"/>
        <v>-7.6870920137734819E-2</v>
      </c>
      <c r="BC420" s="606">
        <f t="shared" si="2711"/>
        <v>-0.38838774823291822</v>
      </c>
      <c r="BD420" s="606">
        <f t="shared" si="2711"/>
        <v>2.0600025842297378</v>
      </c>
      <c r="BE420" s="606">
        <f t="shared" si="2711"/>
        <v>-2.900184269349865E-3</v>
      </c>
      <c r="BF420" s="606">
        <f t="shared" si="2711"/>
        <v>-0.10829065845836727</v>
      </c>
      <c r="BG420" s="606">
        <f t="shared" si="2711"/>
        <v>0.37244453993661708</v>
      </c>
      <c r="BH420" s="606">
        <f t="shared" si="2711"/>
        <v>-0.35995496541987598</v>
      </c>
      <c r="BI420" s="606">
        <f t="shared" si="2711"/>
        <v>-0.35422149029727851</v>
      </c>
      <c r="BJ420" s="606">
        <f t="shared" si="2711"/>
        <v>-0.13329550111920299</v>
      </c>
      <c r="BK420" s="606">
        <f t="shared" si="2711"/>
        <v>-0.43974218456051956</v>
      </c>
      <c r="BL420" s="606">
        <f t="shared" si="2711"/>
        <v>-0.3570147486461544</v>
      </c>
      <c r="BM420" s="606">
        <f t="shared" si="2711"/>
        <v>-0.27741508502714585</v>
      </c>
      <c r="BN420" s="606">
        <f t="shared" si="2711"/>
        <v>-0.31885976819463296</v>
      </c>
      <c r="BO420" s="606">
        <f t="shared" si="2711"/>
        <v>-0.51115639859957152</v>
      </c>
      <c r="BP420" s="606">
        <f t="shared" ref="BP420:CI420" si="2712">BP289/BP$369</f>
        <v>-3.0136383705908325</v>
      </c>
      <c r="BQ420" s="606">
        <f t="shared" si="2712"/>
        <v>-1.5763720742534302</v>
      </c>
      <c r="BR420" s="606">
        <f t="shared" si="2712"/>
        <v>-0.28447942616613692</v>
      </c>
      <c r="BS420" s="606">
        <f t="shared" si="2712"/>
        <v>0.21379360943272532</v>
      </c>
      <c r="BT420" s="606">
        <f t="shared" si="2712"/>
        <v>6.0223680537975707E-2</v>
      </c>
      <c r="BU420" s="606">
        <f t="shared" si="2712"/>
        <v>2.4148891149908609E-3</v>
      </c>
      <c r="BV420" s="606">
        <f t="shared" si="2712"/>
        <v>-1.0021924168171266</v>
      </c>
      <c r="BW420" s="606">
        <f t="shared" si="2712"/>
        <v>-1.0451190390042695</v>
      </c>
      <c r="BX420" s="606">
        <f t="shared" si="2712"/>
        <v>1.4486750135486293</v>
      </c>
      <c r="BY420" s="606">
        <f t="shared" si="2712"/>
        <v>0.13516750318457468</v>
      </c>
      <c r="BZ420" s="606">
        <f t="shared" si="2712"/>
        <v>-1.0211655019110522</v>
      </c>
      <c r="CA420" s="606">
        <f t="shared" si="2712"/>
        <v>-0.11906103286384977</v>
      </c>
      <c r="CB420" s="606">
        <f t="shared" si="2712"/>
        <v>-3.822773942964753E-2</v>
      </c>
      <c r="CC420" s="606">
        <f t="shared" si="2712"/>
        <v>-0.21787832198550405</v>
      </c>
      <c r="CD420" s="606">
        <f t="shared" si="2712"/>
        <v>-4.9279188588577182E-2</v>
      </c>
      <c r="CE420" s="606">
        <f t="shared" si="2712"/>
        <v>0.1902275383003402</v>
      </c>
      <c r="CF420" s="606">
        <f t="shared" si="2712"/>
        <v>0.12900639001843761</v>
      </c>
      <c r="CG420" s="606">
        <f t="shared" si="2712"/>
        <v>-0.13334634815276858</v>
      </c>
      <c r="CH420" s="606">
        <f t="shared" si="2712"/>
        <v>3.645793263247453E-2</v>
      </c>
      <c r="CI420" s="606">
        <f t="shared" si="2712"/>
        <v>6.0873954283315511E-2</v>
      </c>
      <c r="CJ420" s="606">
        <v>2.7009472716383667E-2</v>
      </c>
      <c r="CK420" s="606">
        <f t="shared" ref="CK420:CO420" si="2713">CK289/CK$369</f>
        <v>-0.18773784355179704</v>
      </c>
      <c r="CL420" s="606" t="e">
        <f t="shared" si="2713"/>
        <v>#DIV/0!</v>
      </c>
      <c r="CM420" s="606" t="e">
        <f t="shared" si="2713"/>
        <v>#DIV/0!</v>
      </c>
      <c r="CN420" s="606">
        <f t="shared" si="2713"/>
        <v>-7.337463108292043E-2</v>
      </c>
      <c r="CO420" s="606" t="e">
        <f t="shared" si="2713"/>
        <v>#DIV/0!</v>
      </c>
    </row>
    <row r="421" spans="1:93" s="289" customFormat="1" x14ac:dyDescent="0.25">
      <c r="A421" s="543" t="str">
        <f>Language!C341</f>
        <v>Transbrasiliana</v>
      </c>
      <c r="B421" s="610"/>
      <c r="C421" s="610"/>
      <c r="D421" s="610"/>
      <c r="E421" s="610"/>
      <c r="F421" s="611"/>
      <c r="G421" s="610"/>
      <c r="H421" s="610"/>
      <c r="I421" s="610"/>
      <c r="J421" s="611"/>
      <c r="K421" s="610"/>
      <c r="L421" s="610"/>
      <c r="M421" s="610"/>
      <c r="N421" s="611"/>
      <c r="O421" s="610"/>
      <c r="P421" s="610"/>
      <c r="Q421" s="610"/>
      <c r="R421" s="605">
        <f>R289/R$368</f>
        <v>-0.39188259573492318</v>
      </c>
      <c r="S421" s="604">
        <f>S289/S$368</f>
        <v>-8.4747814717063372E-2</v>
      </c>
      <c r="T421" s="604">
        <f>T289/T$368</f>
        <v>0.30148789797271042</v>
      </c>
      <c r="U421" s="604">
        <f>U289/U$368</f>
        <v>-0.33502024291497978</v>
      </c>
      <c r="V421" s="604">
        <f>V289/V$368</f>
        <v>-0.21855162585827179</v>
      </c>
      <c r="W421" s="606">
        <f t="shared" si="2709"/>
        <v>-5.7507267102951919E-2</v>
      </c>
      <c r="X421" s="607">
        <f t="shared" si="2709"/>
        <v>-0.13778131318153194</v>
      </c>
      <c r="Y421" s="608">
        <f t="shared" si="2709"/>
        <v>-0.16323910074801787</v>
      </c>
      <c r="Z421" s="606">
        <f t="shared" si="2709"/>
        <v>-5.7605042016806725E-2</v>
      </c>
      <c r="AA421" s="606">
        <f t="shared" si="2709"/>
        <v>-0.11527786344291618</v>
      </c>
      <c r="AB421" s="604">
        <f>AB289/AB$368</f>
        <v>-2.8983179058425401</v>
      </c>
      <c r="AC421" s="606">
        <f>AC290/AC$370</f>
        <v>-0.47350690400931628</v>
      </c>
      <c r="AD421" s="606">
        <f>AD290/AD$370</f>
        <v>-0.49819653624824473</v>
      </c>
      <c r="AE421" s="607">
        <f>AE290/AE$370</f>
        <v>-0.28933732452518579</v>
      </c>
      <c r="AF421" s="606">
        <f t="shared" si="2710"/>
        <v>-0.73167211473042459</v>
      </c>
      <c r="AG421" s="606">
        <f t="shared" si="2710"/>
        <v>-0.72096499070764208</v>
      </c>
      <c r="AH421" s="606">
        <f t="shared" si="2710"/>
        <v>-7.421010336430986E-2</v>
      </c>
      <c r="AI421" s="604">
        <f>AI289/AI$368</f>
        <v>-0.362272880341654</v>
      </c>
      <c r="AJ421" s="606">
        <f t="shared" ref="AJ421:BO421" si="2714">AJ290/AJ$370</f>
        <v>-0.51993120219113231</v>
      </c>
      <c r="AK421" s="606">
        <f t="shared" si="2714"/>
        <v>-0.34406329214361309</v>
      </c>
      <c r="AL421" s="607">
        <f t="shared" si="2714"/>
        <v>-0.17331168776734346</v>
      </c>
      <c r="AM421" s="606">
        <f t="shared" si="2714"/>
        <v>1.8735746656228406E-2</v>
      </c>
      <c r="AN421" s="606">
        <f t="shared" si="2714"/>
        <v>-0.17202814371611555</v>
      </c>
      <c r="AO421" s="606">
        <f t="shared" si="2714"/>
        <v>-3.0212678344876415E-2</v>
      </c>
      <c r="AP421" s="606">
        <f t="shared" si="2714"/>
        <v>-0.43259847814942981</v>
      </c>
      <c r="AQ421" s="606">
        <f t="shared" si="2714"/>
        <v>-7.5794716864099845E-2</v>
      </c>
      <c r="AR421" s="606">
        <f t="shared" si="2714"/>
        <v>-5.9319325790625849E-2</v>
      </c>
      <c r="AS421" s="607">
        <f t="shared" si="2714"/>
        <v>-0.16090195934604701</v>
      </c>
      <c r="AT421" s="606">
        <f t="shared" si="2714"/>
        <v>-0.14191021391985537</v>
      </c>
      <c r="AU421" s="606">
        <f t="shared" si="2714"/>
        <v>-0.46885199375620834</v>
      </c>
      <c r="AV421" s="606">
        <f t="shared" si="2714"/>
        <v>0.19684332092903889</v>
      </c>
      <c r="AW421" s="606">
        <f t="shared" si="2714"/>
        <v>-0.78501138037220508</v>
      </c>
      <c r="AX421" s="606">
        <f t="shared" si="2714"/>
        <v>-0.29899525027402263</v>
      </c>
      <c r="AY421" s="606">
        <f t="shared" si="2714"/>
        <v>-0.13673293602756309</v>
      </c>
      <c r="AZ421" s="606">
        <f t="shared" si="2714"/>
        <v>-0.3040038691401527</v>
      </c>
      <c r="BA421" s="606">
        <f t="shared" si="2714"/>
        <v>-0.43673247600072451</v>
      </c>
      <c r="BB421" s="606">
        <f t="shared" si="2714"/>
        <v>-0.46511357018054744</v>
      </c>
      <c r="BC421" s="606">
        <f t="shared" si="2714"/>
        <v>-0.35932037248815552</v>
      </c>
      <c r="BD421" s="606">
        <f t="shared" si="2714"/>
        <v>0.63063292752884181</v>
      </c>
      <c r="BE421" s="606">
        <f t="shared" si="2714"/>
        <v>-0.45043103448275862</v>
      </c>
      <c r="BF421" s="606">
        <f t="shared" si="2714"/>
        <v>-0.4172214613231704</v>
      </c>
      <c r="BG421" s="606">
        <f t="shared" si="2714"/>
        <v>-0.13216233321484616</v>
      </c>
      <c r="BH421" s="606">
        <f t="shared" si="2714"/>
        <v>-0.26122384273937854</v>
      </c>
      <c r="BI421" s="606">
        <f t="shared" si="2714"/>
        <v>0.14537796276449916</v>
      </c>
      <c r="BJ421" s="606">
        <f t="shared" si="2714"/>
        <v>1.4352512354927436</v>
      </c>
      <c r="BK421" s="606">
        <f t="shared" si="2714"/>
        <v>0.14619001153197905</v>
      </c>
      <c r="BL421" s="606">
        <f t="shared" si="2714"/>
        <v>-3.35738107531083E-2</v>
      </c>
      <c r="BM421" s="606">
        <f t="shared" si="2714"/>
        <v>0.53081232492997199</v>
      </c>
      <c r="BN421" s="606">
        <f t="shared" si="2714"/>
        <v>0.42340562567348305</v>
      </c>
      <c r="BO421" s="606">
        <f t="shared" si="2714"/>
        <v>9.6027955736750145E-2</v>
      </c>
      <c r="BP421" s="606">
        <f t="shared" ref="BP421:CI421" si="2715">BP290/BP$370</f>
        <v>-0.12110977112196052</v>
      </c>
      <c r="BQ421" s="606">
        <f t="shared" si="2715"/>
        <v>3.5230948358980115E-2</v>
      </c>
      <c r="BR421" s="606">
        <f t="shared" si="2715"/>
        <v>9.0534700771054896E-2</v>
      </c>
      <c r="BS421" s="606">
        <f t="shared" si="2715"/>
        <v>-1.4022786983881116E-2</v>
      </c>
      <c r="BT421" s="606">
        <f t="shared" si="2715"/>
        <v>3.338295464487146E-3</v>
      </c>
      <c r="BU421" s="606">
        <f t="shared" si="2715"/>
        <v>2.5560830485797104E-2</v>
      </c>
      <c r="BV421" s="606">
        <f t="shared" si="2715"/>
        <v>-7.9880753226055506E-2</v>
      </c>
      <c r="BW421" s="606">
        <f t="shared" si="2715"/>
        <v>-7.7663391075099855E-2</v>
      </c>
      <c r="BX421" s="606">
        <f t="shared" si="2715"/>
        <v>8.3154868115197442E-2</v>
      </c>
      <c r="BY421" s="606">
        <f t="shared" si="2715"/>
        <v>7.7615904796516255E-2</v>
      </c>
      <c r="BZ421" s="606">
        <f t="shared" si="2715"/>
        <v>-7.8773385518861108E-2</v>
      </c>
      <c r="CA421" s="606">
        <f t="shared" si="2715"/>
        <v>-1.8090599634839648E-2</v>
      </c>
      <c r="CB421" s="606">
        <f t="shared" si="2715"/>
        <v>8.3029610818731048E-3</v>
      </c>
      <c r="CC421" s="606">
        <f t="shared" si="2715"/>
        <v>-6.1793994689833612E-3</v>
      </c>
      <c r="CD421" s="606">
        <f t="shared" si="2715"/>
        <v>0.10715049004393173</v>
      </c>
      <c r="CE421" s="606">
        <f t="shared" si="2715"/>
        <v>7.8987389409867284E-2</v>
      </c>
      <c r="CF421" s="606">
        <f t="shared" si="2715"/>
        <v>-9.2764623692458748E-2</v>
      </c>
      <c r="CG421" s="606">
        <f t="shared" si="2715"/>
        <v>5.1863480719262348E-2</v>
      </c>
      <c r="CH421" s="606">
        <f t="shared" si="2715"/>
        <v>6.1300041472518357E-2</v>
      </c>
      <c r="CI421" s="606">
        <f t="shared" si="2715"/>
        <v>2.3685496436572841E-2</v>
      </c>
      <c r="CJ421" s="606">
        <v>-0.32740167633784656</v>
      </c>
      <c r="CK421" s="606">
        <f t="shared" ref="CK421:CO421" si="2716">CK290/CK$370</f>
        <v>-3.7722920460897633E-2</v>
      </c>
      <c r="CL421" s="606" t="e">
        <f t="shared" si="2716"/>
        <v>#DIV/0!</v>
      </c>
      <c r="CM421" s="606" t="e">
        <f t="shared" si="2716"/>
        <v>#DIV/0!</v>
      </c>
      <c r="CN421" s="606">
        <f t="shared" si="2716"/>
        <v>-0.18101547265404311</v>
      </c>
      <c r="CO421" s="606" t="e">
        <f t="shared" si="2716"/>
        <v>#DIV/0!</v>
      </c>
    </row>
    <row r="422" spans="1:93" s="423" customFormat="1" ht="13" x14ac:dyDescent="0.3">
      <c r="A422" s="525" t="str">
        <f>Language!C342</f>
        <v>Tarifa Média</v>
      </c>
      <c r="B422" s="620">
        <f t="shared" ref="B422:M422" si="2717">((B95/B310)+(B96/B311)+(B97/B312))/B303</f>
        <v>6.748830427217098</v>
      </c>
      <c r="C422" s="620">
        <f t="shared" si="2717"/>
        <v>6.8988417363987455</v>
      </c>
      <c r="D422" s="620">
        <f t="shared" si="2717"/>
        <v>6.9403389470328856</v>
      </c>
      <c r="E422" s="620">
        <f t="shared" si="2717"/>
        <v>7.0940650486390888</v>
      </c>
      <c r="F422" s="621">
        <f t="shared" si="2717"/>
        <v>7.0769781840025603</v>
      </c>
      <c r="G422" s="620">
        <f t="shared" si="2717"/>
        <v>7.2103135180362727</v>
      </c>
      <c r="H422" s="620">
        <f t="shared" si="2717"/>
        <v>7.2252635143052162</v>
      </c>
      <c r="I422" s="620">
        <f t="shared" si="2717"/>
        <v>7.3475551552393608</v>
      </c>
      <c r="J422" s="621">
        <f t="shared" si="2717"/>
        <v>7.3606130631043012</v>
      </c>
      <c r="K422" s="620">
        <f t="shared" si="2717"/>
        <v>7.4456267580036277</v>
      </c>
      <c r="L422" s="620">
        <f t="shared" si="2717"/>
        <v>7.4611881388713366</v>
      </c>
      <c r="M422" s="620">
        <f t="shared" si="2717"/>
        <v>7.6579241801730067</v>
      </c>
      <c r="N422" s="621">
        <f>((N95/N310)+(N96/N311)+(N97/N312))/(N303-N308)</f>
        <v>7.9646063568237642</v>
      </c>
      <c r="O422" s="620">
        <f>((O95/O310)+(O96/O311)+(O97/O312))/(O303-O308)</f>
        <v>8.104480176938532</v>
      </c>
      <c r="P422" s="620">
        <f>((P95/P310)+(P96/P311)+(P97/P312))/(P303-P308)</f>
        <v>8.2470082077587463</v>
      </c>
      <c r="Q422" s="620">
        <f>((Q95/Q310)+(Q96/Q311)+(Q97/Q312))/(Q303-Q308)</f>
        <v>8.690659775175229</v>
      </c>
      <c r="R422" s="621">
        <f t="shared" ref="R422:AW422" si="2718">((R95/R310)+(R96/R311)+(R97/R312)+(R98/R313)+(R99/R314))/R303</f>
        <v>7.6845868108293818</v>
      </c>
      <c r="S422" s="620">
        <f t="shared" si="2718"/>
        <v>7.5548801545082247</v>
      </c>
      <c r="T422" s="620">
        <f t="shared" si="2718"/>
        <v>6.1938197967732611</v>
      </c>
      <c r="U422" s="620">
        <f t="shared" si="2718"/>
        <v>6.7005433177429881</v>
      </c>
      <c r="V422" s="620">
        <f t="shared" si="2718"/>
        <v>7.6223168549756428</v>
      </c>
      <c r="W422" s="622">
        <f t="shared" si="2718"/>
        <v>6.9506456341625285</v>
      </c>
      <c r="X422" s="623">
        <f t="shared" si="2718"/>
        <v>6.8454329169728521</v>
      </c>
      <c r="Y422" s="624">
        <f t="shared" si="2718"/>
        <v>7.0584950350495381</v>
      </c>
      <c r="Z422" s="622">
        <f t="shared" si="2718"/>
        <v>6.8679393523453793</v>
      </c>
      <c r="AA422" s="622">
        <f t="shared" si="2718"/>
        <v>6.9358520445496401</v>
      </c>
      <c r="AB422" s="620">
        <f t="shared" si="2718"/>
        <v>6.9187523714879404</v>
      </c>
      <c r="AC422" s="622">
        <f t="shared" si="2718"/>
        <v>6.9659025716998224</v>
      </c>
      <c r="AD422" s="622">
        <f t="shared" si="2718"/>
        <v>6.9454707838745184</v>
      </c>
      <c r="AE422" s="623">
        <f t="shared" si="2718"/>
        <v>6.9959437857923588</v>
      </c>
      <c r="AF422" s="622">
        <f t="shared" si="2718"/>
        <v>7.5823802385602637</v>
      </c>
      <c r="AG422" s="622">
        <f t="shared" si="2718"/>
        <v>7.3659679605822834</v>
      </c>
      <c r="AH422" s="622">
        <f t="shared" si="2718"/>
        <v>6.9173925259904472</v>
      </c>
      <c r="AI422" s="620">
        <f t="shared" si="2718"/>
        <v>6.6381085100082746</v>
      </c>
      <c r="AJ422" s="622">
        <f t="shared" si="2718"/>
        <v>7.4767919882936633</v>
      </c>
      <c r="AK422" s="622">
        <f t="shared" si="2718"/>
        <v>7.2626790384303064</v>
      </c>
      <c r="AL422" s="623">
        <f t="shared" si="2718"/>
        <v>7.1223257480759576</v>
      </c>
      <c r="AM422" s="622">
        <f t="shared" si="2718"/>
        <v>6.7564053959148103</v>
      </c>
      <c r="AN422" s="622">
        <f t="shared" si="2718"/>
        <v>6.739165443038531</v>
      </c>
      <c r="AO422" s="622">
        <f t="shared" si="2718"/>
        <v>7.0723806184435087</v>
      </c>
      <c r="AP422" s="622">
        <f t="shared" si="2718"/>
        <v>6.8351395405574014</v>
      </c>
      <c r="AQ422" s="622">
        <f t="shared" si="2718"/>
        <v>6.7482026228220056</v>
      </c>
      <c r="AR422" s="622">
        <f t="shared" si="2718"/>
        <v>6.7245483710047642</v>
      </c>
      <c r="AS422" s="623">
        <f t="shared" si="2718"/>
        <v>6.7226534010795733</v>
      </c>
      <c r="AT422" s="622">
        <f t="shared" si="2718"/>
        <v>6.3904389001979913</v>
      </c>
      <c r="AU422" s="622">
        <f t="shared" si="2718"/>
        <v>6.6959601010042009</v>
      </c>
      <c r="AV422" s="622">
        <f t="shared" si="2718"/>
        <v>6.7491587826575081</v>
      </c>
      <c r="AW422" s="622">
        <f t="shared" si="2718"/>
        <v>7.181627435376285</v>
      </c>
      <c r="AX422" s="622">
        <f t="shared" ref="AX422:CC422" si="2719">((AX95/AX310)+(AX96/AX311)+(AX97/AX312)+(AX98/AX313)+(AX99/AX314))/AX303</f>
        <v>6.5450310664621352</v>
      </c>
      <c r="AY422" s="622">
        <f t="shared" si="2719"/>
        <v>6.5743410541844902</v>
      </c>
      <c r="AZ422" s="622">
        <f t="shared" si="2719"/>
        <v>6.7358594789515749</v>
      </c>
      <c r="BA422" s="622">
        <f t="shared" si="2719"/>
        <v>7.1481441807479715</v>
      </c>
      <c r="BB422" s="622">
        <f t="shared" si="2719"/>
        <v>3.1983680130027117</v>
      </c>
      <c r="BC422" s="622">
        <f t="shared" si="2719"/>
        <v>6.026195056020673</v>
      </c>
      <c r="BD422" s="622">
        <f t="shared" si="2719"/>
        <v>6.1404955676185651</v>
      </c>
      <c r="BE422" s="622">
        <f t="shared" si="2719"/>
        <v>7.0144544618523801</v>
      </c>
      <c r="BF422" s="622">
        <f t="shared" si="2719"/>
        <v>6.6496531473380029</v>
      </c>
      <c r="BG422" s="622">
        <f t="shared" si="2719"/>
        <v>6.5071329398384634</v>
      </c>
      <c r="BH422" s="622" t="e">
        <f t="shared" si="2719"/>
        <v>#REF!</v>
      </c>
      <c r="BI422" s="622" t="e">
        <f t="shared" si="2719"/>
        <v>#REF!</v>
      </c>
      <c r="BJ422" s="622">
        <f t="shared" si="2719"/>
        <v>6.5442091366925093</v>
      </c>
      <c r="BK422" s="622">
        <f t="shared" si="2719"/>
        <v>6.1510871299976708</v>
      </c>
      <c r="BL422" s="622">
        <f t="shared" si="2719"/>
        <v>6.4126249223409273</v>
      </c>
      <c r="BM422" s="622">
        <f t="shared" si="2719"/>
        <v>6.4592857341879553</v>
      </c>
      <c r="BN422" s="622">
        <f t="shared" si="2719"/>
        <v>6.3813248670232721</v>
      </c>
      <c r="BO422" s="622">
        <f t="shared" si="2719"/>
        <v>5.2752875366183254</v>
      </c>
      <c r="BP422" s="622">
        <f t="shared" si="2719"/>
        <v>5.31538841015354</v>
      </c>
      <c r="BQ422" s="622">
        <f t="shared" si="2719"/>
        <v>5.5118067439531035</v>
      </c>
      <c r="BR422" s="622">
        <f t="shared" si="2719"/>
        <v>5.5674284982637454</v>
      </c>
      <c r="BS422" s="622">
        <f t="shared" si="2719"/>
        <v>5.2957281184505947</v>
      </c>
      <c r="BT422" s="622">
        <f t="shared" si="2719"/>
        <v>5.3713640260336293</v>
      </c>
      <c r="BU422" s="622">
        <f t="shared" si="2719"/>
        <v>5.4208072839807135</v>
      </c>
      <c r="BV422" s="622">
        <f t="shared" si="2719"/>
        <v>5.6271668655701843</v>
      </c>
      <c r="BW422" s="622">
        <f t="shared" si="2719"/>
        <v>5.5543084421009068</v>
      </c>
      <c r="BX422" s="622">
        <f t="shared" si="2719"/>
        <v>5.876701548957584</v>
      </c>
      <c r="BY422" s="622">
        <f t="shared" si="2719"/>
        <v>6.9425329275579477</v>
      </c>
      <c r="BZ422" s="622">
        <f t="shared" si="2719"/>
        <v>5.5902550921786709</v>
      </c>
      <c r="CA422" s="622">
        <f t="shared" si="2719"/>
        <v>5.691808384454526</v>
      </c>
      <c r="CB422" s="622">
        <f t="shared" si="2719"/>
        <v>6.0114657765570518</v>
      </c>
      <c r="CC422" s="622">
        <f t="shared" si="2719"/>
        <v>7.4576906472038544</v>
      </c>
      <c r="CD422" s="622">
        <f t="shared" ref="CD422:CI422" si="2720">((CD95/CD310)+(CD96/CD311)+(CD97/CD312)+(CD98/CD313)+(CD99/CD314))/CD303</f>
        <v>11.74579776585451</v>
      </c>
      <c r="CE422" s="622">
        <f t="shared" si="2720"/>
        <v>8.4738231997737916</v>
      </c>
      <c r="CF422" s="622" t="e">
        <f t="shared" si="2720"/>
        <v>#DIV/0!</v>
      </c>
      <c r="CG422" s="622">
        <f t="shared" si="2720"/>
        <v>9.1776399757161133</v>
      </c>
      <c r="CH422" s="622">
        <f t="shared" si="2720"/>
        <v>8.8476561737277262</v>
      </c>
      <c r="CI422" s="622">
        <f t="shared" si="2720"/>
        <v>8.8666932316867797</v>
      </c>
      <c r="CJ422" s="622">
        <v>7.8290552317864801</v>
      </c>
      <c r="CK422" s="622">
        <f t="shared" ref="CK422:CO422" si="2721">((CK95/CK310)+(CK96/CK311)+(CK97/CK312)+(CK98/CK313)+(CK99/CK314))/CK303</f>
        <v>11.399242126971114</v>
      </c>
      <c r="CL422" s="622" t="e">
        <f t="shared" si="2721"/>
        <v>#DIV/0!</v>
      </c>
      <c r="CM422" s="622" t="e">
        <f t="shared" si="2721"/>
        <v>#DIV/0!</v>
      </c>
      <c r="CN422" s="622">
        <f t="shared" si="2721"/>
        <v>9.3037356693185949</v>
      </c>
      <c r="CO422" s="622" t="e">
        <f t="shared" si="2721"/>
        <v>#DIV/0!</v>
      </c>
    </row>
    <row r="423" spans="1:93" s="289" customFormat="1" x14ac:dyDescent="0.25">
      <c r="A423" s="455" t="str">
        <f>Language!C343</f>
        <v>Concepa</v>
      </c>
      <c r="B423" s="625">
        <f t="shared" ref="B423:AS423" si="2722">(B95/B310)/B304</f>
        <v>5.1911146193293263</v>
      </c>
      <c r="C423" s="625">
        <f t="shared" si="2722"/>
        <v>5.1532534531112359</v>
      </c>
      <c r="D423" s="625">
        <f t="shared" si="2722"/>
        <v>5.1454496930878033</v>
      </c>
      <c r="E423" s="625">
        <f t="shared" si="2722"/>
        <v>5.4620930494536442</v>
      </c>
      <c r="F423" s="626">
        <f t="shared" si="2722"/>
        <v>5.546384681251733</v>
      </c>
      <c r="G423" s="625">
        <f t="shared" si="2722"/>
        <v>5.5117085354386059</v>
      </c>
      <c r="H423" s="625">
        <f t="shared" si="2722"/>
        <v>5.5079897358067518</v>
      </c>
      <c r="I423" s="625">
        <f t="shared" si="2722"/>
        <v>5.8481564323404962</v>
      </c>
      <c r="J423" s="626">
        <f t="shared" si="2722"/>
        <v>5.9312518232587532</v>
      </c>
      <c r="K423" s="625">
        <f t="shared" si="2722"/>
        <v>5.8974566786972478</v>
      </c>
      <c r="L423" s="625">
        <f t="shared" si="2722"/>
        <v>5.9246310562957998</v>
      </c>
      <c r="M423" s="625">
        <f t="shared" si="2722"/>
        <v>6.3765562221371406</v>
      </c>
      <c r="N423" s="626">
        <f t="shared" si="2722"/>
        <v>6.5894687377250198</v>
      </c>
      <c r="O423" s="625">
        <f t="shared" si="2722"/>
        <v>6.5989792334305948</v>
      </c>
      <c r="P423" s="625">
        <f t="shared" si="2722"/>
        <v>6.6116231755175887</v>
      </c>
      <c r="Q423" s="625">
        <f t="shared" si="2722"/>
        <v>7.125771218335867</v>
      </c>
      <c r="R423" s="626">
        <f t="shared" si="2722"/>
        <v>7.23902246415029</v>
      </c>
      <c r="S423" s="625">
        <f t="shared" si="2722"/>
        <v>7.2629454488605836</v>
      </c>
      <c r="T423" s="625">
        <f t="shared" si="2722"/>
        <v>7.2274074074504533</v>
      </c>
      <c r="U423" s="625">
        <f t="shared" si="2722"/>
        <v>8.5361259052794232</v>
      </c>
      <c r="V423" s="625">
        <f t="shared" si="2722"/>
        <v>7.2494276639820212</v>
      </c>
      <c r="W423" s="627">
        <f t="shared" si="2722"/>
        <v>7.2427004668350117</v>
      </c>
      <c r="X423" s="628">
        <f t="shared" si="2722"/>
        <v>7.5715467784365016</v>
      </c>
      <c r="Y423" s="629">
        <f t="shared" si="2722"/>
        <v>8.8998967694035684</v>
      </c>
      <c r="Z423" s="627">
        <f t="shared" si="2722"/>
        <v>8.8739678772022668</v>
      </c>
      <c r="AA423" s="627">
        <f t="shared" si="2722"/>
        <v>8.8937786789184674</v>
      </c>
      <c r="AB423" s="625">
        <f t="shared" si="2722"/>
        <v>9.2344424728530079</v>
      </c>
      <c r="AC423" s="627">
        <f t="shared" si="2722"/>
        <v>8.8889360464697234</v>
      </c>
      <c r="AD423" s="627">
        <f t="shared" si="2722"/>
        <v>8.8904243047890326</v>
      </c>
      <c r="AE423" s="628">
        <f t="shared" si="2722"/>
        <v>9.0676392572944291</v>
      </c>
      <c r="AF423" s="627">
        <f t="shared" si="2722"/>
        <v>9.7582437939977762</v>
      </c>
      <c r="AG423" s="627">
        <f t="shared" si="2722"/>
        <v>9.7421790117137306</v>
      </c>
      <c r="AH423" s="627">
        <f t="shared" si="2722"/>
        <v>5.0937329104232747</v>
      </c>
      <c r="AI423" s="625">
        <f t="shared" si="2722"/>
        <v>5.4280183249515384</v>
      </c>
      <c r="AJ423" s="627">
        <f t="shared" si="2722"/>
        <v>9.7513943059242862</v>
      </c>
      <c r="AK423" s="627">
        <f t="shared" si="2722"/>
        <v>8.2285100993940805</v>
      </c>
      <c r="AL423" s="628">
        <f t="shared" si="2722"/>
        <v>7.3538713019234176</v>
      </c>
      <c r="AM423" s="627">
        <f t="shared" si="2722"/>
        <v>4.9833347432535318</v>
      </c>
      <c r="AN423" s="627">
        <f t="shared" si="2722"/>
        <v>4.9551190967808694</v>
      </c>
      <c r="AO423" s="627">
        <f t="shared" si="2722"/>
        <v>4.9470843174477466</v>
      </c>
      <c r="AP423" s="627" t="e">
        <f t="shared" si="2722"/>
        <v>#DIV/0!</v>
      </c>
      <c r="AQ423" s="627">
        <f t="shared" si="2722"/>
        <v>4.9714004984316782</v>
      </c>
      <c r="AR423" s="627">
        <f t="shared" si="2722"/>
        <v>4.971122040445314</v>
      </c>
      <c r="AS423" s="628">
        <f t="shared" si="2722"/>
        <v>4.971122040445314</v>
      </c>
      <c r="AT423" s="627"/>
      <c r="AU423" s="627"/>
      <c r="AV423" s="627"/>
      <c r="AW423" s="627"/>
      <c r="AX423" s="627"/>
      <c r="AY423" s="627"/>
      <c r="AZ423" s="627"/>
      <c r="BA423" s="627"/>
      <c r="BB423" s="627"/>
      <c r="BC423" s="627"/>
      <c r="BD423" s="627"/>
      <c r="BE423" s="627"/>
      <c r="BF423" s="627"/>
      <c r="BG423" s="627"/>
      <c r="BH423" s="627"/>
      <c r="BI423" s="627"/>
      <c r="BJ423" s="627"/>
      <c r="BK423" s="627"/>
      <c r="BL423" s="627"/>
      <c r="BM423" s="627"/>
      <c r="BN423" s="627"/>
      <c r="BO423" s="627"/>
      <c r="BP423" s="627"/>
      <c r="BQ423" s="627"/>
      <c r="BR423" s="627"/>
      <c r="BS423" s="627"/>
      <c r="BT423" s="627"/>
      <c r="BU423" s="627"/>
      <c r="BV423" s="627"/>
      <c r="BW423" s="627"/>
      <c r="BX423" s="627"/>
      <c r="BY423" s="627"/>
      <c r="BZ423" s="627"/>
      <c r="CA423" s="627"/>
      <c r="CB423" s="627"/>
      <c r="CC423" s="627"/>
      <c r="CD423" s="627"/>
      <c r="CE423" s="627"/>
      <c r="CF423" s="627"/>
      <c r="CG423" s="627"/>
      <c r="CH423" s="627"/>
      <c r="CI423" s="627"/>
      <c r="CJ423" s="627"/>
      <c r="CK423" s="627"/>
      <c r="CL423" s="627"/>
      <c r="CM423" s="627"/>
      <c r="CN423" s="627"/>
      <c r="CO423" s="627"/>
    </row>
    <row r="424" spans="1:93" s="289" customFormat="1" x14ac:dyDescent="0.25">
      <c r="A424" s="455" t="str">
        <f>Language!C344</f>
        <v>Concer</v>
      </c>
      <c r="B424" s="625">
        <f t="shared" ref="B424:AS424" si="2723">(B96/B311)/B305</f>
        <v>7.2637191655269504</v>
      </c>
      <c r="C424" s="625">
        <f t="shared" si="2723"/>
        <v>7.2495480831477996</v>
      </c>
      <c r="D424" s="625">
        <f t="shared" si="2723"/>
        <v>7.3789181325221529</v>
      </c>
      <c r="E424" s="625">
        <f t="shared" si="2723"/>
        <v>7.5599374021909229</v>
      </c>
      <c r="F424" s="626">
        <f t="shared" si="2723"/>
        <v>7.5783345345243367</v>
      </c>
      <c r="G424" s="625">
        <f t="shared" si="2723"/>
        <v>7.5591007945863851</v>
      </c>
      <c r="H424" s="625">
        <f t="shared" si="2723"/>
        <v>7.5662513003960221</v>
      </c>
      <c r="I424" s="625">
        <f t="shared" si="2723"/>
        <v>7.5840154858102284</v>
      </c>
      <c r="J424" s="626">
        <f t="shared" si="2723"/>
        <v>7.583902665927357</v>
      </c>
      <c r="K424" s="625">
        <f t="shared" si="2723"/>
        <v>7.5439856947529709</v>
      </c>
      <c r="L424" s="625">
        <f t="shared" si="2723"/>
        <v>7.5647574275510898</v>
      </c>
      <c r="M424" s="625">
        <f t="shared" si="2723"/>
        <v>7.5675054908772479</v>
      </c>
      <c r="N424" s="626">
        <f t="shared" si="2723"/>
        <v>8.0020342049228539</v>
      </c>
      <c r="O424" s="625">
        <f t="shared" si="2723"/>
        <v>8.0016904122449102</v>
      </c>
      <c r="P424" s="625">
        <f t="shared" si="2723"/>
        <v>8.4499824171005287</v>
      </c>
      <c r="Q424" s="625">
        <f t="shared" si="2723"/>
        <v>9.0009047751209366</v>
      </c>
      <c r="R424" s="626">
        <f t="shared" si="2723"/>
        <v>9.000570151428855</v>
      </c>
      <c r="S424" s="625">
        <f t="shared" si="2723"/>
        <v>8.856858122440963</v>
      </c>
      <c r="T424" s="625">
        <f t="shared" si="2723"/>
        <v>9.9534116079645258</v>
      </c>
      <c r="U424" s="625">
        <f t="shared" si="2723"/>
        <v>11.062003971190991</v>
      </c>
      <c r="V424" s="625">
        <f t="shared" si="2723"/>
        <v>8.9301090565389902</v>
      </c>
      <c r="W424" s="627">
        <f t="shared" si="2723"/>
        <v>9.2669469738399677</v>
      </c>
      <c r="X424" s="628">
        <f t="shared" si="2723"/>
        <v>9.5679763136697691</v>
      </c>
      <c r="Y424" s="629">
        <f t="shared" si="2723"/>
        <v>11.208996976407798</v>
      </c>
      <c r="Z424" s="627">
        <f t="shared" si="2723"/>
        <v>11.21474077123383</v>
      </c>
      <c r="AA424" s="627">
        <f t="shared" si="2723"/>
        <v>11.974650703773492</v>
      </c>
      <c r="AB424" s="625">
        <f t="shared" si="2723"/>
        <v>11.187917599782025</v>
      </c>
      <c r="AC424" s="627">
        <f t="shared" si="2723"/>
        <v>11.211834980944623</v>
      </c>
      <c r="AD424" s="627">
        <f t="shared" si="2723"/>
        <v>11.386407498152385</v>
      </c>
      <c r="AE424" s="628">
        <f t="shared" si="2723"/>
        <v>11.425230607341792</v>
      </c>
      <c r="AF424" s="627">
        <f t="shared" si="2723"/>
        <v>12.409972299168974</v>
      </c>
      <c r="AG424" s="627">
        <f t="shared" si="2723"/>
        <v>12.411000560685125</v>
      </c>
      <c r="AH424" s="627">
        <f t="shared" si="2723"/>
        <v>12.905412415701193</v>
      </c>
      <c r="AI424" s="625">
        <f t="shared" si="2723"/>
        <v>11.340339586232366</v>
      </c>
      <c r="AJ424" s="627">
        <f t="shared" si="2723"/>
        <v>12.410477009071016</v>
      </c>
      <c r="AK424" s="627">
        <f t="shared" si="2723"/>
        <v>12.411287335426101</v>
      </c>
      <c r="AL424" s="628">
        <f t="shared" si="2723"/>
        <v>12.411454931255525</v>
      </c>
      <c r="AM424" s="627">
        <f t="shared" si="2723"/>
        <v>12.400127519627617</v>
      </c>
      <c r="AN424" s="627">
        <f t="shared" si="2723"/>
        <v>12.404693882109543</v>
      </c>
      <c r="AO424" s="627">
        <f t="shared" si="2723"/>
        <v>11.908984092162511</v>
      </c>
      <c r="AP424" s="627">
        <f t="shared" si="2723"/>
        <v>11.361550444726616</v>
      </c>
      <c r="AQ424" s="627">
        <f t="shared" si="2723"/>
        <v>12.402340031233194</v>
      </c>
      <c r="AR424" s="627">
        <f t="shared" si="2723"/>
        <v>11.326926738176599</v>
      </c>
      <c r="AS424" s="628">
        <f t="shared" si="2723"/>
        <v>11.149615777774944</v>
      </c>
      <c r="AT424" s="627">
        <f t="shared" ref="AT424:CI424" si="2724">(AT96/AT311)/AT305</f>
        <v>11.362175617716462</v>
      </c>
      <c r="AU424" s="627">
        <f t="shared" si="2724"/>
        <v>12.246622012111962</v>
      </c>
      <c r="AV424" s="627">
        <f t="shared" si="2724"/>
        <v>11.394129677627379</v>
      </c>
      <c r="AW424" s="627">
        <f t="shared" si="2724"/>
        <v>11.608258085301415</v>
      </c>
      <c r="AX424" s="627">
        <f t="shared" si="2724"/>
        <v>11.799325571885852</v>
      </c>
      <c r="AY424" s="627">
        <f t="shared" si="2724"/>
        <v>11.396078725135592</v>
      </c>
      <c r="AZ424" s="627">
        <f t="shared" si="2724"/>
        <v>11.45194136406174</v>
      </c>
      <c r="BA424" s="627">
        <f t="shared" si="2724"/>
        <v>11.603649247730431</v>
      </c>
      <c r="BB424" s="627">
        <f t="shared" si="2724"/>
        <v>4.7368071603420265</v>
      </c>
      <c r="BC424" s="627">
        <f t="shared" si="2724"/>
        <v>11.604512368094417</v>
      </c>
      <c r="BD424" s="627">
        <f t="shared" si="2724"/>
        <v>11.584966958012268</v>
      </c>
      <c r="BE424" s="627">
        <f t="shared" si="2724"/>
        <v>11.604630326695554</v>
      </c>
      <c r="BF424" s="627">
        <f t="shared" si="2724"/>
        <v>11.604586849675343</v>
      </c>
      <c r="BG424" s="627">
        <f t="shared" si="2724"/>
        <v>11.598917143281746</v>
      </c>
      <c r="BH424" s="627" t="e">
        <f t="shared" si="2724"/>
        <v>#REF!</v>
      </c>
      <c r="BI424" s="627" t="e">
        <f t="shared" si="2724"/>
        <v>#REF!</v>
      </c>
      <c r="BJ424" s="627">
        <f t="shared" si="2724"/>
        <v>11.622644656355865</v>
      </c>
      <c r="BK424" s="627">
        <f t="shared" si="2724"/>
        <v>11.575441735109136</v>
      </c>
      <c r="BL424" s="627">
        <f t="shared" si="2724"/>
        <v>11.599405169157158</v>
      </c>
      <c r="BM424" s="627">
        <f t="shared" si="2724"/>
        <v>11.607616747048587</v>
      </c>
      <c r="BN424" s="627">
        <f t="shared" si="2724"/>
        <v>11.599028058594174</v>
      </c>
      <c r="BO424" s="627">
        <f t="shared" si="2724"/>
        <v>11.599841850182324</v>
      </c>
      <c r="BP424" s="627">
        <f t="shared" si="2724"/>
        <v>11.923604128204015</v>
      </c>
      <c r="BQ424" s="627">
        <f t="shared" si="2724"/>
        <v>12.598200247205435</v>
      </c>
      <c r="BR424" s="627">
        <f t="shared" si="2724"/>
        <v>12.597745171697088</v>
      </c>
      <c r="BS424" s="627">
        <f t="shared" si="2724"/>
        <v>11.763311242521294</v>
      </c>
      <c r="BT424" s="627">
        <f t="shared" si="2724"/>
        <v>12.048758562449359</v>
      </c>
      <c r="BU424" s="627">
        <f t="shared" si="2724"/>
        <v>12.1904570629915</v>
      </c>
      <c r="BV424" s="627">
        <f t="shared" si="2724"/>
        <v>12.598664477973738</v>
      </c>
      <c r="BW424" s="627">
        <f t="shared" si="2724"/>
        <v>12.59764740269185</v>
      </c>
      <c r="BX424" s="627">
        <f t="shared" si="2724"/>
        <v>12.667127718279399</v>
      </c>
      <c r="BY424" s="627">
        <f t="shared" si="2724"/>
        <v>12.53134459846963</v>
      </c>
      <c r="BZ424" s="627">
        <f t="shared" si="2724"/>
        <v>12.598156097850374</v>
      </c>
      <c r="CA424" s="627">
        <f t="shared" si="2724"/>
        <v>12.621745920873142</v>
      </c>
      <c r="CB424" s="627">
        <f t="shared" si="2724"/>
        <v>12.59788581407647</v>
      </c>
      <c r="CC424" s="627">
        <f t="shared" si="2724"/>
        <v>14.377344229069202</v>
      </c>
      <c r="CD424" s="627">
        <f t="shared" si="2724"/>
        <v>14.482597975087181</v>
      </c>
      <c r="CE424" s="627">
        <f t="shared" si="2724"/>
        <v>14.376553292721511</v>
      </c>
      <c r="CF424" s="627" t="e">
        <f t="shared" si="2724"/>
        <v>#DIV/0!</v>
      </c>
      <c r="CG424" s="627">
        <f t="shared" si="2724"/>
        <v>14.430127849761041</v>
      </c>
      <c r="CH424" s="627">
        <f t="shared" si="2724"/>
        <v>14.411595257879487</v>
      </c>
      <c r="CI424" s="627">
        <f t="shared" si="2724"/>
        <v>14.44517784323831</v>
      </c>
      <c r="CJ424" s="627">
        <v>14.492458868307653</v>
      </c>
      <c r="CK424" s="627">
        <f t="shared" ref="CK424:CO424" si="2725">(CK96/CK311)/CK305</f>
        <v>14.498669506200986</v>
      </c>
      <c r="CL424" s="627" t="e">
        <f t="shared" si="2725"/>
        <v>#DIV/0!</v>
      </c>
      <c r="CM424" s="627" t="e">
        <f t="shared" si="2725"/>
        <v>#DIV/0!</v>
      </c>
      <c r="CN424" s="627">
        <f t="shared" si="2725"/>
        <v>14.495562496589759</v>
      </c>
      <c r="CO424" s="627" t="e">
        <f t="shared" si="2725"/>
        <v>#DIV/0!</v>
      </c>
    </row>
    <row r="425" spans="1:93" x14ac:dyDescent="0.25">
      <c r="A425" s="455" t="str">
        <f>Language!C345</f>
        <v>Econorte</v>
      </c>
      <c r="B425" s="625">
        <f t="shared" ref="B425:AS425" si="2726">(B97/B312)/B306</f>
        <v>9.8831055539400996</v>
      </c>
      <c r="C425" s="625">
        <f t="shared" si="2726"/>
        <v>9.7561044063991016</v>
      </c>
      <c r="D425" s="625">
        <f t="shared" si="2726"/>
        <v>9.6300424628450099</v>
      </c>
      <c r="E425" s="625">
        <f t="shared" si="2726"/>
        <v>9.9595694407981092</v>
      </c>
      <c r="F425" s="626">
        <f t="shared" si="2726"/>
        <v>10.246814404432133</v>
      </c>
      <c r="G425" s="625">
        <f t="shared" si="2726"/>
        <v>10.167964404894327</v>
      </c>
      <c r="H425" s="625">
        <f t="shared" si="2726"/>
        <v>10.092006033182503</v>
      </c>
      <c r="I425" s="625">
        <f t="shared" si="2726"/>
        <v>10.432519920318725</v>
      </c>
      <c r="J425" s="626">
        <f t="shared" si="2726"/>
        <v>10.804142632406922</v>
      </c>
      <c r="K425" s="625">
        <f t="shared" si="2726"/>
        <v>10.675803900896152</v>
      </c>
      <c r="L425" s="625">
        <f t="shared" si="2726"/>
        <v>10.597044334975369</v>
      </c>
      <c r="M425" s="625">
        <f t="shared" si="2726"/>
        <v>11.023182806085487</v>
      </c>
      <c r="N425" s="626">
        <f t="shared" si="2726"/>
        <v>12.107865882817011</v>
      </c>
      <c r="O425" s="625">
        <f t="shared" si="2726"/>
        <v>12.014979535487747</v>
      </c>
      <c r="P425" s="625">
        <f t="shared" si="2726"/>
        <v>11.981455193711639</v>
      </c>
      <c r="Q425" s="625">
        <f t="shared" si="2726"/>
        <v>12.46049128220103</v>
      </c>
      <c r="R425" s="626">
        <f t="shared" si="2726"/>
        <v>13.7691974537082</v>
      </c>
      <c r="S425" s="625">
        <f t="shared" si="2726"/>
        <v>13.654427210374921</v>
      </c>
      <c r="T425" s="625">
        <f t="shared" si="2726"/>
        <v>13.636863836867615</v>
      </c>
      <c r="U425" s="625">
        <f t="shared" si="2726"/>
        <v>14.516452869833453</v>
      </c>
      <c r="V425" s="625">
        <f t="shared" si="2726"/>
        <v>13.712390611693467</v>
      </c>
      <c r="W425" s="627">
        <f t="shared" si="2726"/>
        <v>13.686419947848396</v>
      </c>
      <c r="X425" s="628">
        <f t="shared" si="2726"/>
        <v>13.90144758508451</v>
      </c>
      <c r="Y425" s="629">
        <f t="shared" si="2726"/>
        <v>15.77874851035309</v>
      </c>
      <c r="Z425" s="627">
        <f t="shared" si="2726"/>
        <v>15.62714643055531</v>
      </c>
      <c r="AA425" s="627">
        <f t="shared" si="2726"/>
        <v>15.643855995239512</v>
      </c>
      <c r="AB425" s="625">
        <f t="shared" si="2726"/>
        <v>14.914171422120855</v>
      </c>
      <c r="AC425" s="627">
        <f t="shared" si="2726"/>
        <v>15.703738015787978</v>
      </c>
      <c r="AD425" s="627">
        <f t="shared" si="2726"/>
        <v>15.683640960310411</v>
      </c>
      <c r="AE425" s="628">
        <f t="shared" si="2726"/>
        <v>15.914421195243113</v>
      </c>
      <c r="AF425" s="627">
        <f t="shared" si="2726"/>
        <v>17.932916803683</v>
      </c>
      <c r="AG425" s="627">
        <f t="shared" si="2726"/>
        <v>17.767289413307111</v>
      </c>
      <c r="AH425" s="627">
        <f t="shared" si="2726"/>
        <v>17.629061371841154</v>
      </c>
      <c r="AI425" s="625">
        <f t="shared" si="2726"/>
        <v>16.144904624957803</v>
      </c>
      <c r="AJ425" s="627">
        <f t="shared" si="2726"/>
        <v>17.849967170059095</v>
      </c>
      <c r="AK425" s="627">
        <f t="shared" si="2726"/>
        <v>17.771983857264232</v>
      </c>
      <c r="AL425" s="628">
        <f t="shared" si="2726"/>
        <v>17.88582272475686</v>
      </c>
      <c r="AM425" s="627">
        <f t="shared" si="2726"/>
        <v>18.803316749585406</v>
      </c>
      <c r="AN425" s="627">
        <f t="shared" si="2726"/>
        <v>18.384022424667133</v>
      </c>
      <c r="AO425" s="627">
        <f t="shared" si="2726"/>
        <v>18.532376395534289</v>
      </c>
      <c r="AP425" s="627">
        <f t="shared" si="2726"/>
        <v>17.456233421750664</v>
      </c>
      <c r="AQ425" s="627">
        <f t="shared" si="2726"/>
        <v>18.599420684954847</v>
      </c>
      <c r="AR425" s="627">
        <f t="shared" si="2726"/>
        <v>18.57607729897823</v>
      </c>
      <c r="AS425" s="628">
        <f t="shared" si="2726"/>
        <v>18.322253714678347</v>
      </c>
      <c r="AT425" s="627">
        <f t="shared" ref="AT425:CI425" si="2727">(AT97/AT312)/AT306</f>
        <v>15.668396770472896</v>
      </c>
      <c r="AU425" s="627">
        <f t="shared" si="2727"/>
        <v>19.237158469945356</v>
      </c>
      <c r="AV425" s="627">
        <f t="shared" si="2727"/>
        <v>18.67536534446764</v>
      </c>
      <c r="AW425" s="627">
        <f t="shared" si="2727"/>
        <v>20.436304795528095</v>
      </c>
      <c r="AX425" s="627">
        <f t="shared" si="2727"/>
        <v>17.500841750841751</v>
      </c>
      <c r="AY425" s="627">
        <f t="shared" si="2727"/>
        <v>18.025163094128612</v>
      </c>
      <c r="AZ425" s="627">
        <f t="shared" si="2727"/>
        <v>18.8582901291044</v>
      </c>
      <c r="BA425" s="627">
        <f t="shared" si="2727"/>
        <v>20.046242774566473</v>
      </c>
      <c r="BB425" s="627">
        <f t="shared" si="2727"/>
        <v>9.2773684210526319</v>
      </c>
      <c r="BC425" s="627">
        <f t="shared" si="2727"/>
        <v>20.728456292622443</v>
      </c>
      <c r="BD425" s="627">
        <f t="shared" si="2727"/>
        <v>21.359547301218804</v>
      </c>
      <c r="BE425" s="627">
        <f t="shared" si="2727"/>
        <v>20.228947368421053</v>
      </c>
      <c r="BF425" s="627">
        <f t="shared" si="2727"/>
        <v>20.409477929643739</v>
      </c>
      <c r="BG425" s="627">
        <f t="shared" si="2727"/>
        <v>20.674102812803103</v>
      </c>
      <c r="BH425" s="627">
        <f t="shared" si="2727"/>
        <v>22.755775577557756</v>
      </c>
      <c r="BI425" s="627">
        <f t="shared" si="2727"/>
        <v>22.56</v>
      </c>
      <c r="BJ425" s="627">
        <f t="shared" si="2727"/>
        <v>22.556691729323308</v>
      </c>
      <c r="BK425" s="627">
        <f t="shared" si="2727"/>
        <v>22.77527033380348</v>
      </c>
      <c r="BL425" s="627">
        <f t="shared" si="2727"/>
        <v>22.657565789473683</v>
      </c>
      <c r="BM425" s="627">
        <f t="shared" si="2727"/>
        <v>22.621903242955874</v>
      </c>
      <c r="BN425" s="627">
        <f t="shared" si="2727"/>
        <v>22.650190773499826</v>
      </c>
      <c r="BO425" s="627" t="e">
        <f t="shared" si="2727"/>
        <v>#DIV/0!</v>
      </c>
      <c r="BP425" s="627" t="e">
        <f t="shared" si="2727"/>
        <v>#DIV/0!</v>
      </c>
      <c r="BQ425" s="627" t="e">
        <f t="shared" si="2727"/>
        <v>#DIV/0!</v>
      </c>
      <c r="BR425" s="627" t="e">
        <f t="shared" si="2727"/>
        <v>#DIV/0!</v>
      </c>
      <c r="BS425" s="627" t="e">
        <f t="shared" si="2727"/>
        <v>#DIV/0!</v>
      </c>
      <c r="BT425" s="627" t="e">
        <f t="shared" si="2727"/>
        <v>#DIV/0!</v>
      </c>
      <c r="BU425" s="627" t="e">
        <f t="shared" si="2727"/>
        <v>#DIV/0!</v>
      </c>
      <c r="BV425" s="627" t="e">
        <f t="shared" si="2727"/>
        <v>#DIV/0!</v>
      </c>
      <c r="BW425" s="627" t="e">
        <f t="shared" si="2727"/>
        <v>#DIV/0!</v>
      </c>
      <c r="BX425" s="627" t="e">
        <f t="shared" si="2727"/>
        <v>#DIV/0!</v>
      </c>
      <c r="BY425" s="627" t="e">
        <f t="shared" si="2727"/>
        <v>#DIV/0!</v>
      </c>
      <c r="BZ425" s="627" t="e">
        <f t="shared" si="2727"/>
        <v>#DIV/0!</v>
      </c>
      <c r="CA425" s="627" t="e">
        <f t="shared" si="2727"/>
        <v>#DIV/0!</v>
      </c>
      <c r="CB425" s="627" t="e">
        <f t="shared" si="2727"/>
        <v>#DIV/0!</v>
      </c>
      <c r="CC425" s="627" t="e">
        <f t="shared" si="2727"/>
        <v>#DIV/0!</v>
      </c>
      <c r="CD425" s="627" t="e">
        <f t="shared" si="2727"/>
        <v>#DIV/0!</v>
      </c>
      <c r="CE425" s="627" t="e">
        <f t="shared" si="2727"/>
        <v>#DIV/0!</v>
      </c>
      <c r="CF425" s="627" t="e">
        <f t="shared" si="2727"/>
        <v>#DIV/0!</v>
      </c>
      <c r="CG425" s="627" t="e">
        <f t="shared" si="2727"/>
        <v>#DIV/0!</v>
      </c>
      <c r="CH425" s="627" t="e">
        <f t="shared" si="2727"/>
        <v>#DIV/0!</v>
      </c>
      <c r="CI425" s="627" t="e">
        <f t="shared" si="2727"/>
        <v>#DIV/0!</v>
      </c>
      <c r="CJ425" s="627" t="e">
        <v>#DIV/0!</v>
      </c>
      <c r="CK425" s="627" t="e">
        <f t="shared" ref="CK425:CO425" si="2728">(CK97/CK312)/CK306</f>
        <v>#DIV/0!</v>
      </c>
      <c r="CL425" s="627" t="e">
        <f t="shared" si="2728"/>
        <v>#DIV/0!</v>
      </c>
      <c r="CM425" s="627" t="e">
        <f t="shared" si="2728"/>
        <v>#DIV/0!</v>
      </c>
      <c r="CN425" s="627" t="e">
        <f t="shared" si="2728"/>
        <v>#DIV/0!</v>
      </c>
      <c r="CO425" s="627" t="e">
        <f t="shared" si="2728"/>
        <v>#DIV/0!</v>
      </c>
    </row>
    <row r="426" spans="1:93" x14ac:dyDescent="0.25">
      <c r="A426" s="455" t="str">
        <f>Language!C346</f>
        <v>Concebra</v>
      </c>
      <c r="B426" s="604"/>
      <c r="C426" s="604"/>
      <c r="D426" s="604"/>
      <c r="E426" s="604"/>
      <c r="F426" s="605"/>
      <c r="G426" s="604"/>
      <c r="H426" s="604"/>
      <c r="I426" s="604"/>
      <c r="J426" s="605"/>
      <c r="K426" s="604"/>
      <c r="L426" s="604"/>
      <c r="M426" s="604"/>
      <c r="N426" s="605"/>
      <c r="O426" s="604"/>
      <c r="P426" s="604"/>
      <c r="Q426" s="604"/>
      <c r="R426" s="626"/>
      <c r="S426" s="625">
        <f t="shared" ref="S426:AS426" si="2729">(S98/S313)/S307</f>
        <v>4.2448745519713267</v>
      </c>
      <c r="T426" s="625">
        <f t="shared" si="2729"/>
        <v>4.1798342131491406</v>
      </c>
      <c r="U426" s="625">
        <f t="shared" si="2729"/>
        <v>4.1255744294208379</v>
      </c>
      <c r="V426" s="625">
        <f t="shared" si="2729"/>
        <v>4.2448745519713267</v>
      </c>
      <c r="W426" s="627">
        <f t="shared" si="2729"/>
        <v>4.1823130389423895</v>
      </c>
      <c r="X426" s="628">
        <f t="shared" si="2729"/>
        <v>4.1547266031465391</v>
      </c>
      <c r="Y426" s="629">
        <f t="shared" si="2729"/>
        <v>4.1870482993282678</v>
      </c>
      <c r="Z426" s="627">
        <f t="shared" si="2729"/>
        <v>4.2075975038409803</v>
      </c>
      <c r="AA426" s="627">
        <f t="shared" si="2729"/>
        <v>4.1980143959892642</v>
      </c>
      <c r="AB426" s="625">
        <f t="shared" si="2729"/>
        <v>4.0978581080945302</v>
      </c>
      <c r="AC426" s="627">
        <f t="shared" si="2729"/>
        <v>4.197416492614674</v>
      </c>
      <c r="AD426" s="627">
        <f t="shared" si="2729"/>
        <v>4.197623951706583</v>
      </c>
      <c r="AE426" s="628">
        <f t="shared" si="2729"/>
        <v>4.1954706417189067</v>
      </c>
      <c r="AF426" s="627">
        <f t="shared" si="2729"/>
        <v>4.1982281284606868</v>
      </c>
      <c r="AG426" s="627">
        <f t="shared" si="2729"/>
        <v>4.2488930625377463</v>
      </c>
      <c r="AH426" s="627">
        <f t="shared" si="2729"/>
        <v>5.0626282899238246</v>
      </c>
      <c r="AI426" s="625">
        <f t="shared" si="2729"/>
        <v>4.7867472746598976</v>
      </c>
      <c r="AJ426" s="627">
        <f t="shared" si="2729"/>
        <v>4.2240116712267284</v>
      </c>
      <c r="AK426" s="627">
        <f t="shared" si="2729"/>
        <v>4.5187596122779556</v>
      </c>
      <c r="AL426" s="628">
        <f t="shared" si="2729"/>
        <v>4.5914599169522745</v>
      </c>
      <c r="AM426" s="627">
        <f t="shared" si="2729"/>
        <v>4.7802836666165485</v>
      </c>
      <c r="AN426" s="627">
        <f t="shared" si="2729"/>
        <v>4.7822246136023905</v>
      </c>
      <c r="AO426" s="627">
        <f t="shared" si="2729"/>
        <v>4.6951728132791111</v>
      </c>
      <c r="AP426" s="627">
        <f t="shared" si="2729"/>
        <v>4.4625151820810434</v>
      </c>
      <c r="AQ426" s="627">
        <f t="shared" si="2729"/>
        <v>4.781242896277524</v>
      </c>
      <c r="AR426" s="627">
        <f t="shared" si="2729"/>
        <v>4.7503570188139008</v>
      </c>
      <c r="AS426" s="628">
        <f t="shared" si="2729"/>
        <v>4.6764107694630246</v>
      </c>
      <c r="AT426" s="627">
        <f t="shared" ref="AT426:CI426" si="2730">(AT98/AT313)/AT307</f>
        <v>4.4647554581908055</v>
      </c>
      <c r="AU426" s="627">
        <f t="shared" si="2730"/>
        <v>4.4657815590379997</v>
      </c>
      <c r="AV426" s="627">
        <f t="shared" si="2730"/>
        <v>4.4652574000176894</v>
      </c>
      <c r="AW426" s="627">
        <f t="shared" si="2730"/>
        <v>4.4626753083219812</v>
      </c>
      <c r="AX426" s="627">
        <f t="shared" si="2730"/>
        <v>4.4652764163277645</v>
      </c>
      <c r="AY426" s="627">
        <f t="shared" si="2730"/>
        <v>4.4652696112401919</v>
      </c>
      <c r="AZ426" s="627">
        <f t="shared" si="2730"/>
        <v>4.4645951279742473</v>
      </c>
      <c r="BA426" s="627">
        <f t="shared" si="2730"/>
        <v>4.4811684507526337</v>
      </c>
      <c r="BB426" s="627">
        <f t="shared" si="2730"/>
        <v>2.1272853561328957</v>
      </c>
      <c r="BC426" s="627">
        <f t="shared" si="2730"/>
        <v>2.8437900083838987</v>
      </c>
      <c r="BD426" s="627">
        <f t="shared" si="2730"/>
        <v>2.8300963953845413</v>
      </c>
      <c r="BE426" s="627">
        <f t="shared" si="2730"/>
        <v>4.4662916679800144</v>
      </c>
      <c r="BF426" s="627">
        <f t="shared" si="2730"/>
        <v>3.8636272923025987</v>
      </c>
      <c r="BG426" s="627">
        <f t="shared" si="2730"/>
        <v>3.5742339421774982</v>
      </c>
      <c r="BH426" s="627">
        <f t="shared" si="2730"/>
        <v>2.8382266897161541</v>
      </c>
      <c r="BI426" s="627">
        <f t="shared" si="2730"/>
        <v>2.8335041628570177</v>
      </c>
      <c r="BJ426" s="627">
        <f t="shared" si="2730"/>
        <v>2.8337616596804924</v>
      </c>
      <c r="BK426" s="627">
        <f t="shared" si="2730"/>
        <v>2.8275532060290018</v>
      </c>
      <c r="BL426" s="627">
        <f t="shared" si="2730"/>
        <v>2.8358029346129681</v>
      </c>
      <c r="BM426" s="627">
        <f t="shared" si="2730"/>
        <v>2.8350762653410087</v>
      </c>
      <c r="BN426" s="627">
        <f t="shared" si="2730"/>
        <v>2.8331517722595301</v>
      </c>
      <c r="BO426" s="627">
        <f t="shared" si="2730"/>
        <v>2.9160489739400903</v>
      </c>
      <c r="BP426" s="627">
        <f t="shared" si="2730"/>
        <v>2.9588897580140738</v>
      </c>
      <c r="BQ426" s="627">
        <f t="shared" si="2730"/>
        <v>3.1279385994677682</v>
      </c>
      <c r="BR426" s="627">
        <f t="shared" si="2730"/>
        <v>3.048000117451108</v>
      </c>
      <c r="BS426" s="627">
        <f t="shared" si="2730"/>
        <v>2.9379889543703199</v>
      </c>
      <c r="BT426" s="627">
        <f t="shared" si="2730"/>
        <v>3.0047776190171449</v>
      </c>
      <c r="BU426" s="627">
        <f t="shared" si="2730"/>
        <v>3.015614126779981</v>
      </c>
      <c r="BV426" s="627">
        <f t="shared" si="2730"/>
        <v>3.0464984151856065</v>
      </c>
      <c r="BW426" s="627">
        <f t="shared" si="2730"/>
        <v>3.0472252147569701</v>
      </c>
      <c r="BX426" s="627">
        <f t="shared" si="2730"/>
        <v>3.4154129861661957</v>
      </c>
      <c r="BY426" s="627">
        <f t="shared" si="2730"/>
        <v>4.7704783973125799</v>
      </c>
      <c r="BZ426" s="627">
        <f t="shared" si="2730"/>
        <v>3.0468694412691266</v>
      </c>
      <c r="CA426" s="627">
        <f t="shared" si="2730"/>
        <v>3.1784561628538159</v>
      </c>
      <c r="CB426" s="627">
        <f t="shared" si="2730"/>
        <v>3.5836046079596393</v>
      </c>
      <c r="CC426" s="627">
        <f t="shared" si="2730"/>
        <v>5.0268332907861009</v>
      </c>
      <c r="CD426" s="627">
        <f t="shared" si="2730"/>
        <v>11.496600264627878</v>
      </c>
      <c r="CE426" s="627">
        <f t="shared" si="2730"/>
        <v>7.2841484966304577</v>
      </c>
      <c r="CF426" s="627" t="e">
        <f t="shared" si="2730"/>
        <v>#DIV/0!</v>
      </c>
      <c r="CG426" s="627">
        <f t="shared" si="2730"/>
        <v>7.1124742947140076</v>
      </c>
      <c r="CH426" s="627">
        <f t="shared" si="2730"/>
        <v>7.2040353353008904</v>
      </c>
      <c r="CI426" s="627">
        <f t="shared" si="2730"/>
        <v>7.22165920295964</v>
      </c>
      <c r="CJ426" s="627">
        <v>5.4628376231179026</v>
      </c>
      <c r="CK426" s="627">
        <f t="shared" ref="CK426:CO426" si="2731">(CK98/CK313)/CK307</f>
        <v>10.504163681349205</v>
      </c>
      <c r="CL426" s="627" t="e">
        <f t="shared" si="2731"/>
        <v>#DIV/0!</v>
      </c>
      <c r="CM426" s="627" t="e">
        <f t="shared" si="2731"/>
        <v>#DIV/0!</v>
      </c>
      <c r="CN426" s="627">
        <f t="shared" si="2731"/>
        <v>7.2386740978470128</v>
      </c>
      <c r="CO426" s="627" t="e">
        <f t="shared" si="2731"/>
        <v>#DIV/0!</v>
      </c>
    </row>
    <row r="427" spans="1:93" s="289" customFormat="1" x14ac:dyDescent="0.25">
      <c r="A427" s="543" t="str">
        <f>Language!C347</f>
        <v>Transbrasiliana</v>
      </c>
      <c r="B427" s="610"/>
      <c r="C427" s="610"/>
      <c r="D427" s="610"/>
      <c r="E427" s="610"/>
      <c r="F427" s="611"/>
      <c r="G427" s="610"/>
      <c r="H427" s="610"/>
      <c r="I427" s="610"/>
      <c r="J427" s="611"/>
      <c r="K427" s="610"/>
      <c r="L427" s="610"/>
      <c r="M427" s="610"/>
      <c r="N427" s="611"/>
      <c r="O427" s="610"/>
      <c r="P427" s="610"/>
      <c r="Q427" s="610"/>
      <c r="R427" s="626">
        <f>(R99/R314)/R308</f>
        <v>3.7000179027986344</v>
      </c>
      <c r="S427" s="625">
        <f t="shared" ref="S427:AS427" si="2732">(S99/S314)/S308</f>
        <v>3.7000316376461635</v>
      </c>
      <c r="T427" s="625">
        <f t="shared" si="2732"/>
        <v>3.6999624316367958</v>
      </c>
      <c r="U427" s="625">
        <f t="shared" si="2732"/>
        <v>3.7806315654384548</v>
      </c>
      <c r="V427" s="625">
        <f t="shared" si="2732"/>
        <v>3.7000247086150653</v>
      </c>
      <c r="W427" s="627">
        <f t="shared" si="2732"/>
        <v>3.7000037124139342</v>
      </c>
      <c r="X427" s="628">
        <f t="shared" si="2732"/>
        <v>3.7202517429960849</v>
      </c>
      <c r="Y427" s="629">
        <f t="shared" si="2732"/>
        <v>4.3000772606386368</v>
      </c>
      <c r="Z427" s="627">
        <f t="shared" si="2732"/>
        <v>4.3004032214888044</v>
      </c>
      <c r="AA427" s="627">
        <f t="shared" si="2732"/>
        <v>4.3000836839190484</v>
      </c>
      <c r="AB427" s="625">
        <f t="shared" si="2732"/>
        <v>4.1024212369747444</v>
      </c>
      <c r="AC427" s="627">
        <f t="shared" si="2732"/>
        <v>4.3002428000360746</v>
      </c>
      <c r="AD427" s="627">
        <f t="shared" si="2732"/>
        <v>4.3001891071058829</v>
      </c>
      <c r="AE427" s="628">
        <f t="shared" si="2732"/>
        <v>4.3061547430665446</v>
      </c>
      <c r="AF427" s="627">
        <f t="shared" si="2732"/>
        <v>4.7993893678160919</v>
      </c>
      <c r="AG427" s="627">
        <f t="shared" si="2732"/>
        <v>4.8000894315245066</v>
      </c>
      <c r="AH427" s="627">
        <f t="shared" si="2732"/>
        <v>4.8007876599934365</v>
      </c>
      <c r="AI427" s="625">
        <f t="shared" si="2732"/>
        <v>4.5482571737972357</v>
      </c>
      <c r="AJ427" s="627">
        <f t="shared" si="2732"/>
        <v>4.7997431703906157</v>
      </c>
      <c r="AK427" s="627">
        <f t="shared" si="2732"/>
        <v>4.8001100092448565</v>
      </c>
      <c r="AL427" s="628">
        <f t="shared" si="2732"/>
        <v>4.8078829279390174</v>
      </c>
      <c r="AM427" s="627">
        <f t="shared" si="2732"/>
        <v>5.3997098295248458</v>
      </c>
      <c r="AN427" s="627">
        <f t="shared" si="2732"/>
        <v>4.9955329068129561</v>
      </c>
      <c r="AO427" s="627">
        <f t="shared" si="2732"/>
        <v>5.1999726542111864</v>
      </c>
      <c r="AP427" s="627">
        <f t="shared" si="2732"/>
        <v>5.9572018121075967</v>
      </c>
      <c r="AQ427" s="627">
        <f t="shared" si="2732"/>
        <v>5.1999830284766109</v>
      </c>
      <c r="AR427" s="627">
        <f t="shared" si="2732"/>
        <v>5.1999793119419166</v>
      </c>
      <c r="AS427" s="628">
        <f t="shared" si="2732"/>
        <v>5.3906414531636795</v>
      </c>
      <c r="AT427" s="627">
        <f t="shared" ref="AT427:CI427" si="2733">(AT99/AT314)/AT308</f>
        <v>5.2000724600260826</v>
      </c>
      <c r="AU427" s="627">
        <f t="shared" si="2733"/>
        <v>5.1997568279905222</v>
      </c>
      <c r="AV427" s="627">
        <f t="shared" si="2733"/>
        <v>5.2001211928552689</v>
      </c>
      <c r="AW427" s="627">
        <f t="shared" si="2733"/>
        <v>5.2001103322613167</v>
      </c>
      <c r="AX427" s="627">
        <f t="shared" si="2733"/>
        <v>5.1999116402767562</v>
      </c>
      <c r="AY427" s="627">
        <f t="shared" si="2733"/>
        <v>5.1999876694984977</v>
      </c>
      <c r="AZ427" s="627">
        <f t="shared" si="2733"/>
        <v>5.2000192292641998</v>
      </c>
      <c r="BA427" s="627">
        <f t="shared" si="2733"/>
        <v>5.1999381250346595</v>
      </c>
      <c r="BB427" s="627">
        <f t="shared" si="2733"/>
        <v>2.4979342820661032</v>
      </c>
      <c r="BC427" s="627">
        <f t="shared" si="2733"/>
        <v>5.1998967269566432</v>
      </c>
      <c r="BD427" s="627">
        <f t="shared" si="2733"/>
        <v>5.1999970375717774</v>
      </c>
      <c r="BE427" s="627">
        <f t="shared" si="2733"/>
        <v>5.2000160486946445</v>
      </c>
      <c r="BF427" s="627">
        <f t="shared" si="2733"/>
        <v>5.1999724542630368</v>
      </c>
      <c r="BG427" s="627">
        <f t="shared" si="2733"/>
        <v>5.1999791476128268</v>
      </c>
      <c r="BH427" s="627">
        <f t="shared" si="2733"/>
        <v>5.8793475878144674</v>
      </c>
      <c r="BI427" s="627">
        <f t="shared" si="2733"/>
        <v>7.4277157352172321</v>
      </c>
      <c r="BJ427" s="627">
        <f t="shared" si="2733"/>
        <v>7.6998909575769297</v>
      </c>
      <c r="BK427" s="627">
        <f t="shared" si="2733"/>
        <v>7.7001219567207455</v>
      </c>
      <c r="BL427" s="627">
        <f t="shared" si="2733"/>
        <v>6.6563838546360605</v>
      </c>
      <c r="BM427" s="627">
        <f t="shared" si="2733"/>
        <v>7.0226845305341534</v>
      </c>
      <c r="BN427" s="627">
        <f t="shared" si="2733"/>
        <v>7.1997390087217283</v>
      </c>
      <c r="BO427" s="627">
        <f t="shared" si="2733"/>
        <v>7.6999213738423347</v>
      </c>
      <c r="BP427" s="627">
        <f t="shared" si="2733"/>
        <v>7.7001058515463319</v>
      </c>
      <c r="BQ427" s="627">
        <f t="shared" si="2733"/>
        <v>7.6999729062638824</v>
      </c>
      <c r="BR427" s="627">
        <f t="shared" si="2733"/>
        <v>7.8426803186986032</v>
      </c>
      <c r="BS427" s="627">
        <f t="shared" si="2733"/>
        <v>7.700014645380123</v>
      </c>
      <c r="BT427" s="627">
        <f t="shared" si="2733"/>
        <v>7.6999999539764952</v>
      </c>
      <c r="BU427" s="627">
        <f t="shared" si="2733"/>
        <v>7.7359362440552157</v>
      </c>
      <c r="BV427" s="627">
        <f t="shared" si="2733"/>
        <v>8.0035726741921103</v>
      </c>
      <c r="BW427" s="627">
        <f t="shared" si="2733"/>
        <v>7.9963228967998754</v>
      </c>
      <c r="BX427" s="627">
        <f t="shared" si="2733"/>
        <v>8.6371667455909549</v>
      </c>
      <c r="BY427" s="627">
        <f t="shared" si="2733"/>
        <v>9.2922370785266963</v>
      </c>
      <c r="BZ427" s="627">
        <f t="shared" si="2733"/>
        <v>7.9999551006687399</v>
      </c>
      <c r="CA427" s="627">
        <f t="shared" si="2733"/>
        <v>8.2277815106196748</v>
      </c>
      <c r="CB427" s="627">
        <f t="shared" si="2733"/>
        <v>8.4951937288567905</v>
      </c>
      <c r="CC427" s="627">
        <f t="shared" si="2733"/>
        <v>9.3999351588574154</v>
      </c>
      <c r="CD427" s="627">
        <f t="shared" si="2733"/>
        <v>9.4000530758174499</v>
      </c>
      <c r="CE427" s="627">
        <f t="shared" si="2733"/>
        <v>9.400001370083066</v>
      </c>
      <c r="CF427" s="627" t="e">
        <f t="shared" si="2733"/>
        <v>#DIV/0!</v>
      </c>
      <c r="CG427" s="627">
        <f t="shared" si="2733"/>
        <v>9.3999956756445098</v>
      </c>
      <c r="CH427" s="627">
        <f t="shared" si="2733"/>
        <v>9.3999976605041713</v>
      </c>
      <c r="CI427" s="627">
        <f t="shared" si="2733"/>
        <v>9.4028607436161629</v>
      </c>
      <c r="CJ427" s="627">
        <v>9.6000047507626984</v>
      </c>
      <c r="CK427" s="627">
        <f t="shared" ref="CK427:CO427" si="2734">(CK99/CK314)/CK308</f>
        <v>9.9269250143315819</v>
      </c>
      <c r="CL427" s="627" t="e">
        <f t="shared" si="2734"/>
        <v>#DIV/0!</v>
      </c>
      <c r="CM427" s="627" t="e">
        <f t="shared" si="2734"/>
        <v>#DIV/0!</v>
      </c>
      <c r="CN427" s="627">
        <f t="shared" si="2734"/>
        <v>9.7623823321337078</v>
      </c>
      <c r="CO427" s="627" t="e">
        <f t="shared" si="2734"/>
        <v>#DIV/0!</v>
      </c>
    </row>
    <row r="428" spans="1:93" s="289" customFormat="1" ht="13" x14ac:dyDescent="0.3">
      <c r="A428" s="525" t="str">
        <f>Language!C348</f>
        <v>Crescimento Anual da Tarifa Média</v>
      </c>
      <c r="B428" s="615" t="s">
        <v>116</v>
      </c>
      <c r="C428" s="615" t="s">
        <v>116</v>
      </c>
      <c r="D428" s="615" t="s">
        <v>116</v>
      </c>
      <c r="E428" s="615">
        <f>E422/B422-1</f>
        <v>5.1154733423099064E-2</v>
      </c>
      <c r="F428" s="616">
        <f t="shared" ref="F428:M428" si="2735">F422/C422-1</f>
        <v>2.5821210923560489E-2</v>
      </c>
      <c r="G428" s="615">
        <f t="shared" si="2735"/>
        <v>3.8899335185755834E-2</v>
      </c>
      <c r="H428" s="615">
        <f t="shared" si="2735"/>
        <v>1.8494116527913107E-2</v>
      </c>
      <c r="I428" s="615">
        <f t="shared" si="2735"/>
        <v>3.8233404738824417E-2</v>
      </c>
      <c r="J428" s="616">
        <f t="shared" si="2735"/>
        <v>2.0845077636646669E-2</v>
      </c>
      <c r="K428" s="615">
        <f t="shared" si="2735"/>
        <v>3.0498990557523253E-2</v>
      </c>
      <c r="L428" s="615">
        <f t="shared" si="2735"/>
        <v>1.5465414172624037E-2</v>
      </c>
      <c r="M428" s="615">
        <f t="shared" si="2735"/>
        <v>4.0392167679483393E-2</v>
      </c>
      <c r="N428" s="616">
        <f t="shared" ref="N428:Q430" si="2736">N422/J422-1</f>
        <v>8.2057471102105817E-2</v>
      </c>
      <c r="O428" s="615">
        <f t="shared" si="2736"/>
        <v>8.8488644455172905E-2</v>
      </c>
      <c r="P428" s="615">
        <f t="shared" si="2736"/>
        <v>0.10532103657773217</v>
      </c>
      <c r="Q428" s="615">
        <f t="shared" si="2736"/>
        <v>0.13485842516906343</v>
      </c>
      <c r="R428" s="616"/>
      <c r="S428" s="615"/>
      <c r="T428" s="615"/>
      <c r="U428" s="615"/>
      <c r="V428" s="615"/>
      <c r="W428" s="617"/>
      <c r="X428" s="618"/>
      <c r="Y428" s="619">
        <f>Y422/R422-1</f>
        <v>-8.1473707200175549E-2</v>
      </c>
      <c r="Z428" s="617">
        <f t="shared" ref="Z428:AA430" si="2737">Z422/S422-1</f>
        <v>-9.0926763643355391E-2</v>
      </c>
      <c r="AA428" s="617">
        <f t="shared" si="2737"/>
        <v>0.11980204011794937</v>
      </c>
      <c r="AB428" s="615">
        <f>AB422/U422-1</f>
        <v>3.2565874645886783E-2</v>
      </c>
      <c r="AC428" s="617">
        <f>AC422/V422-1</f>
        <v>-8.6117422794793841E-2</v>
      </c>
      <c r="AD428" s="617">
        <f t="shared" ref="AC428:AF433" si="2738">AD422/W422-1</f>
        <v>-7.4451361217087175E-4</v>
      </c>
      <c r="AE428" s="618">
        <f t="shared" si="2738"/>
        <v>2.198704897776782E-2</v>
      </c>
      <c r="AF428" s="617">
        <f>AF422/Y422-1</f>
        <v>7.4220524475731686E-2</v>
      </c>
      <c r="AG428" s="617">
        <f t="shared" ref="AG428:AH433" si="2739">AG422/Z422-1</f>
        <v>7.2514997976333095E-2</v>
      </c>
      <c r="AH428" s="617">
        <f t="shared" si="2739"/>
        <v>-2.6614637164440458E-3</v>
      </c>
      <c r="AI428" s="615">
        <f t="shared" ref="AI428:AP428" si="2740">AI422/AB422-1</f>
        <v>-4.0562784503777594E-2</v>
      </c>
      <c r="AJ428" s="617">
        <f t="shared" si="2740"/>
        <v>7.334145307593265E-2</v>
      </c>
      <c r="AK428" s="617">
        <f t="shared" si="2740"/>
        <v>4.5671238772216682E-2</v>
      </c>
      <c r="AL428" s="618">
        <f t="shared" si="2740"/>
        <v>1.8065033990161572E-2</v>
      </c>
      <c r="AM428" s="617">
        <f t="shared" si="2740"/>
        <v>-0.10893345053377179</v>
      </c>
      <c r="AN428" s="617">
        <f t="shared" si="2740"/>
        <v>-8.5094385544164597E-2</v>
      </c>
      <c r="AO428" s="617">
        <f t="shared" si="2740"/>
        <v>2.2405565662311444E-2</v>
      </c>
      <c r="AP428" s="617">
        <f t="shared" si="2740"/>
        <v>2.9681803220309444E-2</v>
      </c>
      <c r="AQ428" s="617">
        <f>AQ422/AJ422-1</f>
        <v>-9.7446788223131353E-2</v>
      </c>
      <c r="AR428" s="617">
        <f>AR422/AK422-1</f>
        <v>-7.4095339278802741E-2</v>
      </c>
      <c r="AS428" s="618">
        <f>AS422/AL422-1</f>
        <v>-5.6115426495952248E-2</v>
      </c>
      <c r="AT428" s="617">
        <f>AT422/AM422-1</f>
        <v>-5.4165858066790529E-2</v>
      </c>
      <c r="AU428" s="617">
        <f>AU422/AN422-1</f>
        <v>-6.4110819654917828E-3</v>
      </c>
      <c r="AV428" s="617">
        <f>AV422/AP422-1</f>
        <v>-1.2579224957985469E-2</v>
      </c>
      <c r="AW428" s="617">
        <f>AW422/AQ422-1</f>
        <v>6.4228185900711221E-2</v>
      </c>
      <c r="AX428" s="617">
        <f t="shared" ref="AX428:BH428" si="2741">AX422/AQ422-1</f>
        <v>-3.0107506800811867E-2</v>
      </c>
      <c r="AY428" s="617">
        <f t="shared" si="2741"/>
        <v>-2.2337160584336768E-2</v>
      </c>
      <c r="AZ428" s="617">
        <f t="shared" si="2741"/>
        <v>1.964414507801493E-3</v>
      </c>
      <c r="BA428" s="617">
        <f t="shared" si="2741"/>
        <v>0.11856858228102363</v>
      </c>
      <c r="BB428" s="617">
        <f t="shared" si="2741"/>
        <v>-0.52234362738764695</v>
      </c>
      <c r="BC428" s="617">
        <f t="shared" si="2741"/>
        <v>-0.10711908697340877</v>
      </c>
      <c r="BD428" s="617">
        <f t="shared" si="2741"/>
        <v>-0.14497157881362155</v>
      </c>
      <c r="BE428" s="617">
        <f t="shared" si="2741"/>
        <v>7.1722103474137988E-2</v>
      </c>
      <c r="BF428" s="617">
        <f t="shared" si="2741"/>
        <v>1.1455458810670782E-2</v>
      </c>
      <c r="BG428" s="617">
        <f t="shared" si="2741"/>
        <v>-3.3956548503994655E-2</v>
      </c>
      <c r="BH428" s="617" t="e">
        <f t="shared" si="2741"/>
        <v>#REF!</v>
      </c>
      <c r="BI428" s="617" t="e">
        <f t="shared" ref="BI428" si="2742">BI422/BB422-1</f>
        <v>#REF!</v>
      </c>
      <c r="BJ428" s="617">
        <f t="shared" ref="BJ428" si="2743">BJ422/BC422-1</f>
        <v>8.5960390570878786E-2</v>
      </c>
      <c r="BK428" s="617">
        <f t="shared" ref="BK428" si="2744">BK422/BD422-1</f>
        <v>1.7248709428208109E-3</v>
      </c>
      <c r="BL428" s="617">
        <f t="shared" ref="BL428:BO428" si="2745">BL422/BE422-1</f>
        <v>-8.5798481233923529E-2</v>
      </c>
      <c r="BM428" s="617">
        <f t="shared" si="2745"/>
        <v>-2.8628171865814678E-2</v>
      </c>
      <c r="BN428" s="617">
        <f t="shared" si="2745"/>
        <v>-1.9333871611099229E-2</v>
      </c>
      <c r="BO428" s="617" t="e">
        <f t="shared" si="2745"/>
        <v>#REF!</v>
      </c>
      <c r="BP428" s="617" t="e">
        <f t="shared" ref="BP428" si="2746">BP422/BI422-1</f>
        <v>#REF!</v>
      </c>
      <c r="BQ428" s="617">
        <f t="shared" ref="BQ428" si="2747">BQ422/BJ422-1</f>
        <v>-0.15775816010384858</v>
      </c>
      <c r="BR428" s="617">
        <f t="shared" ref="BR428" si="2748">BR422/BK422-1</f>
        <v>-9.488706945598846E-2</v>
      </c>
      <c r="BS428" s="617">
        <f t="shared" ref="BS428:BV428" si="2749">BS422/BL422-1</f>
        <v>-0.17417154713028338</v>
      </c>
      <c r="BT428" s="617">
        <f t="shared" si="2749"/>
        <v>-0.16842755575839174</v>
      </c>
      <c r="BU428" s="617">
        <f t="shared" si="2749"/>
        <v>-0.15052008839202313</v>
      </c>
      <c r="BV428" s="617">
        <f t="shared" si="2749"/>
        <v>6.6703345838363237E-2</v>
      </c>
      <c r="BW428" s="617">
        <f t="shared" ref="BW428" si="2750">BW422/BP422-1</f>
        <v>4.4948743819168024E-2</v>
      </c>
      <c r="BX428" s="617">
        <f t="shared" ref="BX428" si="2751">BX422/BQ422-1</f>
        <v>6.6202394596798886E-2</v>
      </c>
      <c r="BY428" s="617">
        <f t="shared" ref="BY428" si="2752">BY422/BR422-1</f>
        <v>0.24699094559059742</v>
      </c>
      <c r="BZ428" s="617">
        <f t="shared" ref="BZ428:CK428" si="2753">BZ422/BS422-1</f>
        <v>5.5615954433523296E-2</v>
      </c>
      <c r="CA428" s="617">
        <f t="shared" si="2753"/>
        <v>5.9657911261978391E-2</v>
      </c>
      <c r="CB428" s="617">
        <f t="shared" si="2753"/>
        <v>0.10896135236569315</v>
      </c>
      <c r="CC428" s="617">
        <f t="shared" si="2753"/>
        <v>0.32530113738651112</v>
      </c>
      <c r="CD428" s="617">
        <f t="shared" si="2753"/>
        <v>1.1147183107122665</v>
      </c>
      <c r="CE428" s="617">
        <f t="shared" si="2753"/>
        <v>0.44193526405588668</v>
      </c>
      <c r="CF428" s="617" t="e">
        <f t="shared" si="2753"/>
        <v>#DIV/0!</v>
      </c>
      <c r="CG428" s="617">
        <f t="shared" si="2753"/>
        <v>0.64172114230646726</v>
      </c>
      <c r="CH428" s="617">
        <f t="shared" si="2753"/>
        <v>0.55445432736148592</v>
      </c>
      <c r="CI428" s="617">
        <f t="shared" si="2753"/>
        <v>0.47496360476080146</v>
      </c>
      <c r="CJ428" s="617">
        <v>4.9796190556906872E-2</v>
      </c>
      <c r="CK428" s="617">
        <f t="shared" si="2753"/>
        <v>-2.9504648878839634E-2</v>
      </c>
      <c r="CL428" s="617" t="e">
        <f t="shared" ref="CL428" si="2754">CL422/CE422-1</f>
        <v>#DIV/0!</v>
      </c>
      <c r="CM428" s="617" t="e">
        <f t="shared" ref="CM428" si="2755">CM422/CF422-1</f>
        <v>#DIV/0!</v>
      </c>
      <c r="CN428" s="617">
        <f t="shared" ref="CN428" si="2756">CN422/CG422-1</f>
        <v>1.3739446517419429E-2</v>
      </c>
      <c r="CO428" s="617" t="e">
        <f t="shared" ref="CO428" si="2757">CO422/CH422-1</f>
        <v>#DIV/0!</v>
      </c>
    </row>
    <row r="429" spans="1:93" s="289" customFormat="1" x14ac:dyDescent="0.25">
      <c r="A429" s="455" t="str">
        <f>Language!C349</f>
        <v>Concepa</v>
      </c>
      <c r="B429" s="604" t="s">
        <v>116</v>
      </c>
      <c r="C429" s="604" t="s">
        <v>116</v>
      </c>
      <c r="D429" s="604" t="s">
        <v>116</v>
      </c>
      <c r="E429" s="604" t="s">
        <v>116</v>
      </c>
      <c r="F429" s="605">
        <f t="shared" ref="F429:Q431" si="2758">F423/B423-1</f>
        <v>6.8438107800498971E-2</v>
      </c>
      <c r="G429" s="604">
        <f t="shared" si="2758"/>
        <v>6.9558985520294048E-2</v>
      </c>
      <c r="H429" s="604">
        <f t="shared" si="2758"/>
        <v>7.0458378634227214E-2</v>
      </c>
      <c r="I429" s="604">
        <f t="shared" si="2758"/>
        <v>7.0680484457412929E-2</v>
      </c>
      <c r="J429" s="605">
        <f t="shared" si="2758"/>
        <v>6.9390632659861229E-2</v>
      </c>
      <c r="K429" s="604">
        <f>K423/G423-1</f>
        <v>6.9987035921511342E-2</v>
      </c>
      <c r="L429" s="604">
        <f>L423/H423-1</f>
        <v>7.5643082226626968E-2</v>
      </c>
      <c r="M429" s="604">
        <f>M423/I423-1</f>
        <v>9.0353224286986666E-2</v>
      </c>
      <c r="N429" s="605">
        <f t="shared" si="2736"/>
        <v>0.1109743666396259</v>
      </c>
      <c r="O429" s="604">
        <f t="shared" si="2736"/>
        <v>0.11895340533273968</v>
      </c>
      <c r="P429" s="604">
        <f t="shared" si="2736"/>
        <v>0.115955257415018</v>
      </c>
      <c r="Q429" s="604">
        <f t="shared" si="2736"/>
        <v>0.11749523882463664</v>
      </c>
      <c r="R429" s="605"/>
      <c r="S429" s="604"/>
      <c r="T429" s="604"/>
      <c r="U429" s="604"/>
      <c r="V429" s="604"/>
      <c r="W429" s="606"/>
      <c r="X429" s="607"/>
      <c r="Y429" s="608">
        <f t="shared" ref="Y429:Y431" si="2759">Y423/R423-1</f>
        <v>0.22943350617827241</v>
      </c>
      <c r="Z429" s="606">
        <f t="shared" si="2737"/>
        <v>0.2218139237978749</v>
      </c>
      <c r="AA429" s="606">
        <f t="shared" si="2737"/>
        <v>0.23056279762923237</v>
      </c>
      <c r="AB429" s="604">
        <f>AB423/U423-1</f>
        <v>8.1807200985834827E-2</v>
      </c>
      <c r="AC429" s="606">
        <f t="shared" si="2738"/>
        <v>0.22615694072421988</v>
      </c>
      <c r="AD429" s="606">
        <f t="shared" si="2738"/>
        <v>0.22750130914554578</v>
      </c>
      <c r="AE429" s="607">
        <f t="shared" si="2738"/>
        <v>0.19759403496241301</v>
      </c>
      <c r="AF429" s="606">
        <f>AF423/Y423-1</f>
        <v>9.6444604564972947E-2</v>
      </c>
      <c r="AG429" s="606">
        <f t="shared" si="2739"/>
        <v>9.7837984825474456E-2</v>
      </c>
      <c r="AH429" s="606">
        <f t="shared" si="2739"/>
        <v>-0.42727010708088586</v>
      </c>
      <c r="AI429" s="604">
        <f>AI423/AB423-1</f>
        <v>-0.41219858795930797</v>
      </c>
      <c r="AJ429" s="606">
        <f>AJ423/AC423-1</f>
        <v>9.7026039443392387E-2</v>
      </c>
      <c r="AK429" s="606">
        <f>AK423/AD423-1</f>
        <v>-7.4452487609438012E-2</v>
      </c>
      <c r="AL429" s="607">
        <f>AL423/AE423-1</f>
        <v>-0.18899825045337759</v>
      </c>
      <c r="AM429" s="606">
        <f t="shared" ref="AM429:AM433" si="2760">AM423/AF423-1</f>
        <v>-0.48932053262301722</v>
      </c>
      <c r="AN429" s="606">
        <f t="shared" ref="AN429:AP429" si="2761">AN423/AG423-1</f>
        <v>-0.49137466158002541</v>
      </c>
      <c r="AO429" s="606">
        <f t="shared" si="2761"/>
        <v>-2.879000441413837E-2</v>
      </c>
      <c r="AP429" s="606" t="e">
        <f t="shared" si="2761"/>
        <v>#DIV/0!</v>
      </c>
      <c r="AQ429" s="606">
        <f t="shared" ref="AQ429" si="2762">AQ423/AJ423-1</f>
        <v>-0.49018567576419381</v>
      </c>
      <c r="AR429" s="606">
        <f t="shared" ref="AR429:AU433" si="2763">AR423/AK423-1</f>
        <v>-0.3958660826324597</v>
      </c>
      <c r="AS429" s="607">
        <f t="shared" si="2763"/>
        <v>-0.3240129128796273</v>
      </c>
      <c r="AT429" s="606"/>
      <c r="AU429" s="606"/>
      <c r="AV429" s="606"/>
      <c r="AW429" s="606"/>
      <c r="AX429" s="606"/>
      <c r="AY429" s="606"/>
      <c r="AZ429" s="606"/>
      <c r="BA429" s="606"/>
      <c r="BB429" s="606"/>
      <c r="BC429" s="606"/>
      <c r="BD429" s="606"/>
      <c r="BE429" s="606"/>
      <c r="BF429" s="606"/>
      <c r="BG429" s="606"/>
      <c r="BH429" s="606"/>
      <c r="BI429" s="606"/>
      <c r="BJ429" s="606"/>
      <c r="BK429" s="606"/>
      <c r="BL429" s="606"/>
      <c r="BM429" s="606"/>
      <c r="BN429" s="606"/>
      <c r="BO429" s="606"/>
      <c r="BP429" s="606"/>
      <c r="BQ429" s="606"/>
      <c r="BR429" s="606"/>
      <c r="BS429" s="606"/>
      <c r="BT429" s="606"/>
      <c r="BU429" s="606"/>
      <c r="BV429" s="606"/>
      <c r="BW429" s="606"/>
      <c r="BX429" s="606"/>
      <c r="BY429" s="606"/>
      <c r="BZ429" s="606"/>
      <c r="CA429" s="606"/>
      <c r="CB429" s="606"/>
      <c r="CC429" s="606"/>
      <c r="CD429" s="606"/>
      <c r="CE429" s="606"/>
      <c r="CF429" s="606"/>
      <c r="CG429" s="606"/>
      <c r="CH429" s="606"/>
      <c r="CI429" s="606"/>
      <c r="CJ429" s="606"/>
      <c r="CK429" s="606"/>
      <c r="CL429" s="606"/>
      <c r="CM429" s="606"/>
      <c r="CN429" s="606"/>
      <c r="CO429" s="606"/>
    </row>
    <row r="430" spans="1:93" s="289" customFormat="1" x14ac:dyDescent="0.25">
      <c r="A430" s="455" t="str">
        <f>Language!C350</f>
        <v>Concer</v>
      </c>
      <c r="B430" s="604" t="s">
        <v>116</v>
      </c>
      <c r="C430" s="604" t="s">
        <v>116</v>
      </c>
      <c r="D430" s="604" t="s">
        <v>116</v>
      </c>
      <c r="E430" s="604" t="s">
        <v>116</v>
      </c>
      <c r="F430" s="605">
        <f t="shared" si="2758"/>
        <v>4.3313261681498627E-2</v>
      </c>
      <c r="G430" s="604">
        <f t="shared" si="2758"/>
        <v>4.2699587324369626E-2</v>
      </c>
      <c r="H430" s="604">
        <f t="shared" si="2758"/>
        <v>2.5387619771550129E-2</v>
      </c>
      <c r="I430" s="604">
        <f t="shared" si="2758"/>
        <v>3.1849580675531453E-3</v>
      </c>
      <c r="J430" s="605">
        <f t="shared" si="2758"/>
        <v>7.34743415938377E-4</v>
      </c>
      <c r="K430" s="604">
        <f t="shared" si="2758"/>
        <v>-1.9995896660406354E-3</v>
      </c>
      <c r="L430" s="604">
        <f t="shared" si="2758"/>
        <v>-1.9743896754453871E-4</v>
      </c>
      <c r="M430" s="604">
        <f t="shared" si="2758"/>
        <v>-2.1769463635551434E-3</v>
      </c>
      <c r="N430" s="605">
        <f t="shared" si="2736"/>
        <v>5.5134085630352381E-2</v>
      </c>
      <c r="O430" s="604">
        <f t="shared" si="2736"/>
        <v>6.0671472085410239E-2</v>
      </c>
      <c r="P430" s="604">
        <f t="shared" si="2736"/>
        <v>0.11701961338845068</v>
      </c>
      <c r="Q430" s="604">
        <f t="shared" si="2736"/>
        <v>0.1894150306163207</v>
      </c>
      <c r="R430" s="605"/>
      <c r="S430" s="604"/>
      <c r="T430" s="604"/>
      <c r="U430" s="604"/>
      <c r="V430" s="604"/>
      <c r="W430" s="606"/>
      <c r="X430" s="607"/>
      <c r="Y430" s="608">
        <f t="shared" si="2759"/>
        <v>0.24536521440570658</v>
      </c>
      <c r="Z430" s="606">
        <f t="shared" si="2737"/>
        <v>0.26622111545612426</v>
      </c>
      <c r="AA430" s="606">
        <f t="shared" si="2737"/>
        <v>0.2030699799646194</v>
      </c>
      <c r="AB430" s="604">
        <f>AB424/U424-1</f>
        <v>1.1382533302189524E-2</v>
      </c>
      <c r="AC430" s="606">
        <f t="shared" si="2738"/>
        <v>0.25550930116971649</v>
      </c>
      <c r="AD430" s="606">
        <f t="shared" si="2738"/>
        <v>0.22871184331749461</v>
      </c>
      <c r="AE430" s="607">
        <f t="shared" si="2738"/>
        <v>0.19411150621459661</v>
      </c>
      <c r="AF430" s="606">
        <f t="shared" si="2738"/>
        <v>0.1071438707039476</v>
      </c>
      <c r="AG430" s="606">
        <f t="shared" si="2739"/>
        <v>0.1066685190369927</v>
      </c>
      <c r="AH430" s="606">
        <f t="shared" si="2739"/>
        <v>7.7727671140703558E-2</v>
      </c>
      <c r="AI430" s="604">
        <f t="shared" ref="AI430:AI433" si="2764">AI424/AB424-1</f>
        <v>1.3623803097487119E-2</v>
      </c>
      <c r="AJ430" s="606">
        <f t="shared" ref="AJ430:AJ433" si="2765">AJ424/AC424-1</f>
        <v>0.10690863985811228</v>
      </c>
      <c r="AK430" s="606">
        <f t="shared" ref="AK430:AK433" si="2766">AK424/AD424-1</f>
        <v>9.000906013947052E-2</v>
      </c>
      <c r="AL430" s="607">
        <f t="shared" ref="AL430:AL433" si="2767">AL424/AE424-1</f>
        <v>8.6319861524719821E-2</v>
      </c>
      <c r="AM430" s="606">
        <f t="shared" si="2760"/>
        <v>-7.9329585143528281E-4</v>
      </c>
      <c r="AN430" s="606">
        <f t="shared" ref="AN430:AP430" si="2768">AN424/AG424-1</f>
        <v>-5.0815230768419539E-4</v>
      </c>
      <c r="AO430" s="606">
        <f t="shared" si="2768"/>
        <v>-7.7210110877695914E-2</v>
      </c>
      <c r="AP430" s="606">
        <f t="shared" si="2768"/>
        <v>1.8703900648620042E-3</v>
      </c>
      <c r="AQ430" s="606">
        <f>AQ424/AJ424-1</f>
        <v>-6.5565391498445535E-4</v>
      </c>
      <c r="AR430" s="606">
        <f t="shared" si="2763"/>
        <v>-8.736890605653469E-2</v>
      </c>
      <c r="AS430" s="607">
        <f t="shared" si="2763"/>
        <v>-0.10166730334756457</v>
      </c>
      <c r="AT430" s="606">
        <f t="shared" si="2763"/>
        <v>-8.3704937732956952E-2</v>
      </c>
      <c r="AU430" s="606">
        <f t="shared" si="2763"/>
        <v>-1.2742907765386891E-2</v>
      </c>
      <c r="AV430" s="606">
        <f t="shared" ref="AV430:AW433" si="2769">AV424/AP424-1</f>
        <v>2.8674988558348158E-3</v>
      </c>
      <c r="AW430" s="606">
        <f t="shared" si="2769"/>
        <v>-6.402678397238093E-2</v>
      </c>
      <c r="AX430" s="606">
        <f t="shared" ref="AX430:BB433" si="2770">AX424/AQ424-1</f>
        <v>-4.8621022954438597E-2</v>
      </c>
      <c r="AY430" s="606">
        <f t="shared" si="2770"/>
        <v>6.1050970450722275E-3</v>
      </c>
      <c r="AZ430" s="606">
        <f t="shared" si="2770"/>
        <v>2.7115336735588302E-2</v>
      </c>
      <c r="BA430" s="606">
        <f t="shared" si="2770"/>
        <v>2.1252411346067479E-2</v>
      </c>
      <c r="BB430" s="606">
        <f t="shared" si="2770"/>
        <v>-0.61321520696423026</v>
      </c>
      <c r="BC430" s="606">
        <f t="shared" ref="BC430:BD433" si="2771">BC424/AV424-1</f>
        <v>1.8464129900165105E-2</v>
      </c>
      <c r="BD430" s="606">
        <f t="shared" si="2771"/>
        <v>-2.0064274172744145E-3</v>
      </c>
      <c r="BE430" s="606">
        <f t="shared" ref="BE430:BH433" si="2772">BE424/AX424-1</f>
        <v>-1.6500540137158071E-2</v>
      </c>
      <c r="BF430" s="606">
        <f t="shared" si="2772"/>
        <v>1.8296479830369972E-2</v>
      </c>
      <c r="BG430" s="606">
        <f t="shared" si="2772"/>
        <v>1.2834136549217945E-2</v>
      </c>
      <c r="BH430" s="606" t="e">
        <f t="shared" si="2772"/>
        <v>#REF!</v>
      </c>
      <c r="BI430" s="606" t="e">
        <f t="shared" ref="BI430:BI433" si="2773">BI424/BB424-1</f>
        <v>#REF!</v>
      </c>
      <c r="BJ430" s="606">
        <f t="shared" ref="BJ430:BJ433" si="2774">BJ424/BC424-1</f>
        <v>1.5625204822307115E-3</v>
      </c>
      <c r="BK430" s="606">
        <f t="shared" ref="BK430:BK433" si="2775">BK424/BD424-1</f>
        <v>-8.2220544414624008E-4</v>
      </c>
      <c r="BL430" s="606">
        <f t="shared" ref="BL430:BO433" si="2776">BL424/BE424-1</f>
        <v>-4.5026488490340633E-4</v>
      </c>
      <c r="BM430" s="606">
        <f t="shared" si="2776"/>
        <v>2.6109480781122407E-4</v>
      </c>
      <c r="BN430" s="606">
        <f t="shared" si="2776"/>
        <v>9.5625575264879359E-6</v>
      </c>
      <c r="BO430" s="606" t="e">
        <f t="shared" si="2776"/>
        <v>#REF!</v>
      </c>
      <c r="BP430" s="606" t="e">
        <f t="shared" ref="BP430:BP433" si="2777">BP424/BI424-1</f>
        <v>#REF!</v>
      </c>
      <c r="BQ430" s="606">
        <f t="shared" ref="BQ430:BQ433" si="2778">BQ424/BJ424-1</f>
        <v>8.3935766746175533E-2</v>
      </c>
      <c r="BR430" s="606">
        <f t="shared" ref="BR430:BR433" si="2779">BR424/BK424-1</f>
        <v>8.8316580911744769E-2</v>
      </c>
      <c r="BS430" s="606">
        <f t="shared" ref="BS430:BV433" si="2780">BS424/BL424-1</f>
        <v>1.4130558504841462E-2</v>
      </c>
      <c r="BT430" s="606">
        <f t="shared" si="2780"/>
        <v>3.8004512469188789E-2</v>
      </c>
      <c r="BU430" s="606">
        <f t="shared" si="2780"/>
        <v>5.098953131328221E-2</v>
      </c>
      <c r="BV430" s="606">
        <f t="shared" si="2780"/>
        <v>8.6106572890535915E-2</v>
      </c>
      <c r="BW430" s="606">
        <f t="shared" ref="BW430:BW433" si="2781">BW424/BP424-1</f>
        <v>5.6530162125515204E-2</v>
      </c>
      <c r="BX430" s="606">
        <f t="shared" ref="BX430:BX433" si="2782">BX424/BQ424-1</f>
        <v>5.4712157071208356E-3</v>
      </c>
      <c r="BY430" s="606">
        <f t="shared" ref="BY430:BY433" si="2783">BY424/BR424-1</f>
        <v>-5.2708300035023692E-3</v>
      </c>
      <c r="BZ430" s="606">
        <f t="shared" ref="BZ430:CK433" si="2784">BZ424/BS424-1</f>
        <v>7.0970225824794619E-2</v>
      </c>
      <c r="CA430" s="606">
        <f t="shared" si="2784"/>
        <v>4.7555717500185501E-2</v>
      </c>
      <c r="CB430" s="606">
        <f t="shared" si="2784"/>
        <v>3.3421942178186725E-2</v>
      </c>
      <c r="CC430" s="606">
        <f t="shared" si="2784"/>
        <v>0.1411800238195986</v>
      </c>
      <c r="CD430" s="606">
        <f t="shared" si="2784"/>
        <v>0.1496271892792107</v>
      </c>
      <c r="CE430" s="606">
        <f t="shared" si="2784"/>
        <v>0.13494973860374926</v>
      </c>
      <c r="CF430" s="606" t="e">
        <f t="shared" si="2784"/>
        <v>#DIV/0!</v>
      </c>
      <c r="CG430" s="606">
        <f t="shared" si="2784"/>
        <v>0.14541586385195338</v>
      </c>
      <c r="CH430" s="606">
        <f t="shared" si="2784"/>
        <v>0.14180679505252858</v>
      </c>
      <c r="CI430" s="606">
        <f t="shared" si="2784"/>
        <v>0.1466350827769638</v>
      </c>
      <c r="CJ430" s="606">
        <v>8.0066692015137164E-3</v>
      </c>
      <c r="CK430" s="606">
        <f t="shared" si="2784"/>
        <v>1.1097132670154775E-3</v>
      </c>
      <c r="CL430" s="606" t="e">
        <f t="shared" ref="CL430:CL433" si="2785">CL424/CE424-1</f>
        <v>#DIV/0!</v>
      </c>
      <c r="CM430" s="606" t="e">
        <f t="shared" ref="CM430:CM433" si="2786">CM424/CF424-1</f>
        <v>#DIV/0!</v>
      </c>
      <c r="CN430" s="606">
        <f t="shared" ref="CN430:CN433" si="2787">CN424/CG424-1</f>
        <v>4.5345853834415362E-3</v>
      </c>
      <c r="CO430" s="606" t="e">
        <f t="shared" ref="CO430:CO433" si="2788">CO424/CH424-1</f>
        <v>#DIV/0!</v>
      </c>
    </row>
    <row r="431" spans="1:93" x14ac:dyDescent="0.25">
      <c r="A431" s="455" t="str">
        <f>Language!C351</f>
        <v>Econorte</v>
      </c>
      <c r="B431" s="604" t="s">
        <v>116</v>
      </c>
      <c r="C431" s="604" t="s">
        <v>116</v>
      </c>
      <c r="D431" s="604" t="s">
        <v>116</v>
      </c>
      <c r="E431" s="604" t="s">
        <v>116</v>
      </c>
      <c r="F431" s="605">
        <f t="shared" si="2758"/>
        <v>3.6801069107982309E-2</v>
      </c>
      <c r="G431" s="604">
        <f t="shared" si="2758"/>
        <v>4.2215620224921313E-2</v>
      </c>
      <c r="H431" s="604">
        <f t="shared" si="2758"/>
        <v>4.7971083421475935E-2</v>
      </c>
      <c r="I431" s="604">
        <f t="shared" si="2758"/>
        <v>4.7487040713149131E-2</v>
      </c>
      <c r="J431" s="605">
        <f t="shared" si="2758"/>
        <v>5.4390389635019076E-2</v>
      </c>
      <c r="K431" s="604">
        <f t="shared" si="2758"/>
        <v>4.994505053119358E-2</v>
      </c>
      <c r="L431" s="604">
        <f t="shared" si="2758"/>
        <v>5.0043400700742646E-2</v>
      </c>
      <c r="M431" s="604">
        <f t="shared" si="2758"/>
        <v>5.6617470206442366E-2</v>
      </c>
      <c r="N431" s="605">
        <f t="shared" si="2758"/>
        <v>0.1206688299818981</v>
      </c>
      <c r="O431" s="604">
        <f t="shared" si="2758"/>
        <v>0.12544026164429467</v>
      </c>
      <c r="P431" s="604">
        <f t="shared" si="2758"/>
        <v>0.13064122551295232</v>
      </c>
      <c r="Q431" s="604">
        <f t="shared" si="2758"/>
        <v>0.13038960719421788</v>
      </c>
      <c r="R431" s="605"/>
      <c r="S431" s="604"/>
      <c r="T431" s="604"/>
      <c r="U431" s="604"/>
      <c r="V431" s="604"/>
      <c r="W431" s="606"/>
      <c r="X431" s="607"/>
      <c r="Y431" s="608">
        <f t="shared" si="2759"/>
        <v>0.14594540193072003</v>
      </c>
      <c r="Z431" s="606">
        <f t="shared" ref="Z431:AA433" si="2789">Z425/S425-1</f>
        <v>0.14447469599321416</v>
      </c>
      <c r="AA431" s="606">
        <f t="shared" si="2789"/>
        <v>0.1471740264023127</v>
      </c>
      <c r="AB431" s="604">
        <f>AB425/U425-1</f>
        <v>2.7397777945733504E-2</v>
      </c>
      <c r="AC431" s="606">
        <f t="shared" si="2738"/>
        <v>0.14522248238730584</v>
      </c>
      <c r="AD431" s="606">
        <f t="shared" si="2738"/>
        <v>0.14592720522038283</v>
      </c>
      <c r="AE431" s="607">
        <f t="shared" si="2738"/>
        <v>0.14480316512637237</v>
      </c>
      <c r="AF431" s="606">
        <f t="shared" si="2738"/>
        <v>0.13652339359591603</v>
      </c>
      <c r="AG431" s="606">
        <f t="shared" si="2739"/>
        <v>0.13695033781517796</v>
      </c>
      <c r="AH431" s="606">
        <f t="shared" si="2739"/>
        <v>0.12690000324764861</v>
      </c>
      <c r="AI431" s="604">
        <f t="shared" si="2764"/>
        <v>8.2521057858535141E-2</v>
      </c>
      <c r="AJ431" s="606">
        <f t="shared" si="2765"/>
        <v>0.13666995412897065</v>
      </c>
      <c r="AK431" s="606">
        <f t="shared" si="2766"/>
        <v>0.13315421477950529</v>
      </c>
      <c r="AL431" s="607">
        <f t="shared" si="2767"/>
        <v>0.12387516362222506</v>
      </c>
      <c r="AM431" s="606">
        <f t="shared" si="2760"/>
        <v>4.8536440303099226E-2</v>
      </c>
      <c r="AN431" s="606">
        <f t="shared" ref="AN431:AP431" si="2790">AN425/AG425-1</f>
        <v>3.4711710774413929E-2</v>
      </c>
      <c r="AO431" s="606">
        <f t="shared" si="2790"/>
        <v>5.124010885434882E-2</v>
      </c>
      <c r="AP431" s="606">
        <f t="shared" si="2790"/>
        <v>8.1222455459150078E-2</v>
      </c>
      <c r="AQ431" s="606">
        <f>AQ425/AJ425-1</f>
        <v>4.1986268532351101E-2</v>
      </c>
      <c r="AR431" s="606">
        <f t="shared" si="2763"/>
        <v>4.5245001805767959E-2</v>
      </c>
      <c r="AS431" s="607">
        <f t="shared" si="2763"/>
        <v>2.4400945745559399E-2</v>
      </c>
      <c r="AT431" s="606">
        <f t="shared" si="2763"/>
        <v>-0.16672164921019228</v>
      </c>
      <c r="AU431" s="606">
        <f t="shared" si="2763"/>
        <v>4.6406386239689956E-2</v>
      </c>
      <c r="AV431" s="606">
        <f t="shared" si="2769"/>
        <v>6.9839345823476728E-2</v>
      </c>
      <c r="AW431" s="606">
        <f t="shared" si="2769"/>
        <v>9.8760286230802352E-2</v>
      </c>
      <c r="AX431" s="606">
        <f t="shared" si="2770"/>
        <v>-5.9065223198147332E-2</v>
      </c>
      <c r="AY431" s="606">
        <f t="shared" si="2770"/>
        <v>-2.9657187358922199E-2</v>
      </c>
      <c r="AZ431" s="606">
        <f t="shared" si="2770"/>
        <v>2.9256030550249612E-2</v>
      </c>
      <c r="BA431" s="606">
        <f t="shared" si="2770"/>
        <v>0.27940612356355632</v>
      </c>
      <c r="BB431" s="606">
        <f t="shared" si="2770"/>
        <v>-0.51773706935216701</v>
      </c>
      <c r="BC431" s="606">
        <f t="shared" si="2771"/>
        <v>0.10993578493836575</v>
      </c>
      <c r="BD431" s="606">
        <f t="shared" si="2771"/>
        <v>4.5176587202434781E-2</v>
      </c>
      <c r="BE431" s="606">
        <f t="shared" si="2772"/>
        <v>0.1558842515359633</v>
      </c>
      <c r="BF431" s="606">
        <f t="shared" si="2772"/>
        <v>0.13227701869126363</v>
      </c>
      <c r="BG431" s="606">
        <f t="shared" si="2772"/>
        <v>9.6287238729895197E-2</v>
      </c>
      <c r="BH431" s="606">
        <f t="shared" si="2772"/>
        <v>0.13516412194852712</v>
      </c>
      <c r="BI431" s="606">
        <f t="shared" si="2773"/>
        <v>1.4317240596811707</v>
      </c>
      <c r="BJ431" s="606">
        <f t="shared" si="2774"/>
        <v>8.8199304902003783E-2</v>
      </c>
      <c r="BK431" s="606">
        <f t="shared" si="2775"/>
        <v>6.6280572926931569E-2</v>
      </c>
      <c r="BL431" s="606">
        <f t="shared" si="2776"/>
        <v>0.12005658904644201</v>
      </c>
      <c r="BM431" s="606">
        <f t="shared" si="2776"/>
        <v>0.10840185726155682</v>
      </c>
      <c r="BN431" s="606">
        <f t="shared" si="2776"/>
        <v>9.5582767416294789E-2</v>
      </c>
      <c r="BO431" s="606" t="e">
        <f t="shared" si="2776"/>
        <v>#DIV/0!</v>
      </c>
      <c r="BP431" s="606" t="e">
        <f t="shared" si="2777"/>
        <v>#DIV/0!</v>
      </c>
      <c r="BQ431" s="606" t="e">
        <f t="shared" si="2778"/>
        <v>#DIV/0!</v>
      </c>
      <c r="BR431" s="606" t="e">
        <f t="shared" si="2779"/>
        <v>#DIV/0!</v>
      </c>
      <c r="BS431" s="606" t="e">
        <f t="shared" si="2780"/>
        <v>#DIV/0!</v>
      </c>
      <c r="BT431" s="606" t="e">
        <f t="shared" si="2780"/>
        <v>#DIV/0!</v>
      </c>
      <c r="BU431" s="606" t="e">
        <f t="shared" si="2780"/>
        <v>#DIV/0!</v>
      </c>
      <c r="BV431" s="606" t="e">
        <f t="shared" si="2780"/>
        <v>#DIV/0!</v>
      </c>
      <c r="BW431" s="606" t="e">
        <f t="shared" si="2781"/>
        <v>#DIV/0!</v>
      </c>
      <c r="BX431" s="606" t="e">
        <f t="shared" si="2782"/>
        <v>#DIV/0!</v>
      </c>
      <c r="BY431" s="606" t="e">
        <f t="shared" si="2783"/>
        <v>#DIV/0!</v>
      </c>
      <c r="BZ431" s="606" t="e">
        <f t="shared" si="2784"/>
        <v>#DIV/0!</v>
      </c>
      <c r="CA431" s="606" t="e">
        <f t="shared" si="2784"/>
        <v>#DIV/0!</v>
      </c>
      <c r="CB431" s="606" t="e">
        <f t="shared" si="2784"/>
        <v>#DIV/0!</v>
      </c>
      <c r="CC431" s="606" t="e">
        <f t="shared" si="2784"/>
        <v>#DIV/0!</v>
      </c>
      <c r="CD431" s="606" t="e">
        <f t="shared" si="2784"/>
        <v>#DIV/0!</v>
      </c>
      <c r="CE431" s="606" t="e">
        <f t="shared" si="2784"/>
        <v>#DIV/0!</v>
      </c>
      <c r="CF431" s="606" t="e">
        <f t="shared" si="2784"/>
        <v>#DIV/0!</v>
      </c>
      <c r="CG431" s="606" t="e">
        <f t="shared" si="2784"/>
        <v>#DIV/0!</v>
      </c>
      <c r="CH431" s="606" t="e">
        <f t="shared" si="2784"/>
        <v>#DIV/0!</v>
      </c>
      <c r="CI431" s="606" t="e">
        <f t="shared" si="2784"/>
        <v>#DIV/0!</v>
      </c>
      <c r="CJ431" s="606" t="e">
        <v>#DIV/0!</v>
      </c>
      <c r="CK431" s="606" t="e">
        <f t="shared" si="2784"/>
        <v>#DIV/0!</v>
      </c>
      <c r="CL431" s="606" t="e">
        <f t="shared" si="2785"/>
        <v>#DIV/0!</v>
      </c>
      <c r="CM431" s="606" t="e">
        <f t="shared" si="2786"/>
        <v>#DIV/0!</v>
      </c>
      <c r="CN431" s="606" t="e">
        <f t="shared" si="2787"/>
        <v>#DIV/0!</v>
      </c>
      <c r="CO431" s="606" t="e">
        <f t="shared" si="2788"/>
        <v>#DIV/0!</v>
      </c>
    </row>
    <row r="432" spans="1:93" x14ac:dyDescent="0.25">
      <c r="A432" s="455" t="str">
        <f>Language!C352</f>
        <v>Concebra</v>
      </c>
      <c r="B432" s="604"/>
      <c r="C432" s="604"/>
      <c r="D432" s="604"/>
      <c r="E432" s="604"/>
      <c r="F432" s="605"/>
      <c r="G432" s="604"/>
      <c r="H432" s="604"/>
      <c r="I432" s="604"/>
      <c r="J432" s="605"/>
      <c r="K432" s="604"/>
      <c r="L432" s="604"/>
      <c r="M432" s="604"/>
      <c r="N432" s="605"/>
      <c r="O432" s="604"/>
      <c r="P432" s="604"/>
      <c r="Q432" s="604"/>
      <c r="R432" s="605"/>
      <c r="S432" s="604"/>
      <c r="T432" s="604"/>
      <c r="U432" s="604"/>
      <c r="V432" s="604"/>
      <c r="W432" s="606"/>
      <c r="X432" s="607"/>
      <c r="Y432" s="608"/>
      <c r="Z432" s="606">
        <f t="shared" si="2789"/>
        <v>-8.7816607237627409E-3</v>
      </c>
      <c r="AA432" s="606">
        <f t="shared" si="2789"/>
        <v>4.3494985477967596E-3</v>
      </c>
      <c r="AB432" s="604">
        <f t="shared" ref="AB432:AB433" si="2791">AB426/U426-1</f>
        <v>-6.7181726570373357E-3</v>
      </c>
      <c r="AC432" s="606">
        <f t="shared" si="2738"/>
        <v>-1.1180085247657789E-2</v>
      </c>
      <c r="AD432" s="606">
        <f t="shared" si="2738"/>
        <v>3.6608720154684971E-3</v>
      </c>
      <c r="AE432" s="607">
        <f t="shared" si="2738"/>
        <v>9.8066714044457992E-3</v>
      </c>
      <c r="AF432" s="606">
        <f>AF426/Y426-1</f>
        <v>2.6700979623790477E-3</v>
      </c>
      <c r="AG432" s="606">
        <f t="shared" si="2739"/>
        <v>9.8145221017620354E-3</v>
      </c>
      <c r="AH432" s="606">
        <f t="shared" si="2739"/>
        <v>0.20595782014482911</v>
      </c>
      <c r="AI432" s="604">
        <f t="shared" si="2764"/>
        <v>0.16810957051065278</v>
      </c>
      <c r="AJ432" s="606">
        <f t="shared" si="2765"/>
        <v>6.3360828402061475E-3</v>
      </c>
      <c r="AK432" s="606">
        <f t="shared" si="2766"/>
        <v>7.6504151935957054E-2</v>
      </c>
      <c r="AL432" s="607">
        <f t="shared" si="2767"/>
        <v>9.4384947256150653E-2</v>
      </c>
      <c r="AM432" s="606">
        <f t="shared" si="2760"/>
        <v>0.13864314190312399</v>
      </c>
      <c r="AN432" s="606">
        <f t="shared" ref="AN432:AP432" si="2792">AN426/AG426-1</f>
        <v>0.125522469785601</v>
      </c>
      <c r="AO432" s="606">
        <f t="shared" si="2792"/>
        <v>-7.2581958540401281E-2</v>
      </c>
      <c r="AP432" s="606">
        <f t="shared" si="2792"/>
        <v>-6.773536892061871E-2</v>
      </c>
      <c r="AQ432" s="606">
        <f>AQ426/AJ426-1</f>
        <v>0.13191990657757002</v>
      </c>
      <c r="AR432" s="606">
        <f t="shared" si="2763"/>
        <v>5.1252429075153705E-2</v>
      </c>
      <c r="AS432" s="607">
        <f t="shared" si="2763"/>
        <v>1.8501926194999685E-2</v>
      </c>
      <c r="AT432" s="606">
        <f t="shared" si="2763"/>
        <v>-6.6006168342949367E-2</v>
      </c>
      <c r="AU432" s="606">
        <f t="shared" si="2763"/>
        <v>-6.6170679993639681E-2</v>
      </c>
      <c r="AV432" s="606">
        <f t="shared" si="2769"/>
        <v>6.1450052823519563E-4</v>
      </c>
      <c r="AW432" s="606">
        <f t="shared" si="2769"/>
        <v>-6.6628614121145402E-2</v>
      </c>
      <c r="AX432" s="606">
        <f t="shared" si="2770"/>
        <v>-6.6084590723419989E-2</v>
      </c>
      <c r="AY432" s="606">
        <f t="shared" si="2770"/>
        <v>-6.0013890839070272E-2</v>
      </c>
      <c r="AZ432" s="606">
        <f t="shared" si="2770"/>
        <v>-4.5294490140159183E-2</v>
      </c>
      <c r="BA432" s="606">
        <f t="shared" si="2770"/>
        <v>3.6761235224469502E-3</v>
      </c>
      <c r="BB432" s="606">
        <f t="shared" si="2770"/>
        <v>-0.52364769122492705</v>
      </c>
      <c r="BC432" s="606">
        <f t="shared" si="2771"/>
        <v>-0.36312965779472584</v>
      </c>
      <c r="BD432" s="606">
        <f t="shared" si="2771"/>
        <v>-0.36582964256732109</v>
      </c>
      <c r="BE432" s="606">
        <f t="shared" si="2772"/>
        <v>2.2736591368399672E-4</v>
      </c>
      <c r="BF432" s="606">
        <f t="shared" si="2772"/>
        <v>-0.13473818410048755</v>
      </c>
      <c r="BG432" s="606">
        <f t="shared" si="2772"/>
        <v>-0.19942708359329753</v>
      </c>
      <c r="BH432" s="606">
        <f t="shared" si="2772"/>
        <v>-0.36663244845449616</v>
      </c>
      <c r="BI432" s="606">
        <f t="shared" si="2773"/>
        <v>0.33198122888784787</v>
      </c>
      <c r="BJ432" s="606">
        <f t="shared" si="2774"/>
        <v>-3.526402678763696E-3</v>
      </c>
      <c r="BK432" s="606">
        <f t="shared" si="2775"/>
        <v>-8.9862287365438664E-4</v>
      </c>
      <c r="BL432" s="606">
        <f t="shared" si="2776"/>
        <v>-0.36506544009573683</v>
      </c>
      <c r="BM432" s="606">
        <f t="shared" si="2776"/>
        <v>-0.26621383201499393</v>
      </c>
      <c r="BN432" s="606">
        <f t="shared" si="2776"/>
        <v>-0.20734014110628851</v>
      </c>
      <c r="BO432" s="606">
        <f t="shared" si="2776"/>
        <v>2.741933352466619E-2</v>
      </c>
      <c r="BP432" s="606">
        <f t="shared" si="2777"/>
        <v>4.4251071447387602E-2</v>
      </c>
      <c r="BQ432" s="606">
        <f t="shared" si="2778"/>
        <v>0.1038114616246324</v>
      </c>
      <c r="BR432" s="606">
        <f t="shared" si="2779"/>
        <v>7.7963842007309436E-2</v>
      </c>
      <c r="BS432" s="606">
        <f t="shared" si="2780"/>
        <v>3.6034245719298585E-2</v>
      </c>
      <c r="BT432" s="606">
        <f t="shared" si="2780"/>
        <v>5.9857773757533872E-2</v>
      </c>
      <c r="BU432" s="606">
        <f t="shared" si="2780"/>
        <v>6.4402605009378444E-2</v>
      </c>
      <c r="BV432" s="606">
        <f t="shared" si="2780"/>
        <v>4.4734996706607522E-2</v>
      </c>
      <c r="BW432" s="606">
        <f t="shared" si="2781"/>
        <v>2.9854257497644809E-2</v>
      </c>
      <c r="BX432" s="606">
        <f t="shared" si="2782"/>
        <v>9.1905380350925769E-2</v>
      </c>
      <c r="BY432" s="606">
        <f t="shared" si="2783"/>
        <v>0.56511752411016825</v>
      </c>
      <c r="BZ432" s="606">
        <f t="shared" si="2784"/>
        <v>3.7059529014513481E-2</v>
      </c>
      <c r="CA432" s="606">
        <f t="shared" si="2784"/>
        <v>5.7800797881834898E-2</v>
      </c>
      <c r="CB432" s="606">
        <f t="shared" si="2784"/>
        <v>0.18834985422559636</v>
      </c>
      <c r="CC432" s="606">
        <f t="shared" si="2784"/>
        <v>0.65003640432875232</v>
      </c>
      <c r="CD432" s="606">
        <f t="shared" si="2784"/>
        <v>2.7728095084513744</v>
      </c>
      <c r="CE432" s="606">
        <f t="shared" si="2784"/>
        <v>1.132728465381553</v>
      </c>
      <c r="CF432" s="606" t="e">
        <f t="shared" si="2784"/>
        <v>#DIV/0!</v>
      </c>
      <c r="CG432" s="606">
        <f t="shared" si="2784"/>
        <v>1.3343547965584688</v>
      </c>
      <c r="CH432" s="606">
        <f t="shared" si="2784"/>
        <v>1.2665202746834989</v>
      </c>
      <c r="CI432" s="606">
        <f t="shared" si="2784"/>
        <v>1.0151941949509222</v>
      </c>
      <c r="CJ432" s="606">
        <v>8.6735387292626642E-2</v>
      </c>
      <c r="CK432" s="606">
        <f t="shared" si="2784"/>
        <v>-8.6324353324882419E-2</v>
      </c>
      <c r="CL432" s="606" t="e">
        <f t="shared" si="2785"/>
        <v>#DIV/0!</v>
      </c>
      <c r="CM432" s="606" t="e">
        <f t="shared" si="2786"/>
        <v>#DIV/0!</v>
      </c>
      <c r="CN432" s="606">
        <f t="shared" si="2787"/>
        <v>1.7743445937906221E-2</v>
      </c>
      <c r="CO432" s="606" t="e">
        <f t="shared" si="2788"/>
        <v>#DIV/0!</v>
      </c>
    </row>
    <row r="433" spans="1:93" s="289" customFormat="1" x14ac:dyDescent="0.25">
      <c r="A433" s="543" t="str">
        <f>Language!C353</f>
        <v>Transbrasiliana</v>
      </c>
      <c r="B433" s="610"/>
      <c r="C433" s="610"/>
      <c r="D433" s="610"/>
      <c r="E433" s="610"/>
      <c r="F433" s="611"/>
      <c r="G433" s="610"/>
      <c r="H433" s="610"/>
      <c r="I433" s="610"/>
      <c r="J433" s="611"/>
      <c r="K433" s="610"/>
      <c r="L433" s="610"/>
      <c r="M433" s="610"/>
      <c r="N433" s="611"/>
      <c r="O433" s="610"/>
      <c r="P433" s="610"/>
      <c r="Q433" s="610"/>
      <c r="R433" s="611"/>
      <c r="S433" s="610"/>
      <c r="T433" s="610"/>
      <c r="U433" s="610"/>
      <c r="V433" s="610"/>
      <c r="W433" s="612"/>
      <c r="X433" s="613"/>
      <c r="Y433" s="614">
        <f>Y427/R427-1</f>
        <v>0.16217742011089387</v>
      </c>
      <c r="Z433" s="612">
        <f t="shared" si="2789"/>
        <v>0.16226120277841116</v>
      </c>
      <c r="AA433" s="612">
        <f t="shared" si="2789"/>
        <v>0.16219657993034531</v>
      </c>
      <c r="AB433" s="610">
        <f t="shared" si="2791"/>
        <v>8.5115321598117744E-2</v>
      </c>
      <c r="AC433" s="612">
        <f t="shared" si="2738"/>
        <v>0.16222002248349132</v>
      </c>
      <c r="AD433" s="612">
        <f t="shared" si="2738"/>
        <v>0.16221210607931513</v>
      </c>
      <c r="AE433" s="613">
        <f t="shared" si="2738"/>
        <v>0.15749014866359712</v>
      </c>
      <c r="AF433" s="612">
        <f>AF427/Y427-1</f>
        <v>0.11611700834958927</v>
      </c>
      <c r="AG433" s="612">
        <f t="shared" si="2739"/>
        <v>0.11619519944985779</v>
      </c>
      <c r="AH433" s="612">
        <f t="shared" si="2739"/>
        <v>0.11644051904079511</v>
      </c>
      <c r="AI433" s="610">
        <f t="shared" si="2764"/>
        <v>0.1086762940880408</v>
      </c>
      <c r="AJ433" s="612">
        <f t="shared" si="2765"/>
        <v>0.11615631804565796</v>
      </c>
      <c r="AK433" s="612">
        <f t="shared" si="2766"/>
        <v>0.11625556218280608</v>
      </c>
      <c r="AL433" s="612">
        <f t="shared" si="2767"/>
        <v>0.11651420230086229</v>
      </c>
      <c r="AM433" s="612">
        <f t="shared" si="2760"/>
        <v>0.12508267525331518</v>
      </c>
      <c r="AN433" s="612">
        <f t="shared" ref="AN433:AP433" si="2793">AN427/AG427-1</f>
        <v>4.0716632070410652E-2</v>
      </c>
      <c r="AO433" s="612">
        <f t="shared" si="2793"/>
        <v>8.314989591068378E-2</v>
      </c>
      <c r="AP433" s="612">
        <f t="shared" si="2793"/>
        <v>0.30977681878398822</v>
      </c>
      <c r="AQ433" s="612">
        <f>AQ427/AJ427-1</f>
        <v>8.3387765527759061E-2</v>
      </c>
      <c r="AR433" s="612">
        <f t="shared" si="2763"/>
        <v>8.3304195513628887E-2</v>
      </c>
      <c r="AS433" s="612">
        <f t="shared" si="2763"/>
        <v>0.1212089674310084</v>
      </c>
      <c r="AT433" s="612">
        <f t="shared" si="2763"/>
        <v>-3.6971869934042445E-2</v>
      </c>
      <c r="AU433" s="612">
        <f t="shared" si="2763"/>
        <v>4.0881308358322155E-2</v>
      </c>
      <c r="AV433" s="612">
        <f t="shared" si="2769"/>
        <v>-0.12708661602056426</v>
      </c>
      <c r="AW433" s="612">
        <f t="shared" si="2769"/>
        <v>2.4481576960777574E-5</v>
      </c>
      <c r="AX433" s="612">
        <f t="shared" si="2770"/>
        <v>-1.3728544778657259E-5</v>
      </c>
      <c r="AY433" s="612">
        <f t="shared" si="2770"/>
        <v>1.6072288138158086E-6</v>
      </c>
      <c r="AZ433" s="612">
        <f t="shared" si="2770"/>
        <v>-3.5361695923517011E-2</v>
      </c>
      <c r="BA433" s="612">
        <f t="shared" si="2770"/>
        <v>-2.5833292219612503E-5</v>
      </c>
      <c r="BB433" s="612">
        <f t="shared" si="2770"/>
        <v>-0.51960555758692184</v>
      </c>
      <c r="BC433" s="612">
        <f t="shared" si="2771"/>
        <v>-4.3165512937259898E-5</v>
      </c>
      <c r="BD433" s="612">
        <f t="shared" si="2771"/>
        <v>-2.1786978025573056E-5</v>
      </c>
      <c r="BE433" s="612">
        <f t="shared" si="2772"/>
        <v>2.0078883087082389E-5</v>
      </c>
      <c r="BF433" s="612">
        <f t="shared" si="2772"/>
        <v>-2.9260137577313827E-6</v>
      </c>
      <c r="BG433" s="612">
        <f t="shared" si="2772"/>
        <v>-7.7079813758373916E-6</v>
      </c>
      <c r="BH433" s="612">
        <f t="shared" si="2772"/>
        <v>0.13065722061361629</v>
      </c>
      <c r="BI433" s="612">
        <f t="shared" si="2773"/>
        <v>1.973543294771384</v>
      </c>
      <c r="BJ433" s="612">
        <f t="shared" si="2774"/>
        <v>0.48077766961411639</v>
      </c>
      <c r="BK433" s="612">
        <f t="shared" si="2775"/>
        <v>0.48079352758947769</v>
      </c>
      <c r="BL433" s="612">
        <f t="shared" si="2776"/>
        <v>0.28006986753569851</v>
      </c>
      <c r="BM433" s="612">
        <f t="shared" si="2776"/>
        <v>0.35052340994168585</v>
      </c>
      <c r="BN433" s="612">
        <f t="shared" si="2776"/>
        <v>0.38457074621673026</v>
      </c>
      <c r="BO433" s="612">
        <f t="shared" si="2776"/>
        <v>0.30965574986605438</v>
      </c>
      <c r="BP433" s="612">
        <f t="shared" si="2777"/>
        <v>3.6672124518391191E-2</v>
      </c>
      <c r="BQ433" s="612">
        <f t="shared" si="2778"/>
        <v>1.0642837334318145E-5</v>
      </c>
      <c r="BR433" s="612">
        <f t="shared" si="2779"/>
        <v>1.8513779752985737E-2</v>
      </c>
      <c r="BS433" s="612">
        <f t="shared" si="2780"/>
        <v>0.15678644944990539</v>
      </c>
      <c r="BT433" s="612">
        <f t="shared" si="2780"/>
        <v>9.6446796164261661E-2</v>
      </c>
      <c r="BU433" s="612">
        <f t="shared" si="2780"/>
        <v>7.4474537852544431E-2</v>
      </c>
      <c r="BV433" s="612">
        <f t="shared" si="2780"/>
        <v>3.9435636496408799E-2</v>
      </c>
      <c r="BW433" s="612">
        <f t="shared" si="2781"/>
        <v>3.8469217302260494E-2</v>
      </c>
      <c r="BX433" s="612">
        <f t="shared" si="2782"/>
        <v>0.1217139138976282</v>
      </c>
      <c r="BY433" s="612">
        <f t="shared" si="2783"/>
        <v>0.18482925491327817</v>
      </c>
      <c r="BZ433" s="612">
        <f t="shared" si="2784"/>
        <v>3.8953231792692167E-2</v>
      </c>
      <c r="CA433" s="612">
        <f t="shared" si="2784"/>
        <v>6.8543059713996213E-2</v>
      </c>
      <c r="CB433" s="612">
        <f t="shared" si="2784"/>
        <v>9.8146812596217492E-2</v>
      </c>
      <c r="CC433" s="612">
        <f t="shared" si="2784"/>
        <v>0.17446739618769769</v>
      </c>
      <c r="CD433" s="612">
        <f t="shared" si="2784"/>
        <v>0.17554696041343543</v>
      </c>
      <c r="CE433" s="612">
        <f t="shared" si="2784"/>
        <v>8.8320006659766914E-2</v>
      </c>
      <c r="CF433" s="612" t="e">
        <f t="shared" si="2784"/>
        <v>#DIV/0!</v>
      </c>
      <c r="CG433" s="612">
        <f t="shared" si="2784"/>
        <v>0.17500605407882053</v>
      </c>
      <c r="CH433" s="612">
        <f t="shared" si="2784"/>
        <v>0.14247050050751908</v>
      </c>
      <c r="CI433" s="612">
        <f t="shared" si="2784"/>
        <v>0.10684476937543819</v>
      </c>
      <c r="CJ433" s="612">
        <v>2.1284145956768752E-2</v>
      </c>
      <c r="CK433" s="612">
        <f t="shared" si="2784"/>
        <v>5.6049889746852655E-2</v>
      </c>
      <c r="CL433" s="612" t="e">
        <f t="shared" si="2785"/>
        <v>#DIV/0!</v>
      </c>
      <c r="CM433" s="612" t="e">
        <f t="shared" si="2786"/>
        <v>#DIV/0!</v>
      </c>
      <c r="CN433" s="612">
        <f t="shared" si="2787"/>
        <v>3.8551789702217176E-2</v>
      </c>
      <c r="CO433" s="612" t="e">
        <f t="shared" si="2788"/>
        <v>#DIV/0!</v>
      </c>
    </row>
  </sheetData>
  <phoneticPr fontId="41" type="noConversion"/>
  <pageMargins left="0.25" right="0.25" top="0.75" bottom="0.75" header="0.3" footer="0.3"/>
  <pageSetup paperSize="9" fitToHeight="0" orientation="landscape" r:id="rId1"/>
  <rowBreaks count="2" manualBreakCount="2">
    <brk id="84" max="16383" man="1"/>
    <brk id="300" max="16383" man="1"/>
  </rowBreaks>
  <colBreaks count="1" manualBreakCount="1">
    <brk id="5" max="1048575" man="1"/>
  </colBreaks>
  <ignoredErrors>
    <ignoredError sqref="B434:N434 B443:N523 B435:J442 B147:X152 Q405:Z408 P405:P407 B401:O407 Q409:Q421 R409:Z427 P401:Z404 B384:S394 X321:X324 V315:W324 O395:S397 B395:N400 B82:N84 B85:W85 B259:AF259 B224:AF224 B215:AF215 B153:AF153 B182:AF182 B199:AF206 Q299:AE299 O82:Q82 B299:P301 B293:S296 A86:W86 B226:W226 B217:W217 B170:W170 B184:W184 B253:W253 B155:W155 X271:AF271 X170:AF170 B116:AF116 X217:AF217 X155:AF155 X184:AF184 X226:AF226 X261:AF262 X265:AF265 X268:AF268 X274:AF274 AQ303 T384:AC397 B422:Q433 B408:P421 Y147:AF147 AQ309:AQ315 X208:AF208 B208:W208 X253:AF253 B244:AF251 Y293:AF293 Y294:AE294 T293:X294 Z230:AB230 Z232:AB232 B284:AF291 Z270:AB270 Z267:AB267 AD371:AF374 AD384:AF389 Z160:AB160 Z181:AB181 Z189:AB189 Z214:AB214 Z223:AB223 Z231:AB231 Z258:AB258 Z264:AB264 Z273:AB273 Z276:AB276 AD349 AD351:AJ351 AF353:AI353 AG337:AI338 AG325:AI326 AG328:AI329 AG331:AI332 Y148:AE152 AD342:AJ344 AD324:AE324 AD321:AJ323 T295:AE296 AG334:AI335 AG324:AJ324 AG327:AJ327 AG330:AJ330 AG333:AJ333 AG336:AJ336 AJ131:AK131 AJ155 AJ184 AJ139 AJ208 AJ147:AK147 AG6:AI9 AQ6:AQ7 AC10:AF10 Y10 AQ37:AQ38 B69:Q81 AG82:AI82 AG69:AI75 AQ71 AG66:AI66 AH65:AI65 AG64:AI64 AG60:AI60 AI58 AG54:AI56 AQ55 AG33:AI50 AG32:AH32 AG29:AI29 AG17:AI17 AN19:AN20 AG20:AI20 AG11:AI11 AH10:AJ10 AG13:AI14 AG12 AI12 AG31:AI31 AI30 AN29:AN31 AN62:AN64 AN66 AN78:AN82 AN22:AN27 AJ293:AN293 AJ140:AN144 AJ199:AN206 AJ253:AN253 AJ274:AN274 AJ268:AN268 AJ265:AN265 AJ261:AN262 AJ226:AN226 AJ176:AN176 AJ217:AN217 AJ192:AN192 AJ170:AN170 AJ271:AN271 AJ182:AL182 AJ153:AN153 AJ116:AN116 AJ109:AN109 AJ94:AN94 AG299:AN299 AM321:AN324 AL348:AN348 AL342:AN342 AM147:AN152 AM184:AN184 AM139:AN139 AN69:AN75 AN54:AN60 AN33:AN50 AN6:AN14 AN347 AD339:AN339 AM230:AN230 AM221:AN221 AN214 AN211 AM208:AN208 AM163:AN165 AM110:AN110 AJ384:AN389 AD390:AN397 AJ371:AN374 AD375:AN376 AJ355:AN355 AD362:AN370 X315:AN315 AA401:AN427 R432:AA433 Y85:AN85 O398:AN400 B303:AN303 Q300:AN301 O83:AN84 AD428:AH428 Y428:AA431 AC429:AH433 AD377:AM377 AJ86:AM86 AQ384:AQ427 AG22:AI27 B6:Q52 B54:Q67 AW362:AW374 AJ224:AL224 AQ217 AJ233:AN233 AQ226 B233:AF233 AQ208 AJ215:AL215 AQ116 AQ184 AJ190:AL190 B190:AF190 AQ131 AM131:AN131 B131:AF131 AQ155 AM155:AN155 AQ170 B87:W91 AQ83:AQ91 AJ87:AN91 Y86:AF91 X85:X91 AQ94 B94:AF94 AQ109 B109:AF109 AQ139:AQ144 B139:AF144 AQ163:AQ165 AQ192 B192:AF192 AQ147:AQ153 AQ199:AQ206 AJ284:AN291 AQ284:AQ291 AQ244:AQ251 AJ244:AN251 B297:AE298 AQ293:AQ301 AM294:AN298 AW355:AW360 AQ355:AQ360 B355:AF355 AQ253 AJ259:AL259 B315:U353 V339:X339 Y321:AC324 AQ321:AQ324 AW302:AW347 AW384:AW433 AQ380 B380:AN380 AW380 AW349 AW376:AW378 B362:AC378 AD378:AN378 AQ362:AQ378 AQ261:AQ262 B261:W262 B360:V360 B356:V356 Z356:AB356 B357:V357 Z357:AB357 B358:V358 Z358:AB358 B359:V359 Z359:AB359 Z360:AB360 B99:V99 B95:V95 Z95:AB95 B96:V96 Z96:AB96 B97:V97 Z97:AB97 B98:V98 Z98:AB98 Z99:AB99 B114:V114 B110:V110 Z110:AB110 B111:V111 Z111:AB111 B112:V112 Z112:AB112 B113:V113 Z113:AB113 Z114:AB114 B121:V121 B117:V117 Z117:AB117 B118:V118 Z118:AB118 B119:V119 Z119:AB119 B120:V120 Z120:AB120 Z121:AB121 B136:V136 B132:V132 Z132:AB132 B133:V133 Z133:AB133 B134:V134 Z134:AB134 B135:V135 Z135:AB135 Z136:AB136 B160:V160 B156:V156 B157:V157 B158:V158 B159:V159 B176:W176 B171:V171 B172:V172 B173:V173 B174:V174 B175:V175 B181:V181 B177:V177 B178:V178 B179:V179 B180:V180 B189:V189 B185:V185 B186:V186 B187:V187 B188:V188 B197:V197 B193:V193 Z193:AB193 B194:V194 Z194:AB194 B195:V195 Z195:AB195 B196:V196 Z196:AB196 Z197:AB197 B214:V214 B209:V209 B210:V210 B211:V211 B212:V212 B213:V213 B221:W221 B218:V218 B219:V219 B220:V220 B223:W223 B222:V222 B230:W230 B227:V227 B228:V228 B229:V229 B232:V232 B231:V231 B258:V258 B254:V254 B255:V255 B256:V256 B257:V257 B265:W265 B263:V263 B264:V264 B268:W268 B266:V266 B267:V267 B271:W271 B269:V269 B270:V270 B274:W274 B272:V272 B273:V273 B276:V276 B275:V275 V327:W327 V325 V326 V330:W330 V328 V329 V332:W333 V331 V335:W336 V334 V338:W338 V337 V342:X345 V340 V341 V353:W353 V349 V350 V351 V352 Z156:AB156 Z157:AB157 Z158:AB158 Z159:AB159 X176:AF176 Z171:AB171 Z172:AB172 Z173:AB173 Z174:AB174 Z175:AB175 Z177:AB177 Z178:AB178 Z179:AB179 Z180:AB180 Z185:AB185 Z186:AB186 Z187:AB187 Z188:AB188 Z209:AB209 Z210:AB210 Z211:AB211 Z212:AB212 Z213:AB213 Z218:AB218 Z219:AB219 Z220:AB220 Y221:AD221 Z222:AB222 Z229:AB229 Z227:AB227 Z228:AB228 Z254:AB254 Z255:AB255 Z256:AB256 Z257:AB257 Z263:AB263 Z266:AB266 Z269:AB269 Z272:AB272 Z275:AB275 X327 X330 X332:X333 X335:X336 V348:X348 V346:W346 V347:W347 Y327:AC327 Z325:AB325 Z326:AB326 Y330:AC330 Z328:AB328 Z329:AB329 Y333:AC333 Z331:AB331 Z332:AB332 Y336:AC336 Z334:AB334 Z335:AB335 Y339:AC339 Z337:AB337 Z338:AB338 Y342:AC344 Z340:AB340 Z341:AB341 Y348:AC351 Z345:AB345 Z346:AB346 Z347:AB347 Y353:AC353 Z352:AB352 AG19:AI19 AG59:AI59 AG78:AI78 AG79:AI79 AG80:AI80 AG81:AI81 AD327:AE327 AD330:AE330 AD333:AE333 AD336:AE336 AG341:AI341 AG340:AI340 AD348:AJ348 AG345:AI345 AG346:AI346 AG347:AI347 AG352:AI352 AF349:AI349 AD350 AF350:AJ350 AG62:AI62 AG63:AI63 AN95 AN96 AN97 AN98 AN99 AN111 AN112 AN113 AN114 AN117 AN118 AN119 AN120 AN121 AN136 AN132 AN133 AN134 AN135 AN160 AN156 AN157 AN158 AN159 AN168 AN166 AN167 AN171 AN172 AN173 AN174 AN175 AN177 AN178 AN179 AN180 AN181 AN182 AN189 AN185 AN186 AN187 AN188 AN190 AN193 AN194 AN195 AN196 AN197 AN209 AN210 AN212 AN213 AN215 AN218 AN219 AN220 AN222 AN223 AN224 AN227 AN228 AN229 AN231 AN232 AN254 AN255 AN256 AN257 AN258 AN259 AN263 AN264 AN266 AN267 AN269 AN270 AN272 AN273 AN275 AN276 AM326:AN327 AN325 AM330:AN330 AN328 AN329 AM332:AN333 AN331 AM335:AN336 AN334 AM338:AN338 AN337 AN340 AN341 AN343 AN344 AN345 AN346 AN349 AN350 AN351 AN352 AN353 AQ176 AQ265 AQ268 AQ271 AQ274 AQ327 AQ330 AQ332:AQ333 AQ335:AQ336 AQ339 AQ342:AQ344 AQ348 AQ351:AQ353 B309:AN314 B304:X304 Z304:AB304 B305:X305 Z305:AB305 B306:X306 Z306:AB306 B307:X307 Z307:AB307 B308:X308 Z308:AB308 X320 X316 Z316:AB316 X317 Z317:AB317 X318 Z318:AB318 X319 Z319:AB319 Z320:AB320 AG304:AI304 AG305:AI305 AG306:AI306 AG307:AI307 AG308:AI308 AG316 AG317 AG318 AG319 AG320 AN316 AN317 AN318 AN319 AN320 AM356:AN356 AM357:AN357 AM358:AN358 AM359:AN359 AM360:AN360 AN304 AN305 AN306 AN307 AN308 AI316 AL316 AI317 AL317 AI318 AL318 AI319 AL319 AI320 AL320"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CO276"/>
  <sheetViews>
    <sheetView showGridLines="0" zoomScale="80" zoomScaleNormal="80" workbookViewId="0">
      <pane xSplit="1" ySplit="5" topLeftCell="CD253" activePane="bottomRight" state="frozen"/>
      <selection activeCell="B6" sqref="B6"/>
      <selection pane="topRight" activeCell="B6" sqref="B6"/>
      <selection pane="bottomLeft" activeCell="B6" sqref="B6"/>
      <selection pane="bottomRight" activeCell="CK199" sqref="CK199"/>
    </sheetView>
  </sheetViews>
  <sheetFormatPr defaultColWidth="12.7265625" defaultRowHeight="12.5" x14ac:dyDescent="0.25"/>
  <cols>
    <col min="1" max="1" width="45.7265625" style="309" customWidth="1"/>
    <col min="2" max="4" width="12.7265625" style="309" customWidth="1"/>
    <col min="5" max="5" width="12.7265625" style="325" customWidth="1"/>
    <col min="6" max="8" width="12.7265625" style="309" customWidth="1"/>
    <col min="9" max="9" width="12.7265625" style="325" customWidth="1"/>
    <col min="10" max="12" width="12.7265625" style="309" customWidth="1"/>
    <col min="13" max="16" width="12.7265625" style="310" customWidth="1"/>
    <col min="17" max="17" width="10.26953125" style="310" customWidth="1"/>
    <col min="18" max="36" width="12.7265625" style="310" customWidth="1"/>
    <col min="37" max="37" width="12.7265625" style="309" customWidth="1"/>
    <col min="38" max="38" width="12.7265625" style="310" customWidth="1"/>
    <col min="39" max="39" width="12.7265625" style="310" hidden="1" customWidth="1"/>
    <col min="40" max="44" width="12.7265625" style="309" hidden="1" customWidth="1"/>
    <col min="45" max="45" width="12.7265625" style="310" hidden="1" customWidth="1"/>
    <col min="46" max="52" width="12.7265625" style="310" customWidth="1"/>
    <col min="53" max="16384" width="12.7265625" style="310"/>
  </cols>
  <sheetData>
    <row r="1" spans="1:93" x14ac:dyDescent="0.25">
      <c r="D1" s="310"/>
      <c r="E1" s="310"/>
      <c r="F1" s="310"/>
      <c r="G1" s="310"/>
      <c r="H1" s="310"/>
      <c r="I1" s="310"/>
      <c r="J1" s="310"/>
      <c r="K1" s="310"/>
      <c r="L1" s="310"/>
    </row>
    <row r="2" spans="1:93" x14ac:dyDescent="0.25">
      <c r="D2" s="310"/>
      <c r="E2" s="310"/>
      <c r="F2" s="310"/>
      <c r="G2" s="310"/>
      <c r="H2" s="310"/>
      <c r="I2" s="310"/>
      <c r="J2" s="310"/>
      <c r="K2" s="310"/>
      <c r="L2" s="310"/>
    </row>
    <row r="3" spans="1:93" x14ac:dyDescent="0.25">
      <c r="D3" s="310"/>
      <c r="E3" s="310"/>
      <c r="F3" s="310"/>
      <c r="G3" s="310"/>
      <c r="H3" s="310"/>
      <c r="I3" s="310"/>
      <c r="J3" s="310"/>
      <c r="K3" s="310"/>
      <c r="L3" s="310"/>
    </row>
    <row r="4" spans="1:93" s="394" customFormat="1" x14ac:dyDescent="0.25">
      <c r="A4" s="770"/>
      <c r="B4" s="770"/>
      <c r="C4" s="770"/>
      <c r="D4" s="771"/>
      <c r="E4" s="771"/>
      <c r="F4" s="771"/>
      <c r="G4" s="771"/>
      <c r="H4" s="771"/>
      <c r="I4" s="771"/>
      <c r="J4" s="771"/>
      <c r="K4" s="771"/>
      <c r="L4" s="771"/>
      <c r="M4" s="771"/>
      <c r="N4" s="771"/>
      <c r="O4" s="771"/>
      <c r="P4" s="771"/>
      <c r="Q4" s="771"/>
      <c r="R4" s="771"/>
      <c r="S4" s="771"/>
      <c r="T4" s="771"/>
      <c r="U4" s="771"/>
      <c r="V4" s="771"/>
      <c r="W4" s="771"/>
      <c r="X4" s="771"/>
      <c r="Y4" s="771"/>
      <c r="Z4" s="771"/>
      <c r="AA4" s="771"/>
      <c r="AB4" s="771"/>
      <c r="AC4" s="771"/>
      <c r="AD4" s="771"/>
      <c r="AE4" s="771"/>
      <c r="AF4" s="771"/>
      <c r="AG4" s="771"/>
      <c r="AH4" s="771"/>
      <c r="AI4" s="771"/>
      <c r="AJ4" s="771"/>
      <c r="AK4" s="770"/>
      <c r="AL4" s="771"/>
      <c r="AM4" s="771"/>
      <c r="AN4" s="770"/>
      <c r="AO4" s="770"/>
      <c r="AP4" s="770"/>
      <c r="AQ4" s="770"/>
      <c r="AR4" s="770"/>
      <c r="AS4" s="771"/>
      <c r="AT4" s="771"/>
    </row>
    <row r="5" spans="1:93" s="699" customFormat="1" ht="13" x14ac:dyDescent="0.3">
      <c r="A5" s="312" t="s">
        <v>679</v>
      </c>
      <c r="B5" s="312" t="str">
        <f>Language!AG8</f>
        <v>1T11</v>
      </c>
      <c r="C5" s="312" t="str">
        <f>Language!AH8</f>
        <v>2T11</v>
      </c>
      <c r="D5" s="312" t="str">
        <f>Language!AI8</f>
        <v>3T11</v>
      </c>
      <c r="E5" s="313" t="str">
        <f>Language!AJ8</f>
        <v>4T11</v>
      </c>
      <c r="F5" s="312" t="str">
        <f>Language!AK8</f>
        <v>1T12</v>
      </c>
      <c r="G5" s="312" t="str">
        <f>Language!AL8</f>
        <v>2T12</v>
      </c>
      <c r="H5" s="312" t="str">
        <f>Language!AM8</f>
        <v>3T12</v>
      </c>
      <c r="I5" s="313" t="str">
        <f>Language!AN8</f>
        <v>4T12</v>
      </c>
      <c r="J5" s="312" t="str">
        <f>Language!AO8</f>
        <v>1T13</v>
      </c>
      <c r="K5" s="312" t="str">
        <f>Language!AP8</f>
        <v>2T13</v>
      </c>
      <c r="L5" s="312" t="str">
        <f>Language!AQ8</f>
        <v>3T13</v>
      </c>
      <c r="M5" s="313" t="str">
        <f>Language!AR8</f>
        <v>4T13</v>
      </c>
      <c r="N5" s="312" t="str">
        <f>Language!AS8</f>
        <v>1T14</v>
      </c>
      <c r="O5" s="312" t="str">
        <f>Language!AT8</f>
        <v>2T14</v>
      </c>
      <c r="P5" s="312" t="str">
        <f>Language!AU8</f>
        <v>3T14</v>
      </c>
      <c r="Q5" s="313" t="str">
        <f>Language!AV8</f>
        <v>4T14</v>
      </c>
      <c r="R5" s="312" t="str">
        <f>Language!AW8</f>
        <v>1T15</v>
      </c>
      <c r="S5" s="312" t="str">
        <f>Language!AX8</f>
        <v>2T15</v>
      </c>
      <c r="T5" s="312" t="str">
        <f>Language!AY8</f>
        <v>3T15</v>
      </c>
      <c r="U5" s="312" t="s">
        <v>244</v>
      </c>
      <c r="V5" s="312" t="s">
        <v>638</v>
      </c>
      <c r="W5" s="312" t="s">
        <v>635</v>
      </c>
      <c r="X5" s="313" t="s">
        <v>636</v>
      </c>
      <c r="Y5" s="265" t="s">
        <v>245</v>
      </c>
      <c r="Z5" s="264" t="s">
        <v>246</v>
      </c>
      <c r="AA5" s="312" t="s">
        <v>247</v>
      </c>
      <c r="AB5" s="312" t="s">
        <v>248</v>
      </c>
      <c r="AC5" s="312" t="s">
        <v>641</v>
      </c>
      <c r="AD5" s="312" t="s">
        <v>643</v>
      </c>
      <c r="AE5" s="313" t="s">
        <v>645</v>
      </c>
      <c r="AF5" s="312" t="s">
        <v>249</v>
      </c>
      <c r="AG5" s="264" t="s">
        <v>250</v>
      </c>
      <c r="AH5" s="312" t="s">
        <v>251</v>
      </c>
      <c r="AI5" s="312" t="s">
        <v>252</v>
      </c>
      <c r="AJ5" s="264" t="s">
        <v>648</v>
      </c>
      <c r="AK5" s="264" t="s">
        <v>649</v>
      </c>
      <c r="AL5" s="313" t="s">
        <v>652</v>
      </c>
      <c r="AM5" s="312" t="s">
        <v>253</v>
      </c>
      <c r="AN5" s="264" t="s">
        <v>254</v>
      </c>
      <c r="AO5" s="264" t="s">
        <v>255</v>
      </c>
      <c r="AP5" s="264" t="s">
        <v>256</v>
      </c>
      <c r="AQ5" s="264" t="s">
        <v>669</v>
      </c>
      <c r="AR5" s="264" t="s">
        <v>681</v>
      </c>
      <c r="AS5" s="313" t="s">
        <v>683</v>
      </c>
      <c r="AT5" s="312" t="s">
        <v>257</v>
      </c>
      <c r="AU5" s="312" t="s">
        <v>258</v>
      </c>
      <c r="AV5" s="312" t="s">
        <v>259</v>
      </c>
      <c r="AW5" s="312" t="s">
        <v>260</v>
      </c>
      <c r="AX5" s="312" t="s">
        <v>688</v>
      </c>
      <c r="AY5" s="312" t="s">
        <v>689</v>
      </c>
      <c r="AZ5" s="312" t="s">
        <v>691</v>
      </c>
      <c r="BA5" s="312" t="s">
        <v>261</v>
      </c>
      <c r="BB5" s="312" t="s">
        <v>262</v>
      </c>
      <c r="BC5" s="312" t="s">
        <v>263</v>
      </c>
      <c r="BD5" s="312" t="s">
        <v>264</v>
      </c>
      <c r="BE5" s="312" t="s">
        <v>692</v>
      </c>
      <c r="BF5" s="312" t="s">
        <v>697</v>
      </c>
      <c r="BG5" s="312" t="s">
        <v>698</v>
      </c>
      <c r="BH5" s="312" t="s">
        <v>265</v>
      </c>
      <c r="BI5" s="312" t="s">
        <v>266</v>
      </c>
      <c r="BJ5" s="312" t="s">
        <v>267</v>
      </c>
      <c r="BK5" s="312" t="s">
        <v>268</v>
      </c>
      <c r="BL5" s="312" t="s">
        <v>699</v>
      </c>
      <c r="BM5" s="312" t="s">
        <v>710</v>
      </c>
      <c r="BN5" s="312" t="s">
        <v>717</v>
      </c>
      <c r="BO5" s="312" t="s">
        <v>720</v>
      </c>
      <c r="BP5" s="312" t="s">
        <v>727</v>
      </c>
      <c r="BQ5" s="312" t="s">
        <v>728</v>
      </c>
      <c r="BR5" s="312" t="s">
        <v>729</v>
      </c>
      <c r="BS5" s="312" t="s">
        <v>730</v>
      </c>
      <c r="BT5" s="312" t="s">
        <v>736</v>
      </c>
      <c r="BU5" s="312" t="s">
        <v>739</v>
      </c>
      <c r="BV5" s="312" t="s">
        <v>740</v>
      </c>
      <c r="BW5" s="312" t="s">
        <v>741</v>
      </c>
      <c r="BX5" s="312" t="s">
        <v>742</v>
      </c>
      <c r="BY5" s="312" t="s">
        <v>743</v>
      </c>
      <c r="BZ5" s="312" t="s">
        <v>744</v>
      </c>
      <c r="CA5" s="312" t="s">
        <v>749</v>
      </c>
      <c r="CB5" s="312" t="s">
        <v>750</v>
      </c>
      <c r="CC5" s="312" t="s">
        <v>753</v>
      </c>
      <c r="CD5" s="312" t="s">
        <v>754</v>
      </c>
      <c r="CE5" s="312" t="s">
        <v>755</v>
      </c>
      <c r="CF5" s="312" t="s">
        <v>756</v>
      </c>
      <c r="CG5" s="312" t="s">
        <v>757</v>
      </c>
      <c r="CH5" s="312" t="s">
        <v>758</v>
      </c>
      <c r="CI5" s="312" t="s">
        <v>759</v>
      </c>
      <c r="CJ5" s="312" t="s">
        <v>763</v>
      </c>
      <c r="CK5" s="312" t="s">
        <v>768</v>
      </c>
      <c r="CL5" s="312" t="s">
        <v>769</v>
      </c>
      <c r="CM5" s="312" t="s">
        <v>770</v>
      </c>
      <c r="CN5" s="312" t="s">
        <v>771</v>
      </c>
      <c r="CO5" s="312" t="s">
        <v>772</v>
      </c>
    </row>
    <row r="6" spans="1:93" s="377" customFormat="1" ht="13" x14ac:dyDescent="0.3">
      <c r="A6" s="314" t="str">
        <f>Language!$G6</f>
        <v>ATIVO TOTAL</v>
      </c>
      <c r="B6" s="314">
        <f t="shared" ref="B6:J6" si="0">SUM(B7,B20)</f>
        <v>752121</v>
      </c>
      <c r="C6" s="314">
        <f t="shared" si="0"/>
        <v>816079</v>
      </c>
      <c r="D6" s="314">
        <f t="shared" si="0"/>
        <v>855275</v>
      </c>
      <c r="E6" s="315">
        <f t="shared" si="0"/>
        <v>1035923</v>
      </c>
      <c r="F6" s="314">
        <f t="shared" si="0"/>
        <v>1047167</v>
      </c>
      <c r="G6" s="314">
        <f t="shared" si="0"/>
        <v>1125010</v>
      </c>
      <c r="H6" s="314">
        <f t="shared" si="0"/>
        <v>1287864</v>
      </c>
      <c r="I6" s="315">
        <f t="shared" si="0"/>
        <v>1374504</v>
      </c>
      <c r="J6" s="314">
        <f t="shared" si="0"/>
        <v>1509238</v>
      </c>
      <c r="K6" s="314">
        <f t="shared" ref="K6:P6" si="1">SUM(K7,K20)</f>
        <v>1671042</v>
      </c>
      <c r="L6" s="314">
        <f t="shared" si="1"/>
        <v>1677408</v>
      </c>
      <c r="M6" s="315">
        <f t="shared" si="1"/>
        <v>1720701</v>
      </c>
      <c r="N6" s="314">
        <f t="shared" si="1"/>
        <v>1791538</v>
      </c>
      <c r="O6" s="314">
        <f t="shared" si="1"/>
        <v>1710124</v>
      </c>
      <c r="P6" s="314">
        <f t="shared" si="1"/>
        <v>1695433</v>
      </c>
      <c r="Q6" s="315">
        <f t="shared" ref="Q6" si="2">SUM(Q7,Q20)</f>
        <v>1690046</v>
      </c>
      <c r="R6" s="314">
        <v>1744110</v>
      </c>
      <c r="S6" s="314">
        <v>1691588</v>
      </c>
      <c r="T6" s="314">
        <v>1698526</v>
      </c>
      <c r="U6" s="314">
        <v>27065</v>
      </c>
      <c r="V6" s="314">
        <v>1691588</v>
      </c>
      <c r="W6" s="314">
        <v>1698526</v>
      </c>
      <c r="X6" s="314">
        <v>27065</v>
      </c>
      <c r="Y6" s="314">
        <f>Y7+Y20</f>
        <v>31239</v>
      </c>
      <c r="Z6" s="314">
        <f>AC6</f>
        <v>41912</v>
      </c>
      <c r="AA6" s="314">
        <f>AD6</f>
        <v>47542</v>
      </c>
      <c r="AB6" s="314">
        <f>AE6</f>
        <v>39590</v>
      </c>
      <c r="AC6" s="314">
        <f>AC7+AC20</f>
        <v>41912</v>
      </c>
      <c r="AD6" s="314">
        <f>AD7+AD20</f>
        <v>47542</v>
      </c>
      <c r="AE6" s="314">
        <f>AE7+AE20</f>
        <v>39590</v>
      </c>
      <c r="AF6" s="314">
        <f>AF7+AF20</f>
        <v>42307</v>
      </c>
      <c r="AG6" s="314">
        <f>AJ6</f>
        <v>44802</v>
      </c>
      <c r="AH6" s="314">
        <f t="shared" ref="AH6:AH64" si="3">AK6</f>
        <v>48835</v>
      </c>
      <c r="AI6" s="314">
        <f t="shared" ref="AI6:AI66" si="4">AL6</f>
        <v>45176</v>
      </c>
      <c r="AJ6" s="314">
        <f>AJ7+AJ20</f>
        <v>44802</v>
      </c>
      <c r="AK6" s="314">
        <f>AK7+AK20</f>
        <v>48835</v>
      </c>
      <c r="AL6" s="314">
        <f>AL7+AL20</f>
        <v>45176</v>
      </c>
      <c r="AM6" s="314">
        <f>AM7+AM20</f>
        <v>47799</v>
      </c>
      <c r="AN6" s="314">
        <f>AQ6</f>
        <v>48348</v>
      </c>
      <c r="AO6" s="314">
        <f>AR6</f>
        <v>61616</v>
      </c>
      <c r="AP6" s="314">
        <f>AS6</f>
        <v>63445</v>
      </c>
      <c r="AQ6" s="314">
        <f t="shared" ref="AQ6:BA6" si="5">AQ7+AQ20</f>
        <v>48348</v>
      </c>
      <c r="AR6" s="314">
        <f t="shared" si="5"/>
        <v>61616</v>
      </c>
      <c r="AS6" s="314">
        <f t="shared" si="5"/>
        <v>63445</v>
      </c>
      <c r="AT6" s="314">
        <f t="shared" si="5"/>
        <v>60491</v>
      </c>
      <c r="AU6" s="314">
        <f t="shared" si="5"/>
        <v>97141</v>
      </c>
      <c r="AV6" s="314">
        <f t="shared" si="5"/>
        <v>70807</v>
      </c>
      <c r="AW6" s="314">
        <f t="shared" si="5"/>
        <v>53358</v>
      </c>
      <c r="AX6" s="314">
        <f t="shared" si="5"/>
        <v>97141</v>
      </c>
      <c r="AY6" s="314">
        <f t="shared" si="5"/>
        <v>70807</v>
      </c>
      <c r="AZ6" s="314">
        <f t="shared" si="5"/>
        <v>53358</v>
      </c>
      <c r="BA6" s="314">
        <f t="shared" si="5"/>
        <v>62265</v>
      </c>
      <c r="BB6" s="314">
        <f t="shared" ref="BB6:BD6" si="6">BB7+BB20</f>
        <v>66407</v>
      </c>
      <c r="BC6" s="314">
        <f t="shared" si="6"/>
        <v>68119</v>
      </c>
      <c r="BD6" s="314">
        <f t="shared" si="6"/>
        <v>58441</v>
      </c>
      <c r="BE6" s="314">
        <f>BE7+BE20</f>
        <v>66407</v>
      </c>
      <c r="BF6" s="314">
        <f>BF7+BF20</f>
        <v>68119</v>
      </c>
      <c r="BG6" s="314">
        <f>BG7+BG20</f>
        <v>58441</v>
      </c>
      <c r="BH6" s="314">
        <f>BH7+BH20</f>
        <v>61554</v>
      </c>
      <c r="BI6" s="314">
        <f t="shared" ref="BI6:BL6" si="7">BI7+BI20</f>
        <v>61293</v>
      </c>
      <c r="BJ6" s="314">
        <f t="shared" si="7"/>
        <v>72302</v>
      </c>
      <c r="BK6" s="314">
        <f t="shared" si="7"/>
        <v>60318</v>
      </c>
      <c r="BL6" s="314">
        <f t="shared" si="7"/>
        <v>61293</v>
      </c>
      <c r="BM6" s="314">
        <f t="shared" ref="BM6:BN6" si="8">BM7+BM20</f>
        <v>72302</v>
      </c>
      <c r="BN6" s="314">
        <f t="shared" si="8"/>
        <v>60318</v>
      </c>
      <c r="BO6" s="314">
        <f t="shared" ref="BO6:BS6" si="9">BO7+BO20</f>
        <v>69042</v>
      </c>
      <c r="BP6" s="314">
        <f t="shared" si="9"/>
        <v>79045</v>
      </c>
      <c r="BQ6" s="314">
        <f t="shared" si="9"/>
        <v>92553</v>
      </c>
      <c r="BR6" s="314">
        <f t="shared" si="9"/>
        <v>90719</v>
      </c>
      <c r="BS6" s="314">
        <f t="shared" si="9"/>
        <v>79045</v>
      </c>
      <c r="BT6" s="314">
        <f t="shared" ref="BT6:BU6" si="10">BT7+BT20</f>
        <v>92553</v>
      </c>
      <c r="BU6" s="314">
        <f t="shared" si="10"/>
        <v>90719</v>
      </c>
      <c r="BV6" s="314">
        <f t="shared" ref="BV6:BY6" si="11">BV7+BV20</f>
        <v>97586</v>
      </c>
      <c r="BW6" s="314">
        <f t="shared" si="11"/>
        <v>102366</v>
      </c>
      <c r="BX6" s="314">
        <f t="shared" si="11"/>
        <v>106743</v>
      </c>
      <c r="BY6" s="314">
        <f t="shared" si="11"/>
        <v>90401</v>
      </c>
      <c r="BZ6" s="314">
        <f t="shared" ref="BZ6:CA6" si="12">BZ7+BZ20</f>
        <v>102366</v>
      </c>
      <c r="CA6" s="314">
        <f t="shared" si="12"/>
        <v>106743</v>
      </c>
      <c r="CB6" s="314">
        <f t="shared" ref="CB6:CC6" si="13">CB7+CB20</f>
        <v>90401</v>
      </c>
      <c r="CC6" s="314">
        <f t="shared" si="13"/>
        <v>109003</v>
      </c>
      <c r="CD6" s="314">
        <f t="shared" ref="CD6" si="14">CD7+CD20</f>
        <v>107008</v>
      </c>
      <c r="CE6" s="314">
        <f t="shared" ref="CE6:CG6" si="15">CE7+CE20</f>
        <v>115781</v>
      </c>
      <c r="CF6" s="314">
        <f t="shared" si="15"/>
        <v>89060</v>
      </c>
      <c r="CG6" s="314">
        <f t="shared" si="15"/>
        <v>107008</v>
      </c>
      <c r="CH6" s="314">
        <f t="shared" ref="CH6:CI6" si="16">CH7+CH20</f>
        <v>115781</v>
      </c>
      <c r="CI6" s="314">
        <f t="shared" si="16"/>
        <v>89060</v>
      </c>
      <c r="CJ6" s="314">
        <v>99577</v>
      </c>
      <c r="CK6" s="314">
        <f t="shared" ref="CK6:CO6" si="17">CK7+CK20</f>
        <v>133721</v>
      </c>
      <c r="CL6" s="314">
        <f t="shared" si="17"/>
        <v>0</v>
      </c>
      <c r="CM6" s="314">
        <f t="shared" si="17"/>
        <v>0</v>
      </c>
      <c r="CN6" s="314">
        <f t="shared" si="17"/>
        <v>133721</v>
      </c>
      <c r="CO6" s="314">
        <f t="shared" si="17"/>
        <v>0</v>
      </c>
    </row>
    <row r="7" spans="1:93" s="377" customFormat="1" ht="13" x14ac:dyDescent="0.3">
      <c r="A7" s="317" t="str">
        <f>Language!$G7</f>
        <v>Ativo Circulante</v>
      </c>
      <c r="B7" s="317">
        <f t="shared" ref="B7:K7" si="18">SUM(B8:B19)</f>
        <v>35915</v>
      </c>
      <c r="C7" s="317">
        <f t="shared" si="18"/>
        <v>41512</v>
      </c>
      <c r="D7" s="317">
        <f t="shared" si="18"/>
        <v>51570</v>
      </c>
      <c r="E7" s="318">
        <f t="shared" si="18"/>
        <v>159812</v>
      </c>
      <c r="F7" s="317">
        <f t="shared" si="18"/>
        <v>85942</v>
      </c>
      <c r="G7" s="317">
        <f t="shared" si="18"/>
        <v>83738</v>
      </c>
      <c r="H7" s="317">
        <f t="shared" si="18"/>
        <v>126349</v>
      </c>
      <c r="I7" s="318">
        <f t="shared" si="18"/>
        <v>67217</v>
      </c>
      <c r="J7" s="317">
        <f t="shared" si="18"/>
        <v>61413</v>
      </c>
      <c r="K7" s="317">
        <f t="shared" si="18"/>
        <v>54827</v>
      </c>
      <c r="L7" s="317">
        <f t="shared" ref="L7:M7" si="19">SUM(L8:L19)</f>
        <v>54670</v>
      </c>
      <c r="M7" s="318">
        <f t="shared" si="19"/>
        <v>60814</v>
      </c>
      <c r="N7" s="317">
        <f t="shared" ref="N7:P7" si="20">SUM(N8:N19)</f>
        <v>137012</v>
      </c>
      <c r="O7" s="317">
        <f t="shared" si="20"/>
        <v>61857</v>
      </c>
      <c r="P7" s="317">
        <f t="shared" si="20"/>
        <v>54267</v>
      </c>
      <c r="Q7" s="318">
        <f t="shared" ref="Q7" si="21">SUM(Q8:Q19)</f>
        <v>52896</v>
      </c>
      <c r="R7" s="317">
        <v>120812</v>
      </c>
      <c r="S7" s="317">
        <v>82292</v>
      </c>
      <c r="T7" s="317">
        <v>56943</v>
      </c>
      <c r="U7" s="317">
        <v>14062</v>
      </c>
      <c r="V7" s="317">
        <v>82292</v>
      </c>
      <c r="W7" s="317">
        <v>56943</v>
      </c>
      <c r="X7" s="317">
        <v>14062</v>
      </c>
      <c r="Y7" s="317">
        <f>SUM(Y8:Y19)</f>
        <v>18062</v>
      </c>
      <c r="Z7" s="317">
        <f t="shared" ref="Z7:Z65" si="22">AC7</f>
        <v>21972</v>
      </c>
      <c r="AA7" s="317">
        <f t="shared" ref="AA7:AA65" si="23">AD7</f>
        <v>23500</v>
      </c>
      <c r="AB7" s="317">
        <f t="shared" ref="AB7:AB64" si="24">AE7</f>
        <v>28090</v>
      </c>
      <c r="AC7" s="317">
        <f>SUM(AC8:AC19)</f>
        <v>21972</v>
      </c>
      <c r="AD7" s="317">
        <f>SUM(AD8:AD19)</f>
        <v>23500</v>
      </c>
      <c r="AE7" s="317">
        <f>SUM(AE8:AE19)</f>
        <v>28090</v>
      </c>
      <c r="AF7" s="317">
        <f>SUM(AF8:AF19)</f>
        <v>20384</v>
      </c>
      <c r="AG7" s="317">
        <f t="shared" ref="AG7:AG64" si="25">AJ7</f>
        <v>18514</v>
      </c>
      <c r="AH7" s="317">
        <f t="shared" si="3"/>
        <v>21958</v>
      </c>
      <c r="AI7" s="317">
        <f t="shared" si="4"/>
        <v>18855</v>
      </c>
      <c r="AJ7" s="317">
        <f>SUM(AJ8:AJ19)</f>
        <v>18514</v>
      </c>
      <c r="AK7" s="317">
        <f>SUM(AK8:AK19)</f>
        <v>21958</v>
      </c>
      <c r="AL7" s="317">
        <f>SUM(AL8:AL19)</f>
        <v>18855</v>
      </c>
      <c r="AM7" s="317">
        <f>SUM(AM8:AM19)</f>
        <v>20423</v>
      </c>
      <c r="AN7" s="317">
        <f t="shared" ref="AN7:AP64" si="26">AQ7</f>
        <v>21224</v>
      </c>
      <c r="AO7" s="317">
        <f t="shared" si="26"/>
        <v>34639</v>
      </c>
      <c r="AP7" s="317">
        <f t="shared" si="26"/>
        <v>37832</v>
      </c>
      <c r="AQ7" s="317">
        <f t="shared" ref="AQ7:BA7" si="27">SUM(AQ8:AQ19)</f>
        <v>21224</v>
      </c>
      <c r="AR7" s="317">
        <f t="shared" si="27"/>
        <v>34639</v>
      </c>
      <c r="AS7" s="317">
        <f t="shared" si="27"/>
        <v>37832</v>
      </c>
      <c r="AT7" s="317">
        <f t="shared" si="27"/>
        <v>34170</v>
      </c>
      <c r="AU7" s="317">
        <f t="shared" si="27"/>
        <v>69805</v>
      </c>
      <c r="AV7" s="317">
        <f t="shared" si="27"/>
        <v>43593</v>
      </c>
      <c r="AW7" s="317">
        <f t="shared" si="27"/>
        <v>24396</v>
      </c>
      <c r="AX7" s="317">
        <f t="shared" si="27"/>
        <v>69805</v>
      </c>
      <c r="AY7" s="317">
        <f t="shared" si="27"/>
        <v>43593</v>
      </c>
      <c r="AZ7" s="317">
        <f t="shared" si="27"/>
        <v>24396</v>
      </c>
      <c r="BA7" s="317">
        <f t="shared" si="27"/>
        <v>32598</v>
      </c>
      <c r="BB7" s="317">
        <f t="shared" ref="BB7:BD7" si="28">SUM(BB8:BB19)</f>
        <v>36371</v>
      </c>
      <c r="BC7" s="317">
        <f t="shared" si="28"/>
        <v>37710</v>
      </c>
      <c r="BD7" s="317">
        <f t="shared" si="28"/>
        <v>27653</v>
      </c>
      <c r="BE7" s="317">
        <f>SUM(BE8:BE19)</f>
        <v>36371</v>
      </c>
      <c r="BF7" s="317">
        <f>SUM(BF8:BF19)</f>
        <v>37710</v>
      </c>
      <c r="BG7" s="317">
        <f>SUM(BG8:BG19)</f>
        <v>27653</v>
      </c>
      <c r="BH7" s="317">
        <f>SUM(BH8:BH19)</f>
        <v>29297</v>
      </c>
      <c r="BI7" s="317">
        <f t="shared" ref="BI7:BL7" si="29">SUM(BI8:BI19)</f>
        <v>27116</v>
      </c>
      <c r="BJ7" s="317">
        <f t="shared" si="29"/>
        <v>37864</v>
      </c>
      <c r="BK7" s="317">
        <f t="shared" si="29"/>
        <v>24578</v>
      </c>
      <c r="BL7" s="317">
        <f t="shared" si="29"/>
        <v>27116</v>
      </c>
      <c r="BM7" s="317">
        <f t="shared" ref="BM7:BN7" si="30">SUM(BM8:BM19)</f>
        <v>37864</v>
      </c>
      <c r="BN7" s="317">
        <f t="shared" si="30"/>
        <v>24578</v>
      </c>
      <c r="BO7" s="317">
        <f t="shared" ref="BO7:BS7" si="31">SUM(BO8:BO19)</f>
        <v>33511</v>
      </c>
      <c r="BP7" s="317">
        <f t="shared" si="31"/>
        <v>42884</v>
      </c>
      <c r="BQ7" s="317">
        <f t="shared" si="31"/>
        <v>55338</v>
      </c>
      <c r="BR7" s="317">
        <f t="shared" si="31"/>
        <v>35519</v>
      </c>
      <c r="BS7" s="317">
        <f t="shared" si="31"/>
        <v>42884</v>
      </c>
      <c r="BT7" s="317">
        <f t="shared" ref="BT7:BU7" si="32">SUM(BT8:BT19)</f>
        <v>55338</v>
      </c>
      <c r="BU7" s="317">
        <f t="shared" si="32"/>
        <v>35519</v>
      </c>
      <c r="BV7" s="317">
        <f t="shared" ref="BV7:BY7" si="33">SUM(BV8:BV19)</f>
        <v>42709</v>
      </c>
      <c r="BW7" s="317">
        <f t="shared" si="33"/>
        <v>46713</v>
      </c>
      <c r="BX7" s="317">
        <f t="shared" si="33"/>
        <v>52498</v>
      </c>
      <c r="BY7" s="317">
        <f t="shared" si="33"/>
        <v>36409</v>
      </c>
      <c r="BZ7" s="317">
        <f t="shared" ref="BZ7:CA7" si="34">SUM(BZ8:BZ19)</f>
        <v>46713</v>
      </c>
      <c r="CA7" s="317">
        <f t="shared" si="34"/>
        <v>52498</v>
      </c>
      <c r="CB7" s="317">
        <f t="shared" ref="CB7:CC7" si="35">SUM(CB8:CB19)</f>
        <v>36409</v>
      </c>
      <c r="CC7" s="317">
        <f t="shared" si="35"/>
        <v>55876</v>
      </c>
      <c r="CD7" s="317">
        <f t="shared" ref="CD7" si="36">SUM(CD8:CD19)</f>
        <v>54263</v>
      </c>
      <c r="CE7" s="317">
        <f t="shared" ref="CE7:CG7" si="37">SUM(CE8:CE19)</f>
        <v>62942</v>
      </c>
      <c r="CF7" s="317">
        <f t="shared" si="37"/>
        <v>34875</v>
      </c>
      <c r="CG7" s="317">
        <f t="shared" si="37"/>
        <v>54263</v>
      </c>
      <c r="CH7" s="317">
        <f t="shared" ref="CH7:CI7" si="38">SUM(CH8:CH19)</f>
        <v>62942</v>
      </c>
      <c r="CI7" s="317">
        <f t="shared" si="38"/>
        <v>34875</v>
      </c>
      <c r="CJ7" s="317">
        <v>45229</v>
      </c>
      <c r="CK7" s="317">
        <f t="shared" ref="CK7:CO7" si="39">SUM(CK8:CK19)</f>
        <v>62030</v>
      </c>
      <c r="CL7" s="317">
        <f t="shared" si="39"/>
        <v>0</v>
      </c>
      <c r="CM7" s="317">
        <f t="shared" si="39"/>
        <v>0</v>
      </c>
      <c r="CN7" s="317">
        <f t="shared" si="39"/>
        <v>62030</v>
      </c>
      <c r="CO7" s="317">
        <f t="shared" si="39"/>
        <v>0</v>
      </c>
    </row>
    <row r="8" spans="1:93" x14ac:dyDescent="0.25">
      <c r="A8" s="319" t="str">
        <f>Language!$G8</f>
        <v>Disponibilidades</v>
      </c>
      <c r="B8" s="320">
        <v>323</v>
      </c>
      <c r="C8" s="320">
        <v>2167</v>
      </c>
      <c r="D8" s="320">
        <v>4715</v>
      </c>
      <c r="E8" s="321">
        <v>98557</v>
      </c>
      <c r="F8" s="320">
        <v>13766</v>
      </c>
      <c r="G8" s="320">
        <v>4725</v>
      </c>
      <c r="H8" s="320">
        <v>37139</v>
      </c>
      <c r="I8" s="321">
        <v>11998</v>
      </c>
      <c r="J8" s="320">
        <v>7675</v>
      </c>
      <c r="K8" s="320">
        <v>6128</v>
      </c>
      <c r="L8" s="320">
        <v>8500</v>
      </c>
      <c r="M8" s="321">
        <v>3339</v>
      </c>
      <c r="N8" s="320">
        <v>4669</v>
      </c>
      <c r="O8" s="320">
        <v>13309</v>
      </c>
      <c r="P8" s="320">
        <v>10303</v>
      </c>
      <c r="Q8" s="321">
        <v>13021</v>
      </c>
      <c r="R8" s="320">
        <v>30548</v>
      </c>
      <c r="S8" s="322">
        <v>16170</v>
      </c>
      <c r="T8" s="320">
        <v>22614</v>
      </c>
      <c r="U8" s="322">
        <v>1929</v>
      </c>
      <c r="V8" s="320">
        <v>16170</v>
      </c>
      <c r="W8" s="320">
        <v>22614</v>
      </c>
      <c r="X8" s="321">
        <v>1929</v>
      </c>
      <c r="Y8" s="320">
        <v>3910</v>
      </c>
      <c r="Z8" s="322">
        <f t="shared" si="22"/>
        <v>4852</v>
      </c>
      <c r="AA8" s="320">
        <f t="shared" si="23"/>
        <v>4703</v>
      </c>
      <c r="AB8" s="322">
        <f t="shared" si="24"/>
        <v>5513</v>
      </c>
      <c r="AC8" s="322">
        <v>4852</v>
      </c>
      <c r="AD8" s="322">
        <v>4703</v>
      </c>
      <c r="AE8" s="321">
        <v>5513</v>
      </c>
      <c r="AF8" s="322">
        <v>7562</v>
      </c>
      <c r="AG8" s="322">
        <f t="shared" si="25"/>
        <v>6152</v>
      </c>
      <c r="AH8" s="320">
        <f t="shared" si="3"/>
        <v>7574</v>
      </c>
      <c r="AI8" s="322">
        <f t="shared" si="4"/>
        <v>5763</v>
      </c>
      <c r="AJ8" s="322">
        <v>6152</v>
      </c>
      <c r="AK8" s="322">
        <v>7574</v>
      </c>
      <c r="AL8" s="321">
        <v>5763</v>
      </c>
      <c r="AM8" s="322">
        <v>6930</v>
      </c>
      <c r="AN8" s="322">
        <f t="shared" si="26"/>
        <v>8597</v>
      </c>
      <c r="AO8" s="322">
        <f t="shared" si="26"/>
        <v>13969</v>
      </c>
      <c r="AP8" s="322">
        <f t="shared" si="26"/>
        <v>21354</v>
      </c>
      <c r="AQ8" s="322">
        <v>8597</v>
      </c>
      <c r="AR8" s="322">
        <v>13969</v>
      </c>
      <c r="AS8" s="321">
        <v>21354</v>
      </c>
      <c r="AT8" s="322">
        <v>15853</v>
      </c>
      <c r="AU8" s="322">
        <v>16714</v>
      </c>
      <c r="AV8" s="322">
        <f>AY8</f>
        <v>17459</v>
      </c>
      <c r="AW8" s="322">
        <f>AZ8</f>
        <v>8718</v>
      </c>
      <c r="AX8" s="322">
        <f>AU8</f>
        <v>16714</v>
      </c>
      <c r="AY8" s="322">
        <v>17459</v>
      </c>
      <c r="AZ8" s="322">
        <v>8718</v>
      </c>
      <c r="BA8" s="322">
        <v>14265</v>
      </c>
      <c r="BB8" s="322">
        <f>BE8</f>
        <v>15404</v>
      </c>
      <c r="BC8" s="322">
        <f>BF8</f>
        <v>9826</v>
      </c>
      <c r="BD8" s="322">
        <f>BG8</f>
        <v>8714</v>
      </c>
      <c r="BE8" s="383">
        <v>15404</v>
      </c>
      <c r="BF8" s="383">
        <v>9826</v>
      </c>
      <c r="BG8" s="383">
        <v>8714</v>
      </c>
      <c r="BH8" s="383">
        <v>9176</v>
      </c>
      <c r="BI8" s="383">
        <f>BL8</f>
        <v>3196</v>
      </c>
      <c r="BJ8" s="383">
        <f>BM8</f>
        <v>8232</v>
      </c>
      <c r="BK8" s="383">
        <f>BN8</f>
        <v>6449</v>
      </c>
      <c r="BL8" s="383">
        <v>3196</v>
      </c>
      <c r="BM8" s="383">
        <v>8232</v>
      </c>
      <c r="BN8" s="383">
        <v>6449</v>
      </c>
      <c r="BO8" s="383">
        <v>12128</v>
      </c>
      <c r="BP8" s="383">
        <f>BS8</f>
        <v>16737</v>
      </c>
      <c r="BQ8" s="383">
        <f>BT8</f>
        <v>22421</v>
      </c>
      <c r="BR8" s="383">
        <f>BU8</f>
        <v>19081</v>
      </c>
      <c r="BS8" s="383">
        <v>16737</v>
      </c>
      <c r="BT8" s="383">
        <v>22421</v>
      </c>
      <c r="BU8" s="383">
        <v>19081</v>
      </c>
      <c r="BV8" s="383">
        <v>20877</v>
      </c>
      <c r="BW8" s="383">
        <f>BZ8</f>
        <v>20985</v>
      </c>
      <c r="BX8" s="383">
        <f>CA8</f>
        <v>21712</v>
      </c>
      <c r="BY8" s="383">
        <f>CB8</f>
        <v>14582</v>
      </c>
      <c r="BZ8" s="383">
        <v>20985</v>
      </c>
      <c r="CA8" s="383">
        <v>21712</v>
      </c>
      <c r="CB8" s="383">
        <v>14582</v>
      </c>
      <c r="CC8" s="383">
        <v>22580</v>
      </c>
      <c r="CD8" s="383">
        <f>CG8</f>
        <v>29142</v>
      </c>
      <c r="CE8" s="383">
        <f>CH8</f>
        <v>32091</v>
      </c>
      <c r="CF8" s="383">
        <f>CI8</f>
        <v>17240</v>
      </c>
      <c r="CG8" s="383">
        <v>29142</v>
      </c>
      <c r="CH8" s="383">
        <v>32091</v>
      </c>
      <c r="CI8" s="383">
        <v>17240</v>
      </c>
      <c r="CJ8" s="383">
        <v>23007</v>
      </c>
      <c r="CK8" s="383">
        <f>CN8</f>
        <v>17327</v>
      </c>
      <c r="CL8" s="383"/>
      <c r="CM8" s="383"/>
      <c r="CN8" s="383">
        <v>17327</v>
      </c>
      <c r="CO8" s="383"/>
    </row>
    <row r="9" spans="1:93" x14ac:dyDescent="0.25">
      <c r="A9" s="319" t="str">
        <f>Language!$G9</f>
        <v>Aplicações Financeiras Vinculadas</v>
      </c>
      <c r="B9" s="320">
        <v>13552</v>
      </c>
      <c r="C9" s="320">
        <v>12999</v>
      </c>
      <c r="D9" s="320">
        <v>13386</v>
      </c>
      <c r="E9" s="321">
        <v>17625</v>
      </c>
      <c r="F9" s="320">
        <v>22135</v>
      </c>
      <c r="G9" s="320">
        <v>14671</v>
      </c>
      <c r="H9" s="320">
        <v>22541</v>
      </c>
      <c r="I9" s="321">
        <v>12201</v>
      </c>
      <c r="J9" s="320">
        <v>12179</v>
      </c>
      <c r="K9" s="320">
        <v>15206</v>
      </c>
      <c r="L9" s="320">
        <v>15440</v>
      </c>
      <c r="M9" s="321">
        <v>12961</v>
      </c>
      <c r="N9" s="320">
        <v>15044</v>
      </c>
      <c r="O9" s="320">
        <v>14651</v>
      </c>
      <c r="P9" s="320">
        <v>15630</v>
      </c>
      <c r="Q9" s="321">
        <v>12871</v>
      </c>
      <c r="R9" s="320">
        <v>32808</v>
      </c>
      <c r="S9" s="322">
        <v>32166</v>
      </c>
      <c r="T9" s="320">
        <v>43394</v>
      </c>
      <c r="U9" s="322">
        <v>4551</v>
      </c>
      <c r="V9" s="320">
        <v>32166</v>
      </c>
      <c r="W9" s="320">
        <v>43394</v>
      </c>
      <c r="X9" s="321">
        <v>4551</v>
      </c>
      <c r="Y9" s="320">
        <v>4749</v>
      </c>
      <c r="Z9" s="322">
        <f t="shared" si="22"/>
        <v>4911</v>
      </c>
      <c r="AA9" s="320">
        <f t="shared" si="23"/>
        <v>5750</v>
      </c>
      <c r="AB9" s="322">
        <f t="shared" si="24"/>
        <v>5797</v>
      </c>
      <c r="AC9" s="322">
        <v>4911</v>
      </c>
      <c r="AD9" s="322">
        <v>5750</v>
      </c>
      <c r="AE9" s="321">
        <v>5797</v>
      </c>
      <c r="AF9" s="322">
        <v>4633</v>
      </c>
      <c r="AG9" s="322">
        <f t="shared" si="25"/>
        <v>3223</v>
      </c>
      <c r="AH9" s="320">
        <f t="shared" si="3"/>
        <v>3296</v>
      </c>
      <c r="AI9" s="322">
        <f t="shared" si="4"/>
        <v>3493</v>
      </c>
      <c r="AJ9" s="322">
        <v>3223</v>
      </c>
      <c r="AK9" s="322">
        <v>3296</v>
      </c>
      <c r="AL9" s="321">
        <v>3493</v>
      </c>
      <c r="AM9" s="322">
        <v>3804</v>
      </c>
      <c r="AN9" s="322">
        <f t="shared" si="26"/>
        <v>3210</v>
      </c>
      <c r="AO9" s="322">
        <f t="shared" si="26"/>
        <v>3253</v>
      </c>
      <c r="AP9" s="322">
        <f t="shared" si="26"/>
        <v>3214</v>
      </c>
      <c r="AQ9" s="322">
        <v>3210</v>
      </c>
      <c r="AR9" s="322">
        <v>3253</v>
      </c>
      <c r="AS9" s="321">
        <v>3214</v>
      </c>
      <c r="AT9" s="322">
        <v>3253</v>
      </c>
      <c r="AU9" s="322">
        <v>3483</v>
      </c>
      <c r="AV9" s="322">
        <f t="shared" ref="AV9:AW19" si="40">AY9</f>
        <v>3534</v>
      </c>
      <c r="AW9" s="322">
        <f t="shared" si="40"/>
        <v>3412</v>
      </c>
      <c r="AX9" s="322">
        <f t="shared" ref="AX9:AX15" si="41">AU9</f>
        <v>3483</v>
      </c>
      <c r="AY9" s="322">
        <v>3534</v>
      </c>
      <c r="AZ9" s="322">
        <v>3412</v>
      </c>
      <c r="BA9" s="322">
        <v>3261</v>
      </c>
      <c r="BB9" s="322">
        <f t="shared" ref="BB9:BB19" si="42">BE9</f>
        <v>3250</v>
      </c>
      <c r="BC9" s="322">
        <f t="shared" ref="BC9:BC19" si="43">BF9</f>
        <v>3220</v>
      </c>
      <c r="BD9" s="322">
        <f t="shared" ref="BD9:BD19" si="44">BG9</f>
        <v>3989</v>
      </c>
      <c r="BE9" s="322">
        <v>3250</v>
      </c>
      <c r="BF9" s="322">
        <v>3220</v>
      </c>
      <c r="BG9" s="322">
        <v>3989</v>
      </c>
      <c r="BH9" s="322">
        <v>4009</v>
      </c>
      <c r="BI9" s="383">
        <f t="shared" ref="BI9:BI19" si="45">BL9</f>
        <v>4195</v>
      </c>
      <c r="BJ9" s="322">
        <f>BM9</f>
        <v>4089</v>
      </c>
      <c r="BK9" s="383">
        <f t="shared" ref="BK9:BK19" si="46">BN9</f>
        <v>3791</v>
      </c>
      <c r="BL9" s="322">
        <v>4195</v>
      </c>
      <c r="BM9" s="322">
        <v>4089</v>
      </c>
      <c r="BN9" s="322">
        <v>3791</v>
      </c>
      <c r="BO9" s="322">
        <v>3883</v>
      </c>
      <c r="BP9" s="383">
        <f t="shared" ref="BP9:BP19" si="47">BS9</f>
        <v>3995</v>
      </c>
      <c r="BQ9" s="383">
        <f t="shared" ref="BQ9:BQ19" si="48">BT9</f>
        <v>3996</v>
      </c>
      <c r="BR9" s="383">
        <f t="shared" ref="BR9:BR19" si="49">BU9</f>
        <v>173</v>
      </c>
      <c r="BS9" s="322">
        <v>3995</v>
      </c>
      <c r="BT9" s="322">
        <v>3996</v>
      </c>
      <c r="BU9" s="383">
        <v>173</v>
      </c>
      <c r="BV9" s="383">
        <v>179</v>
      </c>
      <c r="BW9" s="383">
        <f t="shared" ref="BW9:BW19" si="50">BZ9</f>
        <v>185</v>
      </c>
      <c r="BX9" s="383">
        <f t="shared" ref="BX9:BX19" si="51">CA9</f>
        <v>186</v>
      </c>
      <c r="BY9" s="383">
        <f t="shared" ref="BY9:BY19" si="52">CB9</f>
        <v>192</v>
      </c>
      <c r="BZ9" s="383">
        <v>185</v>
      </c>
      <c r="CA9" s="383">
        <v>186</v>
      </c>
      <c r="CB9" s="383">
        <v>192</v>
      </c>
      <c r="CC9" s="383">
        <v>197</v>
      </c>
      <c r="CD9" s="383">
        <f t="shared" ref="CD9:CD19" si="53">CG9</f>
        <v>202</v>
      </c>
      <c r="CE9" s="383">
        <f t="shared" ref="CE9:CE19" si="54">CH9</f>
        <v>207</v>
      </c>
      <c r="CF9" s="383">
        <f t="shared" ref="CF9:CF19" si="55">CI9</f>
        <v>0</v>
      </c>
      <c r="CG9" s="383">
        <v>202</v>
      </c>
      <c r="CH9" s="383">
        <v>207</v>
      </c>
      <c r="CI9" s="383">
        <v>0</v>
      </c>
      <c r="CJ9" s="383">
        <v>0</v>
      </c>
      <c r="CK9" s="383">
        <f t="shared" ref="CK9:CK19" si="56">CN9</f>
        <v>0</v>
      </c>
      <c r="CL9" s="383"/>
      <c r="CM9" s="383"/>
      <c r="CN9" s="383">
        <v>0</v>
      </c>
      <c r="CO9" s="383"/>
    </row>
    <row r="10" spans="1:93" x14ac:dyDescent="0.25">
      <c r="A10" s="319" t="str">
        <f>Language!$G10</f>
        <v>Contas a Receber de Clientes</v>
      </c>
      <c r="B10" s="320">
        <v>10335</v>
      </c>
      <c r="C10" s="320">
        <v>9545</v>
      </c>
      <c r="D10" s="320">
        <v>9871</v>
      </c>
      <c r="E10" s="321">
        <v>9230</v>
      </c>
      <c r="F10" s="320">
        <v>9898</v>
      </c>
      <c r="G10" s="320">
        <v>9835</v>
      </c>
      <c r="H10" s="320">
        <v>9064</v>
      </c>
      <c r="I10" s="321">
        <v>9452</v>
      </c>
      <c r="J10" s="320">
        <v>15913</v>
      </c>
      <c r="K10" s="320">
        <v>10385</v>
      </c>
      <c r="L10" s="320">
        <v>12958</v>
      </c>
      <c r="M10" s="321">
        <v>29313</v>
      </c>
      <c r="N10" s="320">
        <v>105882</v>
      </c>
      <c r="O10" s="320">
        <v>22764</v>
      </c>
      <c r="P10" s="320">
        <v>15878</v>
      </c>
      <c r="Q10" s="321">
        <v>20237</v>
      </c>
      <c r="R10" s="320">
        <v>48771</v>
      </c>
      <c r="S10" s="322">
        <v>23811</v>
      </c>
      <c r="T10" s="320">
        <v>25266</v>
      </c>
      <c r="U10" s="322">
        <v>5082</v>
      </c>
      <c r="V10" s="320">
        <v>23811</v>
      </c>
      <c r="W10" s="320">
        <v>25266</v>
      </c>
      <c r="X10" s="321">
        <v>5082</v>
      </c>
      <c r="Y10" s="320">
        <v>6773</v>
      </c>
      <c r="Z10" s="322">
        <f t="shared" si="22"/>
        <v>8790</v>
      </c>
      <c r="AA10" s="320">
        <f t="shared" si="23"/>
        <v>9270</v>
      </c>
      <c r="AB10" s="322">
        <f t="shared" si="24"/>
        <v>9337</v>
      </c>
      <c r="AC10" s="322">
        <v>8790</v>
      </c>
      <c r="AD10" s="322">
        <v>9270</v>
      </c>
      <c r="AE10" s="321">
        <v>9337</v>
      </c>
      <c r="AF10" s="322">
        <v>6384</v>
      </c>
      <c r="AG10" s="322">
        <f t="shared" si="25"/>
        <v>6867</v>
      </c>
      <c r="AH10" s="320">
        <f t="shared" si="3"/>
        <v>7876</v>
      </c>
      <c r="AI10" s="322">
        <f t="shared" si="4"/>
        <v>7381</v>
      </c>
      <c r="AJ10" s="322">
        <v>6867</v>
      </c>
      <c r="AK10" s="322">
        <v>7876</v>
      </c>
      <c r="AL10" s="321">
        <v>7381</v>
      </c>
      <c r="AM10" s="322">
        <v>7927</v>
      </c>
      <c r="AN10" s="322">
        <f t="shared" si="26"/>
        <v>6922</v>
      </c>
      <c r="AO10" s="322">
        <f t="shared" si="26"/>
        <v>11219</v>
      </c>
      <c r="AP10" s="322">
        <f t="shared" si="26"/>
        <v>11282</v>
      </c>
      <c r="AQ10" s="322">
        <v>6922</v>
      </c>
      <c r="AR10" s="322">
        <v>11219</v>
      </c>
      <c r="AS10" s="321">
        <v>11282</v>
      </c>
      <c r="AT10" s="322">
        <v>10594</v>
      </c>
      <c r="AU10" s="322">
        <v>9778</v>
      </c>
      <c r="AV10" s="322">
        <f t="shared" si="40"/>
        <v>11322</v>
      </c>
      <c r="AW10" s="322">
        <f t="shared" si="40"/>
        <v>11085</v>
      </c>
      <c r="AX10" s="322">
        <f t="shared" si="41"/>
        <v>9778</v>
      </c>
      <c r="AY10" s="322">
        <v>11322</v>
      </c>
      <c r="AZ10" s="322">
        <v>11085</v>
      </c>
      <c r="BA10" s="322">
        <v>11400</v>
      </c>
      <c r="BB10" s="322">
        <f t="shared" si="42"/>
        <v>10155</v>
      </c>
      <c r="BC10" s="322">
        <f t="shared" si="43"/>
        <v>12791</v>
      </c>
      <c r="BD10" s="322">
        <f t="shared" si="44"/>
        <v>11624</v>
      </c>
      <c r="BE10" s="322">
        <v>10155</v>
      </c>
      <c r="BF10" s="322">
        <v>12791</v>
      </c>
      <c r="BG10" s="322">
        <v>11624</v>
      </c>
      <c r="BH10" s="322">
        <v>11528</v>
      </c>
      <c r="BI10" s="383">
        <f t="shared" si="45"/>
        <v>11152</v>
      </c>
      <c r="BJ10" s="322">
        <f t="shared" ref="BJ10:BJ19" si="57">BM10</f>
        <v>11955</v>
      </c>
      <c r="BK10" s="383">
        <f t="shared" si="46"/>
        <v>11670</v>
      </c>
      <c r="BL10" s="322">
        <v>11152</v>
      </c>
      <c r="BM10" s="322">
        <v>11955</v>
      </c>
      <c r="BN10" s="322">
        <v>11670</v>
      </c>
      <c r="BO10" s="322">
        <v>11610</v>
      </c>
      <c r="BP10" s="383">
        <f t="shared" si="47"/>
        <v>11404</v>
      </c>
      <c r="BQ10" s="383">
        <f t="shared" si="48"/>
        <v>12973</v>
      </c>
      <c r="BR10" s="383">
        <f t="shared" si="49"/>
        <v>13202</v>
      </c>
      <c r="BS10" s="322">
        <v>11404</v>
      </c>
      <c r="BT10" s="322">
        <v>12973</v>
      </c>
      <c r="BU10" s="383">
        <v>13202</v>
      </c>
      <c r="BV10" s="383">
        <v>14579</v>
      </c>
      <c r="BW10" s="383">
        <f t="shared" si="50"/>
        <v>13391</v>
      </c>
      <c r="BX10" s="383">
        <f t="shared" si="51"/>
        <v>13845</v>
      </c>
      <c r="BY10" s="383">
        <f t="shared" si="52"/>
        <v>14744</v>
      </c>
      <c r="BZ10" s="383">
        <v>13391</v>
      </c>
      <c r="CA10" s="383">
        <v>13845</v>
      </c>
      <c r="CB10" s="383">
        <v>14744</v>
      </c>
      <c r="CC10" s="383">
        <v>14289</v>
      </c>
      <c r="CD10" s="383">
        <f t="shared" si="53"/>
        <v>13505</v>
      </c>
      <c r="CE10" s="383">
        <f t="shared" si="54"/>
        <v>13759</v>
      </c>
      <c r="CF10" s="383">
        <f t="shared" si="55"/>
        <v>14119</v>
      </c>
      <c r="CG10" s="383">
        <v>13505</v>
      </c>
      <c r="CH10" s="383">
        <v>13759</v>
      </c>
      <c r="CI10" s="383">
        <v>14119</v>
      </c>
      <c r="CJ10" s="383">
        <v>14914</v>
      </c>
      <c r="CK10" s="383">
        <f t="shared" si="56"/>
        <v>13979</v>
      </c>
      <c r="CL10" s="383"/>
      <c r="CM10" s="383"/>
      <c r="CN10" s="383">
        <v>13979</v>
      </c>
      <c r="CO10" s="383"/>
    </row>
    <row r="11" spans="1:93" x14ac:dyDescent="0.25">
      <c r="A11" s="319" t="str">
        <f>Language!$G11</f>
        <v>Indenizações de seguro a receber</v>
      </c>
      <c r="B11" s="320">
        <v>0</v>
      </c>
      <c r="C11" s="320">
        <v>0</v>
      </c>
      <c r="D11" s="320">
        <v>0</v>
      </c>
      <c r="E11" s="321">
        <v>0</v>
      </c>
      <c r="F11" s="320">
        <v>0</v>
      </c>
      <c r="G11" s="320">
        <v>0</v>
      </c>
      <c r="H11" s="320">
        <v>0</v>
      </c>
      <c r="I11" s="321">
        <v>0</v>
      </c>
      <c r="J11" s="320">
        <v>0</v>
      </c>
      <c r="K11" s="320">
        <v>0</v>
      </c>
      <c r="L11" s="320">
        <v>0</v>
      </c>
      <c r="M11" s="321">
        <v>0</v>
      </c>
      <c r="N11" s="320">
        <v>0</v>
      </c>
      <c r="O11" s="320">
        <v>0</v>
      </c>
      <c r="P11" s="320">
        <v>0</v>
      </c>
      <c r="Q11" s="321">
        <v>0</v>
      </c>
      <c r="R11" s="320">
        <v>0</v>
      </c>
      <c r="S11" s="322">
        <v>0</v>
      </c>
      <c r="T11" s="320">
        <v>0</v>
      </c>
      <c r="U11" s="322">
        <v>0</v>
      </c>
      <c r="V11" s="320">
        <v>0</v>
      </c>
      <c r="W11" s="320">
        <v>0</v>
      </c>
      <c r="X11" s="321">
        <v>0</v>
      </c>
      <c r="Y11" s="320"/>
      <c r="Z11" s="322"/>
      <c r="AA11" s="320"/>
      <c r="AB11" s="322"/>
      <c r="AC11" s="322"/>
      <c r="AD11" s="322"/>
      <c r="AE11" s="321"/>
      <c r="AF11" s="322"/>
      <c r="AG11" s="322"/>
      <c r="AH11" s="320"/>
      <c r="AI11" s="322"/>
      <c r="AJ11" s="322"/>
      <c r="AK11" s="322"/>
      <c r="AL11" s="321"/>
      <c r="AM11" s="322"/>
      <c r="AN11" s="322"/>
      <c r="AO11" s="322"/>
      <c r="AP11" s="322"/>
      <c r="AQ11" s="322"/>
      <c r="AR11" s="322"/>
      <c r="AS11" s="321"/>
      <c r="AT11" s="322"/>
      <c r="AU11" s="322"/>
      <c r="AV11" s="322">
        <f t="shared" si="40"/>
        <v>0</v>
      </c>
      <c r="AW11" s="322">
        <f t="shared" si="40"/>
        <v>0</v>
      </c>
      <c r="AX11" s="322"/>
      <c r="AY11" s="322">
        <v>0</v>
      </c>
      <c r="AZ11" s="738">
        <v>0</v>
      </c>
      <c r="BA11" s="738">
        <v>0</v>
      </c>
      <c r="BB11" s="322">
        <f t="shared" si="42"/>
        <v>0</v>
      </c>
      <c r="BC11" s="322">
        <f t="shared" si="43"/>
        <v>0</v>
      </c>
      <c r="BD11" s="322">
        <f t="shared" si="44"/>
        <v>0</v>
      </c>
      <c r="BE11" s="738">
        <v>0</v>
      </c>
      <c r="BF11" s="738">
        <v>0</v>
      </c>
      <c r="BG11" s="738">
        <v>0</v>
      </c>
      <c r="BH11" s="738">
        <v>0</v>
      </c>
      <c r="BI11" s="383">
        <f t="shared" si="45"/>
        <v>0</v>
      </c>
      <c r="BJ11" s="322">
        <f t="shared" si="57"/>
        <v>0</v>
      </c>
      <c r="BK11" s="383">
        <f t="shared" si="46"/>
        <v>0</v>
      </c>
      <c r="BL11" s="738">
        <v>0</v>
      </c>
      <c r="BM11" s="738">
        <v>0</v>
      </c>
      <c r="BN11" s="738">
        <v>0</v>
      </c>
      <c r="BO11" s="738">
        <v>0</v>
      </c>
      <c r="BP11" s="383">
        <f t="shared" si="47"/>
        <v>0</v>
      </c>
      <c r="BQ11" s="383">
        <f t="shared" si="48"/>
        <v>0</v>
      </c>
      <c r="BR11" s="383">
        <f t="shared" si="49"/>
        <v>0</v>
      </c>
      <c r="BS11" s="738">
        <v>0</v>
      </c>
      <c r="BT11" s="738">
        <v>0</v>
      </c>
      <c r="BU11" s="738">
        <v>0</v>
      </c>
      <c r="BV11" s="738">
        <v>0</v>
      </c>
      <c r="BW11" s="383">
        <f t="shared" si="50"/>
        <v>0</v>
      </c>
      <c r="BX11" s="383">
        <f t="shared" si="51"/>
        <v>0</v>
      </c>
      <c r="BY11" s="383">
        <f t="shared" si="52"/>
        <v>0</v>
      </c>
      <c r="BZ11" s="738">
        <v>0</v>
      </c>
      <c r="CA11" s="738">
        <v>0</v>
      </c>
      <c r="CB11" s="738">
        <v>0</v>
      </c>
      <c r="CC11" s="738">
        <v>0</v>
      </c>
      <c r="CD11" s="383">
        <f t="shared" si="53"/>
        <v>0</v>
      </c>
      <c r="CE11" s="383">
        <f t="shared" si="54"/>
        <v>0</v>
      </c>
      <c r="CF11" s="383">
        <f t="shared" si="55"/>
        <v>0</v>
      </c>
      <c r="CG11" s="738">
        <v>0</v>
      </c>
      <c r="CH11" s="738">
        <v>0</v>
      </c>
      <c r="CI11" s="738">
        <v>0</v>
      </c>
      <c r="CJ11" s="738">
        <v>0</v>
      </c>
      <c r="CK11" s="383">
        <f t="shared" si="56"/>
        <v>0</v>
      </c>
      <c r="CL11" s="738"/>
      <c r="CM11" s="738"/>
      <c r="CN11" s="738">
        <v>0</v>
      </c>
      <c r="CO11" s="738"/>
    </row>
    <row r="12" spans="1:93" x14ac:dyDescent="0.25">
      <c r="A12" s="319" t="str">
        <f>Language!$G12</f>
        <v>Adiantamento a Fornecedores</v>
      </c>
      <c r="B12" s="320">
        <v>3367</v>
      </c>
      <c r="C12" s="320">
        <v>7714</v>
      </c>
      <c r="D12" s="320">
        <v>13585</v>
      </c>
      <c r="E12" s="321">
        <v>24516</v>
      </c>
      <c r="F12" s="320">
        <v>29354</v>
      </c>
      <c r="G12" s="320">
        <v>43672</v>
      </c>
      <c r="H12" s="320">
        <v>45047</v>
      </c>
      <c r="I12" s="321">
        <v>20228</v>
      </c>
      <c r="J12" s="320">
        <v>5103</v>
      </c>
      <c r="K12" s="320">
        <v>3661</v>
      </c>
      <c r="L12" s="320">
        <v>4421</v>
      </c>
      <c r="M12" s="321">
        <v>758</v>
      </c>
      <c r="N12" s="320">
        <v>550</v>
      </c>
      <c r="O12" s="320">
        <v>125</v>
      </c>
      <c r="P12" s="320">
        <v>6119</v>
      </c>
      <c r="Q12" s="321">
        <v>122</v>
      </c>
      <c r="R12" s="320">
        <v>361</v>
      </c>
      <c r="S12" s="322">
        <v>345</v>
      </c>
      <c r="T12" s="320">
        <v>442</v>
      </c>
      <c r="U12" s="322">
        <v>284</v>
      </c>
      <c r="V12" s="320">
        <v>345</v>
      </c>
      <c r="W12" s="320">
        <v>442</v>
      </c>
      <c r="X12" s="321">
        <v>284</v>
      </c>
      <c r="Y12" s="320">
        <v>259</v>
      </c>
      <c r="Z12" s="322">
        <f t="shared" si="22"/>
        <v>263</v>
      </c>
      <c r="AA12" s="320">
        <f t="shared" si="23"/>
        <v>284</v>
      </c>
      <c r="AB12" s="322">
        <f t="shared" si="24"/>
        <v>40</v>
      </c>
      <c r="AC12" s="322">
        <v>263</v>
      </c>
      <c r="AD12" s="322">
        <v>284</v>
      </c>
      <c r="AE12" s="321">
        <v>40</v>
      </c>
      <c r="AF12" s="322">
        <v>67</v>
      </c>
      <c r="AG12" s="322">
        <f t="shared" si="25"/>
        <v>73</v>
      </c>
      <c r="AH12" s="320">
        <f t="shared" si="3"/>
        <v>84</v>
      </c>
      <c r="AI12" s="322">
        <f t="shared" si="4"/>
        <v>84</v>
      </c>
      <c r="AJ12" s="322">
        <v>73</v>
      </c>
      <c r="AK12" s="322">
        <v>84</v>
      </c>
      <c r="AL12" s="321">
        <v>84</v>
      </c>
      <c r="AM12" s="322">
        <v>80</v>
      </c>
      <c r="AN12" s="322">
        <f t="shared" si="26"/>
        <v>105</v>
      </c>
      <c r="AO12" s="322">
        <f t="shared" si="26"/>
        <v>45</v>
      </c>
      <c r="AP12" s="322">
        <f t="shared" si="26"/>
        <v>5</v>
      </c>
      <c r="AQ12" s="322">
        <v>105</v>
      </c>
      <c r="AR12" s="322">
        <v>45</v>
      </c>
      <c r="AS12" s="321">
        <v>5</v>
      </c>
      <c r="AT12" s="322">
        <v>7</v>
      </c>
      <c r="AU12" s="322">
        <v>20</v>
      </c>
      <c r="AV12" s="322">
        <f t="shared" si="40"/>
        <v>20</v>
      </c>
      <c r="AW12" s="322">
        <f t="shared" si="40"/>
        <v>1</v>
      </c>
      <c r="AX12" s="322">
        <f t="shared" si="41"/>
        <v>20</v>
      </c>
      <c r="AY12" s="322">
        <v>20</v>
      </c>
      <c r="AZ12" s="322">
        <v>1</v>
      </c>
      <c r="BA12" s="322">
        <v>0</v>
      </c>
      <c r="BB12" s="322">
        <f t="shared" si="42"/>
        <v>0</v>
      </c>
      <c r="BC12" s="322">
        <f t="shared" si="43"/>
        <v>0</v>
      </c>
      <c r="BD12" s="322">
        <f t="shared" si="44"/>
        <v>0</v>
      </c>
      <c r="BE12" s="322">
        <v>0</v>
      </c>
      <c r="BF12" s="322">
        <v>0</v>
      </c>
      <c r="BG12" s="322">
        <v>0</v>
      </c>
      <c r="BH12" s="322">
        <v>0</v>
      </c>
      <c r="BI12" s="383">
        <f t="shared" si="45"/>
        <v>0</v>
      </c>
      <c r="BJ12" s="322">
        <f t="shared" si="57"/>
        <v>0</v>
      </c>
      <c r="BK12" s="383">
        <f t="shared" si="46"/>
        <v>1</v>
      </c>
      <c r="BL12" s="322">
        <v>0</v>
      </c>
      <c r="BM12" s="322">
        <v>0</v>
      </c>
      <c r="BN12" s="322">
        <v>1</v>
      </c>
      <c r="BO12" s="322">
        <v>0</v>
      </c>
      <c r="BP12" s="383">
        <f t="shared" si="47"/>
        <v>0</v>
      </c>
      <c r="BQ12" s="383">
        <f t="shared" si="48"/>
        <v>0</v>
      </c>
      <c r="BR12" s="383">
        <f t="shared" si="49"/>
        <v>0</v>
      </c>
      <c r="BS12" s="322">
        <v>0</v>
      </c>
      <c r="BT12" s="322">
        <v>0</v>
      </c>
      <c r="BU12" s="322">
        <v>0</v>
      </c>
      <c r="BV12" s="322">
        <v>0</v>
      </c>
      <c r="BW12" s="383">
        <f t="shared" si="50"/>
        <v>0</v>
      </c>
      <c r="BX12" s="383">
        <f t="shared" si="51"/>
        <v>0</v>
      </c>
      <c r="BY12" s="383">
        <f t="shared" si="52"/>
        <v>0</v>
      </c>
      <c r="BZ12" s="322">
        <v>0</v>
      </c>
      <c r="CA12" s="322">
        <v>0</v>
      </c>
      <c r="CB12" s="322">
        <v>0</v>
      </c>
      <c r="CC12" s="322">
        <v>0</v>
      </c>
      <c r="CD12" s="383">
        <f t="shared" si="53"/>
        <v>0</v>
      </c>
      <c r="CE12" s="383">
        <f t="shared" si="54"/>
        <v>0</v>
      </c>
      <c r="CF12" s="383">
        <f t="shared" si="55"/>
        <v>0</v>
      </c>
      <c r="CG12" s="322">
        <v>0</v>
      </c>
      <c r="CH12" s="322">
        <v>0</v>
      </c>
      <c r="CI12" s="322">
        <v>0</v>
      </c>
      <c r="CJ12" s="322">
        <v>0</v>
      </c>
      <c r="CK12" s="383">
        <f t="shared" si="56"/>
        <v>0</v>
      </c>
      <c r="CL12" s="322"/>
      <c r="CM12" s="322"/>
      <c r="CN12" s="322">
        <v>0</v>
      </c>
      <c r="CO12" s="322"/>
    </row>
    <row r="13" spans="1:93" x14ac:dyDescent="0.25">
      <c r="A13" s="319" t="str">
        <f>Language!$G13</f>
        <v>Impostos a Recuperar</v>
      </c>
      <c r="B13" s="320">
        <v>8066</v>
      </c>
      <c r="C13" s="320">
        <v>8403</v>
      </c>
      <c r="D13" s="320">
        <v>8355</v>
      </c>
      <c r="E13" s="321">
        <v>8007</v>
      </c>
      <c r="F13" s="320">
        <v>8486</v>
      </c>
      <c r="G13" s="320">
        <v>8543</v>
      </c>
      <c r="H13" s="320">
        <v>8736</v>
      </c>
      <c r="I13" s="321">
        <v>8762</v>
      </c>
      <c r="J13" s="320">
        <v>10745</v>
      </c>
      <c r="K13" s="320">
        <v>9387</v>
      </c>
      <c r="L13" s="320">
        <v>9475</v>
      </c>
      <c r="M13" s="321">
        <v>10238</v>
      </c>
      <c r="N13" s="320">
        <v>7738</v>
      </c>
      <c r="O13" s="320">
        <v>8332</v>
      </c>
      <c r="P13" s="320">
        <v>4274</v>
      </c>
      <c r="Q13" s="321">
        <v>4855</v>
      </c>
      <c r="R13" s="320">
        <v>6333</v>
      </c>
      <c r="S13" s="322">
        <v>7976</v>
      </c>
      <c r="T13" s="320">
        <v>10443</v>
      </c>
      <c r="U13" s="322">
        <v>1412</v>
      </c>
      <c r="V13" s="320">
        <v>7976</v>
      </c>
      <c r="W13" s="320">
        <v>10443</v>
      </c>
      <c r="X13" s="321">
        <v>1412</v>
      </c>
      <c r="Y13" s="320">
        <v>1922</v>
      </c>
      <c r="Z13" s="322">
        <f t="shared" si="22"/>
        <v>2697</v>
      </c>
      <c r="AA13" s="320">
        <f t="shared" si="23"/>
        <v>3251</v>
      </c>
      <c r="AB13" s="322">
        <f t="shared" si="24"/>
        <v>313</v>
      </c>
      <c r="AC13" s="322">
        <v>2697</v>
      </c>
      <c r="AD13" s="322">
        <v>3251</v>
      </c>
      <c r="AE13" s="321">
        <v>313</v>
      </c>
      <c r="AF13" s="322">
        <v>1240</v>
      </c>
      <c r="AG13" s="322">
        <f t="shared" si="25"/>
        <v>1836</v>
      </c>
      <c r="AH13" s="320">
        <f t="shared" si="3"/>
        <v>2895</v>
      </c>
      <c r="AI13" s="322">
        <f t="shared" si="4"/>
        <v>366</v>
      </c>
      <c r="AJ13" s="322">
        <v>1836</v>
      </c>
      <c r="AK13" s="322">
        <v>2895</v>
      </c>
      <c r="AL13" s="321">
        <v>366</v>
      </c>
      <c r="AM13" s="322">
        <v>1027</v>
      </c>
      <c r="AN13" s="322">
        <f t="shared" si="26"/>
        <v>1853</v>
      </c>
      <c r="AO13" s="322">
        <f t="shared" si="26"/>
        <v>4772</v>
      </c>
      <c r="AP13" s="322">
        <f t="shared" si="26"/>
        <v>322</v>
      </c>
      <c r="AQ13" s="322">
        <v>1853</v>
      </c>
      <c r="AR13" s="322">
        <v>4772</v>
      </c>
      <c r="AS13" s="321">
        <v>322</v>
      </c>
      <c r="AT13" s="322">
        <v>2816</v>
      </c>
      <c r="AU13" s="322">
        <v>6918</v>
      </c>
      <c r="AV13" s="322">
        <f t="shared" si="40"/>
        <v>10952</v>
      </c>
      <c r="AW13" s="322">
        <f t="shared" si="40"/>
        <v>281</v>
      </c>
      <c r="AX13" s="322">
        <f t="shared" si="41"/>
        <v>6918</v>
      </c>
      <c r="AY13" s="322">
        <v>10952</v>
      </c>
      <c r="AZ13" s="738">
        <v>281</v>
      </c>
      <c r="BA13" s="322">
        <v>2959</v>
      </c>
      <c r="BB13" s="322">
        <f t="shared" si="42"/>
        <v>6978</v>
      </c>
      <c r="BC13" s="322">
        <f t="shared" si="43"/>
        <v>11388</v>
      </c>
      <c r="BD13" s="322">
        <f t="shared" si="44"/>
        <v>250</v>
      </c>
      <c r="BE13" s="322">
        <v>6978</v>
      </c>
      <c r="BF13" s="322">
        <v>11388</v>
      </c>
      <c r="BG13" s="322">
        <v>250</v>
      </c>
      <c r="BH13" s="322">
        <v>3119</v>
      </c>
      <c r="BI13" s="383">
        <f t="shared" si="45"/>
        <v>7400</v>
      </c>
      <c r="BJ13" s="322">
        <f t="shared" si="57"/>
        <v>12367</v>
      </c>
      <c r="BK13" s="383">
        <f t="shared" si="46"/>
        <v>382</v>
      </c>
      <c r="BL13" s="322">
        <v>7400</v>
      </c>
      <c r="BM13" s="322">
        <v>12367</v>
      </c>
      <c r="BN13" s="322">
        <v>382</v>
      </c>
      <c r="BO13" s="322">
        <v>3745</v>
      </c>
      <c r="BP13" s="383">
        <f t="shared" si="47"/>
        <v>8767</v>
      </c>
      <c r="BQ13" s="383">
        <f t="shared" si="48"/>
        <v>14609</v>
      </c>
      <c r="BR13" s="383">
        <f t="shared" si="49"/>
        <v>717</v>
      </c>
      <c r="BS13" s="322">
        <v>8767</v>
      </c>
      <c r="BT13" s="322">
        <v>14609</v>
      </c>
      <c r="BU13" s="322">
        <v>717</v>
      </c>
      <c r="BV13" s="322">
        <v>4776</v>
      </c>
      <c r="BW13" s="383">
        <f t="shared" si="50"/>
        <v>10191</v>
      </c>
      <c r="BX13" s="383">
        <f t="shared" si="51"/>
        <v>16111</v>
      </c>
      <c r="BY13" s="383">
        <f t="shared" si="52"/>
        <v>982</v>
      </c>
      <c r="BZ13" s="322">
        <v>10191</v>
      </c>
      <c r="CA13" s="322">
        <v>16111</v>
      </c>
      <c r="CB13" s="322">
        <v>982</v>
      </c>
      <c r="CC13" s="322">
        <v>4737</v>
      </c>
      <c r="CD13" s="383">
        <f t="shared" si="53"/>
        <v>10145</v>
      </c>
      <c r="CE13" s="383">
        <f t="shared" si="54"/>
        <v>15876</v>
      </c>
      <c r="CF13" s="383">
        <f t="shared" si="55"/>
        <v>1016</v>
      </c>
      <c r="CG13" s="322">
        <v>10145</v>
      </c>
      <c r="CH13" s="322">
        <v>15876</v>
      </c>
      <c r="CI13" s="322">
        <v>1016</v>
      </c>
      <c r="CJ13" s="322">
        <v>4884</v>
      </c>
      <c r="CK13" s="383">
        <f t="shared" si="56"/>
        <v>11011</v>
      </c>
      <c r="CL13" s="322"/>
      <c r="CM13" s="322"/>
      <c r="CN13" s="322">
        <v>11011</v>
      </c>
      <c r="CO13" s="322"/>
    </row>
    <row r="14" spans="1:93" x14ac:dyDescent="0.25">
      <c r="A14" s="319" t="str">
        <f>Language!$G14</f>
        <v>Estoques</v>
      </c>
      <c r="B14" s="320">
        <v>0</v>
      </c>
      <c r="C14" s="320">
        <v>0</v>
      </c>
      <c r="D14" s="320">
        <v>0</v>
      </c>
      <c r="E14" s="321">
        <v>0</v>
      </c>
      <c r="F14" s="320">
        <v>0</v>
      </c>
      <c r="G14" s="320">
        <v>0</v>
      </c>
      <c r="H14" s="320">
        <v>0</v>
      </c>
      <c r="I14" s="321">
        <v>0</v>
      </c>
      <c r="J14" s="320">
        <v>0</v>
      </c>
      <c r="K14" s="320">
        <v>0</v>
      </c>
      <c r="L14" s="320">
        <v>0</v>
      </c>
      <c r="M14" s="321">
        <v>0</v>
      </c>
      <c r="N14" s="320">
        <v>0</v>
      </c>
      <c r="O14" s="320">
        <v>0</v>
      </c>
      <c r="P14" s="320">
        <v>0</v>
      </c>
      <c r="Q14" s="321">
        <v>0</v>
      </c>
      <c r="R14" s="320">
        <v>0</v>
      </c>
      <c r="S14" s="322">
        <v>0</v>
      </c>
      <c r="T14" s="320">
        <v>0</v>
      </c>
      <c r="U14" s="322">
        <v>0</v>
      </c>
      <c r="V14" s="320">
        <v>0</v>
      </c>
      <c r="W14" s="320">
        <v>0</v>
      </c>
      <c r="X14" s="321">
        <v>0</v>
      </c>
      <c r="Y14" s="320"/>
      <c r="Z14" s="322">
        <f t="shared" si="22"/>
        <v>74</v>
      </c>
      <c r="AA14" s="320">
        <f t="shared" si="23"/>
        <v>74</v>
      </c>
      <c r="AB14" s="322">
        <f t="shared" si="24"/>
        <v>74</v>
      </c>
      <c r="AC14" s="322">
        <v>74</v>
      </c>
      <c r="AD14" s="322">
        <v>74</v>
      </c>
      <c r="AE14" s="321">
        <v>74</v>
      </c>
      <c r="AF14" s="322">
        <v>74</v>
      </c>
      <c r="AG14" s="322">
        <f t="shared" si="25"/>
        <v>74</v>
      </c>
      <c r="AH14" s="320">
        <f t="shared" si="3"/>
        <v>74</v>
      </c>
      <c r="AI14" s="322"/>
      <c r="AJ14" s="322">
        <v>74</v>
      </c>
      <c r="AK14" s="322">
        <v>74</v>
      </c>
      <c r="AL14" s="321"/>
      <c r="AM14" s="322"/>
      <c r="AN14" s="322"/>
      <c r="AO14" s="322"/>
      <c r="AP14" s="322"/>
      <c r="AQ14" s="322"/>
      <c r="AR14" s="322"/>
      <c r="AS14" s="321"/>
      <c r="AT14" s="322"/>
      <c r="AU14" s="322"/>
      <c r="AV14" s="322">
        <f t="shared" si="40"/>
        <v>0</v>
      </c>
      <c r="AW14" s="322">
        <f t="shared" si="40"/>
        <v>0</v>
      </c>
      <c r="AX14" s="322"/>
      <c r="AY14" s="322">
        <v>0</v>
      </c>
      <c r="AZ14" s="738">
        <v>0</v>
      </c>
      <c r="BA14" s="738">
        <v>0</v>
      </c>
      <c r="BB14" s="322">
        <f t="shared" si="42"/>
        <v>0</v>
      </c>
      <c r="BC14" s="322">
        <f t="shared" si="43"/>
        <v>0</v>
      </c>
      <c r="BD14" s="322">
        <f t="shared" si="44"/>
        <v>0</v>
      </c>
      <c r="BE14" s="738">
        <v>0</v>
      </c>
      <c r="BF14" s="738">
        <v>0</v>
      </c>
      <c r="BG14" s="738">
        <v>0</v>
      </c>
      <c r="BH14" s="738">
        <v>0</v>
      </c>
      <c r="BI14" s="383">
        <f t="shared" si="45"/>
        <v>0</v>
      </c>
      <c r="BJ14" s="322">
        <f t="shared" si="57"/>
        <v>0</v>
      </c>
      <c r="BK14" s="383">
        <f t="shared" si="46"/>
        <v>0</v>
      </c>
      <c r="BL14" s="738">
        <v>0</v>
      </c>
      <c r="BM14" s="738">
        <v>0</v>
      </c>
      <c r="BN14" s="738">
        <v>0</v>
      </c>
      <c r="BO14" s="738">
        <v>0</v>
      </c>
      <c r="BP14" s="383">
        <f t="shared" si="47"/>
        <v>0</v>
      </c>
      <c r="BQ14" s="383">
        <f t="shared" si="48"/>
        <v>0</v>
      </c>
      <c r="BR14" s="383">
        <f t="shared" si="49"/>
        <v>0</v>
      </c>
      <c r="BS14" s="738">
        <v>0</v>
      </c>
      <c r="BT14" s="738">
        <v>0</v>
      </c>
      <c r="BU14" s="738">
        <v>0</v>
      </c>
      <c r="BV14" s="738">
        <v>0</v>
      </c>
      <c r="BW14" s="383">
        <f t="shared" si="50"/>
        <v>0</v>
      </c>
      <c r="BX14" s="383">
        <f t="shared" si="51"/>
        <v>0</v>
      </c>
      <c r="BY14" s="383">
        <f t="shared" si="52"/>
        <v>0</v>
      </c>
      <c r="BZ14" s="738">
        <v>0</v>
      </c>
      <c r="CA14" s="738">
        <v>0</v>
      </c>
      <c r="CB14" s="738">
        <v>0</v>
      </c>
      <c r="CC14" s="738">
        <v>0</v>
      </c>
      <c r="CD14" s="383">
        <f t="shared" si="53"/>
        <v>0</v>
      </c>
      <c r="CE14" s="383">
        <f t="shared" si="54"/>
        <v>0</v>
      </c>
      <c r="CF14" s="383">
        <f t="shared" si="55"/>
        <v>0</v>
      </c>
      <c r="CG14" s="738">
        <v>0</v>
      </c>
      <c r="CH14" s="738">
        <v>0</v>
      </c>
      <c r="CI14" s="738">
        <v>0</v>
      </c>
      <c r="CJ14" s="738">
        <v>0</v>
      </c>
      <c r="CK14" s="383">
        <f t="shared" si="56"/>
        <v>0</v>
      </c>
      <c r="CL14" s="738"/>
      <c r="CM14" s="738"/>
      <c r="CN14" s="738">
        <v>0</v>
      </c>
      <c r="CO14" s="738"/>
    </row>
    <row r="15" spans="1:93" x14ac:dyDescent="0.25">
      <c r="A15" s="319" t="str">
        <f>Language!$G16</f>
        <v>Contas a receber - partes relacionadas</v>
      </c>
      <c r="B15" s="320">
        <v>0</v>
      </c>
      <c r="C15" s="320">
        <v>0</v>
      </c>
      <c r="D15" s="320">
        <v>0</v>
      </c>
      <c r="E15" s="321">
        <v>0</v>
      </c>
      <c r="F15" s="320">
        <v>1</v>
      </c>
      <c r="G15" s="320">
        <v>1</v>
      </c>
      <c r="H15" s="320">
        <v>407</v>
      </c>
      <c r="I15" s="321">
        <v>0</v>
      </c>
      <c r="J15" s="320">
        <v>3718</v>
      </c>
      <c r="K15" s="320">
        <v>7362</v>
      </c>
      <c r="L15" s="320">
        <v>0</v>
      </c>
      <c r="M15" s="321">
        <v>1750</v>
      </c>
      <c r="N15" s="320">
        <v>0</v>
      </c>
      <c r="O15" s="320">
        <v>0</v>
      </c>
      <c r="P15" s="320">
        <v>0</v>
      </c>
      <c r="Q15" s="321">
        <v>0</v>
      </c>
      <c r="R15" s="320">
        <v>0</v>
      </c>
      <c r="S15" s="322">
        <v>0</v>
      </c>
      <c r="T15" s="320">
        <v>-48000</v>
      </c>
      <c r="U15" s="322">
        <v>225</v>
      </c>
      <c r="V15" s="320">
        <v>0</v>
      </c>
      <c r="W15" s="320">
        <v>-48000</v>
      </c>
      <c r="X15" s="321">
        <v>225</v>
      </c>
      <c r="Y15" s="320"/>
      <c r="Z15" s="322"/>
      <c r="AA15" s="320"/>
      <c r="AB15" s="322"/>
      <c r="AC15" s="322"/>
      <c r="AD15" s="322"/>
      <c r="AE15" s="321"/>
      <c r="AF15" s="322"/>
      <c r="AG15" s="322"/>
      <c r="AH15" s="320"/>
      <c r="AI15" s="322">
        <f t="shared" si="4"/>
        <v>1042</v>
      </c>
      <c r="AJ15" s="322"/>
      <c r="AK15" s="322"/>
      <c r="AL15" s="321">
        <v>1042</v>
      </c>
      <c r="AM15" s="322"/>
      <c r="AN15" s="322"/>
      <c r="AO15" s="322">
        <f>AR15</f>
        <v>943</v>
      </c>
      <c r="AP15" s="322">
        <f>AS15</f>
        <v>845</v>
      </c>
      <c r="AQ15" s="322"/>
      <c r="AR15" s="322">
        <v>943</v>
      </c>
      <c r="AS15" s="321">
        <v>845</v>
      </c>
      <c r="AT15" s="322">
        <v>845</v>
      </c>
      <c r="AU15" s="322">
        <v>535</v>
      </c>
      <c r="AV15" s="322">
        <f t="shared" si="40"/>
        <v>0</v>
      </c>
      <c r="AW15" s="322">
        <f t="shared" si="40"/>
        <v>0</v>
      </c>
      <c r="AX15" s="322">
        <f t="shared" si="41"/>
        <v>535</v>
      </c>
      <c r="AY15" s="322">
        <v>0</v>
      </c>
      <c r="AZ15" s="738">
        <v>0</v>
      </c>
      <c r="BA15" s="738">
        <v>0</v>
      </c>
      <c r="BB15" s="322">
        <f t="shared" si="42"/>
        <v>0</v>
      </c>
      <c r="BC15" s="322">
        <f t="shared" si="43"/>
        <v>0</v>
      </c>
      <c r="BD15" s="322">
        <f t="shared" si="44"/>
        <v>0</v>
      </c>
      <c r="BE15" s="738">
        <v>0</v>
      </c>
      <c r="BF15" s="738">
        <v>0</v>
      </c>
      <c r="BG15" s="738">
        <v>0</v>
      </c>
      <c r="BH15" s="738">
        <v>0</v>
      </c>
      <c r="BI15" s="383">
        <f t="shared" si="45"/>
        <v>0</v>
      </c>
      <c r="BJ15" s="322">
        <f t="shared" si="57"/>
        <v>0</v>
      </c>
      <c r="BK15" s="383">
        <f t="shared" si="46"/>
        <v>0</v>
      </c>
      <c r="BL15" s="738">
        <v>0</v>
      </c>
      <c r="BM15" s="738">
        <v>0</v>
      </c>
      <c r="BN15" s="738">
        <v>0</v>
      </c>
      <c r="BO15" s="738">
        <v>0</v>
      </c>
      <c r="BP15" s="383">
        <f t="shared" si="47"/>
        <v>0</v>
      </c>
      <c r="BQ15" s="383">
        <f t="shared" si="48"/>
        <v>0</v>
      </c>
      <c r="BR15" s="383">
        <f t="shared" si="49"/>
        <v>0</v>
      </c>
      <c r="BS15" s="738">
        <v>0</v>
      </c>
      <c r="BT15" s="738">
        <v>0</v>
      </c>
      <c r="BU15" s="738">
        <v>0</v>
      </c>
      <c r="BV15" s="738">
        <v>0</v>
      </c>
      <c r="BW15" s="383">
        <f t="shared" si="50"/>
        <v>0</v>
      </c>
      <c r="BX15" s="383">
        <f t="shared" si="51"/>
        <v>0</v>
      </c>
      <c r="BY15" s="383">
        <f t="shared" si="52"/>
        <v>0</v>
      </c>
      <c r="BZ15" s="738">
        <v>0</v>
      </c>
      <c r="CA15" s="738">
        <v>0</v>
      </c>
      <c r="CB15" s="738">
        <v>0</v>
      </c>
      <c r="CC15" s="738">
        <v>0</v>
      </c>
      <c r="CD15" s="383">
        <f t="shared" si="53"/>
        <v>0</v>
      </c>
      <c r="CE15" s="383">
        <f t="shared" si="54"/>
        <v>0</v>
      </c>
      <c r="CF15" s="383">
        <f t="shared" si="55"/>
        <v>0</v>
      </c>
      <c r="CG15" s="738">
        <v>0</v>
      </c>
      <c r="CH15" s="738">
        <v>0</v>
      </c>
      <c r="CI15" s="738">
        <v>0</v>
      </c>
      <c r="CJ15" s="738">
        <v>0</v>
      </c>
      <c r="CK15" s="383">
        <f t="shared" si="56"/>
        <v>0</v>
      </c>
      <c r="CL15" s="738"/>
      <c r="CM15" s="738"/>
      <c r="CN15" s="738">
        <v>0</v>
      </c>
      <c r="CO15" s="738"/>
    </row>
    <row r="16" spans="1:93" x14ac:dyDescent="0.25">
      <c r="A16" s="319" t="str">
        <f>Language!$G17</f>
        <v>Dividendos e JCP a receber</v>
      </c>
      <c r="B16" s="320">
        <v>0</v>
      </c>
      <c r="C16" s="320">
        <v>0</v>
      </c>
      <c r="D16" s="320">
        <v>0</v>
      </c>
      <c r="E16" s="321">
        <v>0</v>
      </c>
      <c r="F16" s="320">
        <v>0</v>
      </c>
      <c r="G16" s="320">
        <v>0</v>
      </c>
      <c r="H16" s="320">
        <v>0</v>
      </c>
      <c r="I16" s="321">
        <v>0</v>
      </c>
      <c r="J16" s="320">
        <v>0</v>
      </c>
      <c r="K16" s="320">
        <v>0</v>
      </c>
      <c r="L16" s="320">
        <v>0</v>
      </c>
      <c r="M16" s="321">
        <v>0</v>
      </c>
      <c r="N16" s="320">
        <v>0</v>
      </c>
      <c r="O16" s="320">
        <v>0</v>
      </c>
      <c r="P16" s="320">
        <v>0</v>
      </c>
      <c r="Q16" s="321">
        <v>0</v>
      </c>
      <c r="R16" s="320">
        <v>0</v>
      </c>
      <c r="S16" s="322">
        <v>0</v>
      </c>
      <c r="T16" s="320">
        <v>0</v>
      </c>
      <c r="U16" s="322">
        <v>0</v>
      </c>
      <c r="V16" s="320">
        <v>0</v>
      </c>
      <c r="W16" s="320">
        <v>0</v>
      </c>
      <c r="X16" s="321">
        <v>0</v>
      </c>
      <c r="Y16" s="320"/>
      <c r="Z16" s="322"/>
      <c r="AA16" s="320"/>
      <c r="AB16" s="322"/>
      <c r="AC16" s="322"/>
      <c r="AD16" s="322"/>
      <c r="AE16" s="321"/>
      <c r="AF16" s="322"/>
      <c r="AG16" s="322"/>
      <c r="AH16" s="320"/>
      <c r="AI16" s="322"/>
      <c r="AJ16" s="322"/>
      <c r="AK16" s="322"/>
      <c r="AL16" s="321"/>
      <c r="AM16" s="322"/>
      <c r="AN16" s="322"/>
      <c r="AO16" s="322"/>
      <c r="AP16" s="322"/>
      <c r="AQ16" s="322"/>
      <c r="AR16" s="322"/>
      <c r="AS16" s="321"/>
      <c r="AT16" s="322"/>
      <c r="AU16" s="322"/>
      <c r="AV16" s="322">
        <f t="shared" si="40"/>
        <v>0</v>
      </c>
      <c r="AW16" s="322">
        <f t="shared" si="40"/>
        <v>0</v>
      </c>
      <c r="AX16" s="322"/>
      <c r="AY16" s="322">
        <v>0</v>
      </c>
      <c r="AZ16" s="738">
        <v>0</v>
      </c>
      <c r="BA16" s="738">
        <v>0</v>
      </c>
      <c r="BB16" s="322">
        <f t="shared" si="42"/>
        <v>0</v>
      </c>
      <c r="BC16" s="322">
        <f t="shared" si="43"/>
        <v>0</v>
      </c>
      <c r="BD16" s="322">
        <f t="shared" si="44"/>
        <v>1704</v>
      </c>
      <c r="BE16" s="738">
        <v>0</v>
      </c>
      <c r="BF16" s="738">
        <v>0</v>
      </c>
      <c r="BG16" s="322">
        <v>1704</v>
      </c>
      <c r="BH16" s="322">
        <v>0</v>
      </c>
      <c r="BI16" s="383">
        <f t="shared" si="45"/>
        <v>0</v>
      </c>
      <c r="BJ16" s="322">
        <f t="shared" si="57"/>
        <v>0</v>
      </c>
      <c r="BK16" s="383">
        <f t="shared" si="46"/>
        <v>0</v>
      </c>
      <c r="BL16" s="322">
        <v>0</v>
      </c>
      <c r="BM16" s="322">
        <v>0</v>
      </c>
      <c r="BN16" s="322">
        <v>0</v>
      </c>
      <c r="BO16" s="322">
        <v>0</v>
      </c>
      <c r="BP16" s="383">
        <f t="shared" si="47"/>
        <v>0</v>
      </c>
      <c r="BQ16" s="383">
        <f t="shared" si="48"/>
        <v>0</v>
      </c>
      <c r="BR16" s="383">
        <f t="shared" si="49"/>
        <v>0</v>
      </c>
      <c r="BS16" s="322">
        <v>0</v>
      </c>
      <c r="BT16" s="322">
        <v>0</v>
      </c>
      <c r="BU16" s="322">
        <v>0</v>
      </c>
      <c r="BV16" s="322">
        <v>0</v>
      </c>
      <c r="BW16" s="383">
        <f t="shared" si="50"/>
        <v>0</v>
      </c>
      <c r="BX16" s="383">
        <f t="shared" si="51"/>
        <v>0</v>
      </c>
      <c r="BY16" s="383">
        <f t="shared" si="52"/>
        <v>4008</v>
      </c>
      <c r="BZ16" s="322">
        <v>0</v>
      </c>
      <c r="CA16" s="322">
        <v>0</v>
      </c>
      <c r="CB16" s="322">
        <v>4008</v>
      </c>
      <c r="CC16" s="322">
        <v>12525</v>
      </c>
      <c r="CD16" s="383">
        <f t="shared" si="53"/>
        <v>0</v>
      </c>
      <c r="CE16" s="383">
        <f t="shared" si="54"/>
        <v>0</v>
      </c>
      <c r="CF16" s="383">
        <f t="shared" si="55"/>
        <v>0</v>
      </c>
      <c r="CG16" s="322">
        <v>0</v>
      </c>
      <c r="CH16" s="322">
        <v>0</v>
      </c>
      <c r="CI16" s="322">
        <v>0</v>
      </c>
      <c r="CJ16" s="322">
        <v>0</v>
      </c>
      <c r="CK16" s="383">
        <f t="shared" si="56"/>
        <v>18196</v>
      </c>
      <c r="CL16" s="322"/>
      <c r="CM16" s="322"/>
      <c r="CN16" s="322">
        <v>18196</v>
      </c>
      <c r="CO16" s="322"/>
    </row>
    <row r="17" spans="1:93" x14ac:dyDescent="0.25">
      <c r="A17" s="319" t="str">
        <f>Language!$G18</f>
        <v>Despesas de Exercícios Seguintes</v>
      </c>
      <c r="B17" s="320">
        <v>161</v>
      </c>
      <c r="C17" s="320">
        <v>599</v>
      </c>
      <c r="D17" s="320">
        <v>1121</v>
      </c>
      <c r="E17" s="321">
        <v>1335</v>
      </c>
      <c r="F17" s="320">
        <v>1170</v>
      </c>
      <c r="G17" s="320">
        <v>1116</v>
      </c>
      <c r="H17" s="320">
        <v>1509</v>
      </c>
      <c r="I17" s="321">
        <v>1381</v>
      </c>
      <c r="J17" s="320">
        <v>1200</v>
      </c>
      <c r="K17" s="320">
        <v>1001</v>
      </c>
      <c r="L17" s="320">
        <v>1465</v>
      </c>
      <c r="M17" s="321">
        <v>655</v>
      </c>
      <c r="N17" s="320">
        <v>1501</v>
      </c>
      <c r="O17" s="320">
        <v>959</v>
      </c>
      <c r="P17" s="320">
        <v>1847</v>
      </c>
      <c r="Q17" s="321">
        <v>1778</v>
      </c>
      <c r="R17" s="320">
        <v>1460</v>
      </c>
      <c r="S17" s="322">
        <v>1212</v>
      </c>
      <c r="T17" s="320">
        <v>2271</v>
      </c>
      <c r="U17" s="322">
        <v>570</v>
      </c>
      <c r="V17" s="320">
        <v>1212</v>
      </c>
      <c r="W17" s="320">
        <v>2271</v>
      </c>
      <c r="X17" s="321">
        <v>570</v>
      </c>
      <c r="Y17" s="320"/>
      <c r="Z17" s="322"/>
      <c r="AA17" s="320"/>
      <c r="AB17" s="322">
        <f t="shared" si="24"/>
        <v>525</v>
      </c>
      <c r="AC17" s="322"/>
      <c r="AD17" s="322"/>
      <c r="AE17" s="321">
        <v>525</v>
      </c>
      <c r="AF17" s="322">
        <v>421</v>
      </c>
      <c r="AG17" s="322">
        <f t="shared" si="25"/>
        <v>271</v>
      </c>
      <c r="AH17" s="320">
        <f t="shared" si="3"/>
        <v>127</v>
      </c>
      <c r="AI17" s="322">
        <f t="shared" si="4"/>
        <v>598</v>
      </c>
      <c r="AJ17" s="322">
        <v>271</v>
      </c>
      <c r="AK17" s="322">
        <v>127</v>
      </c>
      <c r="AL17" s="321">
        <v>598</v>
      </c>
      <c r="AM17" s="322">
        <v>459</v>
      </c>
      <c r="AN17" s="322">
        <f t="shared" si="26"/>
        <v>309</v>
      </c>
      <c r="AO17" s="322">
        <f t="shared" si="26"/>
        <v>0</v>
      </c>
      <c r="AP17" s="322">
        <f t="shared" si="26"/>
        <v>0</v>
      </c>
      <c r="AQ17" s="322">
        <v>309</v>
      </c>
      <c r="AR17" s="322"/>
      <c r="AS17" s="321"/>
      <c r="AT17" s="322"/>
      <c r="AU17" s="322"/>
      <c r="AV17" s="322">
        <f t="shared" si="40"/>
        <v>0</v>
      </c>
      <c r="AW17" s="322">
        <f t="shared" si="40"/>
        <v>0</v>
      </c>
      <c r="AX17" s="322"/>
      <c r="AY17" s="322">
        <v>0</v>
      </c>
      <c r="AZ17" s="738">
        <v>0</v>
      </c>
      <c r="BA17" s="738">
        <v>0</v>
      </c>
      <c r="BB17" s="322">
        <f t="shared" si="42"/>
        <v>0</v>
      </c>
      <c r="BC17" s="322">
        <f t="shared" si="43"/>
        <v>0</v>
      </c>
      <c r="BD17" s="322">
        <f t="shared" si="44"/>
        <v>0</v>
      </c>
      <c r="BE17" s="738">
        <v>0</v>
      </c>
      <c r="BF17" s="738">
        <v>0</v>
      </c>
      <c r="BG17" s="738">
        <v>0</v>
      </c>
      <c r="BH17" s="738">
        <v>0</v>
      </c>
      <c r="BI17" s="383">
        <f t="shared" si="45"/>
        <v>0</v>
      </c>
      <c r="BJ17" s="322">
        <f t="shared" si="57"/>
        <v>0</v>
      </c>
      <c r="BK17" s="383">
        <f t="shared" si="46"/>
        <v>0</v>
      </c>
      <c r="BL17" s="738">
        <v>0</v>
      </c>
      <c r="BM17" s="738">
        <v>0</v>
      </c>
      <c r="BN17" s="738">
        <v>0</v>
      </c>
      <c r="BO17" s="738">
        <v>0</v>
      </c>
      <c r="BP17" s="383">
        <f t="shared" si="47"/>
        <v>0</v>
      </c>
      <c r="BQ17" s="383">
        <f t="shared" si="48"/>
        <v>0</v>
      </c>
      <c r="BR17" s="383">
        <f t="shared" si="49"/>
        <v>0</v>
      </c>
      <c r="BS17" s="738">
        <v>0</v>
      </c>
      <c r="BT17" s="738">
        <v>0</v>
      </c>
      <c r="BU17" s="738">
        <v>0</v>
      </c>
      <c r="BV17" s="738">
        <v>0</v>
      </c>
      <c r="BW17" s="383">
        <f t="shared" si="50"/>
        <v>0</v>
      </c>
      <c r="BX17" s="383">
        <f t="shared" si="51"/>
        <v>0</v>
      </c>
      <c r="BY17" s="383">
        <f t="shared" si="52"/>
        <v>0</v>
      </c>
      <c r="BZ17" s="738">
        <v>0</v>
      </c>
      <c r="CA17" s="738">
        <v>0</v>
      </c>
      <c r="CB17" s="738">
        <v>0</v>
      </c>
      <c r="CC17" s="738">
        <v>0</v>
      </c>
      <c r="CD17" s="383">
        <f t="shared" si="53"/>
        <v>0</v>
      </c>
      <c r="CE17" s="383">
        <f t="shared" si="54"/>
        <v>0</v>
      </c>
      <c r="CF17" s="383">
        <f t="shared" si="55"/>
        <v>0</v>
      </c>
      <c r="CG17" s="738">
        <v>0</v>
      </c>
      <c r="CH17" s="738">
        <v>0</v>
      </c>
      <c r="CI17" s="738">
        <v>0</v>
      </c>
      <c r="CJ17" s="738">
        <v>0</v>
      </c>
      <c r="CK17" s="383">
        <f t="shared" si="56"/>
        <v>0</v>
      </c>
      <c r="CL17" s="738"/>
      <c r="CM17" s="738"/>
      <c r="CN17" s="738">
        <v>0</v>
      </c>
      <c r="CO17" s="738"/>
    </row>
    <row r="18" spans="1:93" x14ac:dyDescent="0.25">
      <c r="A18" s="694" t="s">
        <v>680</v>
      </c>
      <c r="B18" s="320"/>
      <c r="C18" s="320"/>
      <c r="D18" s="320"/>
      <c r="E18" s="321"/>
      <c r="F18" s="320"/>
      <c r="G18" s="320"/>
      <c r="H18" s="320"/>
      <c r="I18" s="321"/>
      <c r="J18" s="320"/>
      <c r="K18" s="320"/>
      <c r="L18" s="320"/>
      <c r="M18" s="321"/>
      <c r="N18" s="320"/>
      <c r="O18" s="320"/>
      <c r="P18" s="320"/>
      <c r="Q18" s="321"/>
      <c r="R18" s="320"/>
      <c r="S18" s="322"/>
      <c r="T18" s="320"/>
      <c r="U18" s="322"/>
      <c r="V18" s="320"/>
      <c r="W18" s="320"/>
      <c r="X18" s="321"/>
      <c r="Y18" s="320"/>
      <c r="Z18" s="322"/>
      <c r="AA18" s="320"/>
      <c r="AB18" s="322"/>
      <c r="AC18" s="322"/>
      <c r="AD18" s="322"/>
      <c r="AE18" s="321">
        <v>6451</v>
      </c>
      <c r="AF18" s="322"/>
      <c r="AG18" s="322"/>
      <c r="AH18" s="320"/>
      <c r="AI18" s="322"/>
      <c r="AJ18" s="322"/>
      <c r="AK18" s="322"/>
      <c r="AL18" s="321"/>
      <c r="AM18" s="322"/>
      <c r="AN18" s="322"/>
      <c r="AO18" s="322"/>
      <c r="AP18" s="322"/>
      <c r="AQ18" s="322"/>
      <c r="AR18" s="322"/>
      <c r="AS18" s="321"/>
      <c r="AT18" s="322"/>
      <c r="AU18" s="322">
        <v>32001</v>
      </c>
      <c r="AV18" s="322">
        <f t="shared" si="40"/>
        <v>0</v>
      </c>
      <c r="AW18" s="322">
        <f t="shared" si="40"/>
        <v>0</v>
      </c>
      <c r="AX18" s="322">
        <f t="shared" ref="AX18:AX19" si="58">AU18</f>
        <v>32001</v>
      </c>
      <c r="AY18" s="322">
        <v>0</v>
      </c>
      <c r="AZ18" s="738">
        <v>0</v>
      </c>
      <c r="BA18" s="738">
        <v>0</v>
      </c>
      <c r="BB18" s="322">
        <f t="shared" si="42"/>
        <v>0</v>
      </c>
      <c r="BC18" s="322">
        <f t="shared" si="43"/>
        <v>0</v>
      </c>
      <c r="BD18" s="322">
        <f t="shared" si="44"/>
        <v>0</v>
      </c>
      <c r="BE18" s="738">
        <v>0</v>
      </c>
      <c r="BF18" s="738">
        <v>0</v>
      </c>
      <c r="BG18" s="738">
        <v>0</v>
      </c>
      <c r="BH18" s="738">
        <v>0</v>
      </c>
      <c r="BI18" s="383">
        <f t="shared" si="45"/>
        <v>0</v>
      </c>
      <c r="BJ18" s="322">
        <f t="shared" si="57"/>
        <v>0</v>
      </c>
      <c r="BK18" s="383">
        <f t="shared" si="46"/>
        <v>0</v>
      </c>
      <c r="BL18" s="738">
        <v>0</v>
      </c>
      <c r="BM18" s="738">
        <v>0</v>
      </c>
      <c r="BN18" s="738">
        <v>0</v>
      </c>
      <c r="BO18" s="738">
        <v>0</v>
      </c>
      <c r="BP18" s="383">
        <f t="shared" si="47"/>
        <v>0</v>
      </c>
      <c r="BQ18" s="383">
        <f t="shared" si="48"/>
        <v>0</v>
      </c>
      <c r="BR18" s="383">
        <f t="shared" si="49"/>
        <v>0</v>
      </c>
      <c r="BS18" s="738">
        <v>0</v>
      </c>
      <c r="BT18" s="738">
        <v>0</v>
      </c>
      <c r="BU18" s="738">
        <v>0</v>
      </c>
      <c r="BV18" s="738"/>
      <c r="BW18" s="383">
        <f t="shared" si="50"/>
        <v>0</v>
      </c>
      <c r="BX18" s="383">
        <f t="shared" si="51"/>
        <v>0</v>
      </c>
      <c r="BY18" s="383">
        <f t="shared" si="52"/>
        <v>0</v>
      </c>
      <c r="BZ18" s="738"/>
      <c r="CA18" s="738"/>
      <c r="CB18" s="738">
        <v>0</v>
      </c>
      <c r="CC18" s="738">
        <v>0</v>
      </c>
      <c r="CD18" s="383">
        <f t="shared" si="53"/>
        <v>0</v>
      </c>
      <c r="CE18" s="383">
        <f t="shared" si="54"/>
        <v>0</v>
      </c>
      <c r="CF18" s="383">
        <f t="shared" si="55"/>
        <v>0</v>
      </c>
      <c r="CG18" s="738">
        <v>0</v>
      </c>
      <c r="CH18" s="738">
        <v>0</v>
      </c>
      <c r="CI18" s="738">
        <v>0</v>
      </c>
      <c r="CJ18" s="738">
        <v>0</v>
      </c>
      <c r="CK18" s="383">
        <f t="shared" si="56"/>
        <v>0</v>
      </c>
      <c r="CL18" s="738"/>
      <c r="CM18" s="738"/>
      <c r="CN18" s="738">
        <v>0</v>
      </c>
      <c r="CO18" s="738"/>
    </row>
    <row r="19" spans="1:93" x14ac:dyDescent="0.25">
      <c r="A19" s="319" t="str">
        <f>Language!$G19</f>
        <v>Outros Créditos</v>
      </c>
      <c r="B19" s="320">
        <v>111</v>
      </c>
      <c r="C19" s="320">
        <v>85</v>
      </c>
      <c r="D19" s="320">
        <v>537</v>
      </c>
      <c r="E19" s="321">
        <v>542</v>
      </c>
      <c r="F19" s="320">
        <v>1132</v>
      </c>
      <c r="G19" s="320">
        <v>1175</v>
      </c>
      <c r="H19" s="320">
        <v>1906</v>
      </c>
      <c r="I19" s="321">
        <v>3195</v>
      </c>
      <c r="J19" s="320">
        <v>4880</v>
      </c>
      <c r="K19" s="320">
        <v>1697</v>
      </c>
      <c r="L19" s="320">
        <v>2411</v>
      </c>
      <c r="M19" s="321">
        <v>1800</v>
      </c>
      <c r="N19" s="320">
        <v>1628</v>
      </c>
      <c r="O19" s="320">
        <v>1717</v>
      </c>
      <c r="P19" s="320">
        <v>216</v>
      </c>
      <c r="Q19" s="321">
        <v>12</v>
      </c>
      <c r="R19" s="320">
        <v>531</v>
      </c>
      <c r="S19" s="322">
        <v>612</v>
      </c>
      <c r="T19" s="320">
        <v>513</v>
      </c>
      <c r="U19" s="322">
        <v>9</v>
      </c>
      <c r="V19" s="320">
        <v>612</v>
      </c>
      <c r="W19" s="320">
        <v>513</v>
      </c>
      <c r="X19" s="321">
        <v>9</v>
      </c>
      <c r="Y19" s="320">
        <v>449</v>
      </c>
      <c r="Z19" s="322">
        <f t="shared" si="22"/>
        <v>385</v>
      </c>
      <c r="AA19" s="320">
        <f t="shared" si="23"/>
        <v>168</v>
      </c>
      <c r="AB19" s="322">
        <f t="shared" si="24"/>
        <v>40</v>
      </c>
      <c r="AC19" s="322">
        <v>385</v>
      </c>
      <c r="AD19" s="322">
        <v>168</v>
      </c>
      <c r="AE19" s="321">
        <v>40</v>
      </c>
      <c r="AF19" s="322">
        <v>3</v>
      </c>
      <c r="AG19" s="322">
        <f t="shared" si="25"/>
        <v>18</v>
      </c>
      <c r="AH19" s="320">
        <f t="shared" si="3"/>
        <v>32</v>
      </c>
      <c r="AI19" s="322">
        <f t="shared" si="4"/>
        <v>128</v>
      </c>
      <c r="AJ19" s="322">
        <v>18</v>
      </c>
      <c r="AK19" s="322">
        <v>32</v>
      </c>
      <c r="AL19" s="321">
        <v>128</v>
      </c>
      <c r="AM19" s="322">
        <v>196</v>
      </c>
      <c r="AN19" s="322">
        <f t="shared" si="26"/>
        <v>228</v>
      </c>
      <c r="AO19" s="322">
        <f t="shared" si="26"/>
        <v>438</v>
      </c>
      <c r="AP19" s="322">
        <f t="shared" si="26"/>
        <v>810</v>
      </c>
      <c r="AQ19" s="322">
        <v>228</v>
      </c>
      <c r="AR19" s="322">
        <v>438</v>
      </c>
      <c r="AS19" s="321">
        <v>810</v>
      </c>
      <c r="AT19" s="322">
        <v>802</v>
      </c>
      <c r="AU19" s="322">
        <v>356</v>
      </c>
      <c r="AV19" s="322">
        <f t="shared" si="40"/>
        <v>306</v>
      </c>
      <c r="AW19" s="322">
        <f t="shared" si="40"/>
        <v>899</v>
      </c>
      <c r="AX19" s="322">
        <f t="shared" si="58"/>
        <v>356</v>
      </c>
      <c r="AY19" s="322">
        <v>306</v>
      </c>
      <c r="AZ19" s="322">
        <v>899</v>
      </c>
      <c r="BA19" s="322">
        <v>713</v>
      </c>
      <c r="BB19" s="322">
        <f t="shared" si="42"/>
        <v>584</v>
      </c>
      <c r="BC19" s="322">
        <f t="shared" si="43"/>
        <v>485</v>
      </c>
      <c r="BD19" s="322">
        <f t="shared" si="44"/>
        <v>1372</v>
      </c>
      <c r="BE19" s="322">
        <v>584</v>
      </c>
      <c r="BF19" s="322">
        <v>485</v>
      </c>
      <c r="BG19" s="322">
        <v>1372</v>
      </c>
      <c r="BH19" s="322">
        <v>1465</v>
      </c>
      <c r="BI19" s="383">
        <f t="shared" si="45"/>
        <v>1173</v>
      </c>
      <c r="BJ19" s="322">
        <f t="shared" si="57"/>
        <v>1221</v>
      </c>
      <c r="BK19" s="383">
        <f t="shared" si="46"/>
        <v>2285</v>
      </c>
      <c r="BL19" s="322">
        <v>1173</v>
      </c>
      <c r="BM19" s="322">
        <v>1221</v>
      </c>
      <c r="BN19" s="322">
        <v>2285</v>
      </c>
      <c r="BO19" s="322">
        <v>2145</v>
      </c>
      <c r="BP19" s="383">
        <f t="shared" si="47"/>
        <v>1981</v>
      </c>
      <c r="BQ19" s="383">
        <f t="shared" si="48"/>
        <v>1339</v>
      </c>
      <c r="BR19" s="383">
        <f t="shared" si="49"/>
        <v>2346</v>
      </c>
      <c r="BS19" s="322">
        <v>1981</v>
      </c>
      <c r="BT19" s="322">
        <v>1339</v>
      </c>
      <c r="BU19" s="322">
        <v>2346</v>
      </c>
      <c r="BV19" s="322">
        <v>2298</v>
      </c>
      <c r="BW19" s="383">
        <f t="shared" si="50"/>
        <v>1961</v>
      </c>
      <c r="BX19" s="383">
        <f t="shared" si="51"/>
        <v>644</v>
      </c>
      <c r="BY19" s="383">
        <f t="shared" si="52"/>
        <v>1901</v>
      </c>
      <c r="BZ19" s="322">
        <v>1961</v>
      </c>
      <c r="CA19" s="322">
        <v>644</v>
      </c>
      <c r="CB19" s="322">
        <v>1901</v>
      </c>
      <c r="CC19" s="322">
        <v>1548</v>
      </c>
      <c r="CD19" s="383">
        <f t="shared" si="53"/>
        <v>1269</v>
      </c>
      <c r="CE19" s="383">
        <f t="shared" si="54"/>
        <v>1009</v>
      </c>
      <c r="CF19" s="383">
        <f t="shared" si="55"/>
        <v>2500</v>
      </c>
      <c r="CG19" s="322">
        <v>1269</v>
      </c>
      <c r="CH19" s="322">
        <v>1009</v>
      </c>
      <c r="CI19" s="322">
        <v>2500</v>
      </c>
      <c r="CJ19" s="322">
        <v>2424</v>
      </c>
      <c r="CK19" s="383">
        <f t="shared" si="56"/>
        <v>1517</v>
      </c>
      <c r="CL19" s="322"/>
      <c r="CM19" s="322"/>
      <c r="CN19" s="322">
        <v>1517</v>
      </c>
      <c r="CO19" s="322"/>
    </row>
    <row r="20" spans="1:93" s="377" customFormat="1" ht="13" x14ac:dyDescent="0.3">
      <c r="A20" s="323" t="str">
        <f>Language!$G20</f>
        <v>Ativo Não Circulante</v>
      </c>
      <c r="B20" s="323">
        <f t="shared" ref="B20:Q20" si="59">SUM(B21,B22,B23,B24)</f>
        <v>716206</v>
      </c>
      <c r="C20" s="323">
        <f t="shared" si="59"/>
        <v>774567</v>
      </c>
      <c r="D20" s="323">
        <f t="shared" si="59"/>
        <v>803705</v>
      </c>
      <c r="E20" s="324">
        <f t="shared" si="59"/>
        <v>876111</v>
      </c>
      <c r="F20" s="323">
        <f t="shared" si="59"/>
        <v>961225</v>
      </c>
      <c r="G20" s="323">
        <f t="shared" si="59"/>
        <v>1041272</v>
      </c>
      <c r="H20" s="323">
        <f t="shared" si="59"/>
        <v>1161515</v>
      </c>
      <c r="I20" s="324">
        <f t="shared" si="59"/>
        <v>1307287</v>
      </c>
      <c r="J20" s="323">
        <f t="shared" si="59"/>
        <v>1447825</v>
      </c>
      <c r="K20" s="323">
        <f t="shared" si="59"/>
        <v>1616215</v>
      </c>
      <c r="L20" s="323">
        <f t="shared" si="59"/>
        <v>1622738</v>
      </c>
      <c r="M20" s="324">
        <f t="shared" si="59"/>
        <v>1659887</v>
      </c>
      <c r="N20" s="323">
        <f t="shared" si="59"/>
        <v>1654526</v>
      </c>
      <c r="O20" s="323">
        <f t="shared" si="59"/>
        <v>1648267</v>
      </c>
      <c r="P20" s="323">
        <f t="shared" si="59"/>
        <v>1641166</v>
      </c>
      <c r="Q20" s="324">
        <f t="shared" si="59"/>
        <v>1637150</v>
      </c>
      <c r="R20" s="323">
        <v>1623298</v>
      </c>
      <c r="S20" s="323">
        <v>1609296</v>
      </c>
      <c r="T20" s="323">
        <v>1641583</v>
      </c>
      <c r="U20" s="323">
        <v>13003</v>
      </c>
      <c r="V20" s="323">
        <v>1609296</v>
      </c>
      <c r="W20" s="323">
        <v>1641583</v>
      </c>
      <c r="X20" s="323">
        <v>13003</v>
      </c>
      <c r="Y20" s="323">
        <f t="shared" ref="Y20" si="60">Y21+Y22</f>
        <v>13177</v>
      </c>
      <c r="Z20" s="323">
        <f t="shared" si="22"/>
        <v>19940</v>
      </c>
      <c r="AA20" s="323">
        <f t="shared" si="23"/>
        <v>24042</v>
      </c>
      <c r="AB20" s="323">
        <f t="shared" si="24"/>
        <v>11500</v>
      </c>
      <c r="AC20" s="323">
        <f t="shared" ref="AC20:AF20" si="61">AC21+AC22</f>
        <v>19940</v>
      </c>
      <c r="AD20" s="323">
        <f t="shared" si="61"/>
        <v>24042</v>
      </c>
      <c r="AE20" s="323">
        <f t="shared" si="61"/>
        <v>11500</v>
      </c>
      <c r="AF20" s="323">
        <f t="shared" si="61"/>
        <v>21923</v>
      </c>
      <c r="AG20" s="323">
        <f t="shared" si="25"/>
        <v>26288</v>
      </c>
      <c r="AH20" s="323">
        <f t="shared" si="3"/>
        <v>26877</v>
      </c>
      <c r="AI20" s="323">
        <f t="shared" si="4"/>
        <v>26321</v>
      </c>
      <c r="AJ20" s="323">
        <f t="shared" ref="AJ20" si="62">AJ21+AJ22</f>
        <v>26288</v>
      </c>
      <c r="AK20" s="323">
        <f t="shared" ref="AK20" si="63">AK21+AK22</f>
        <v>26877</v>
      </c>
      <c r="AL20" s="323">
        <f t="shared" ref="AL20" si="64">AL21+AL22</f>
        <v>26321</v>
      </c>
      <c r="AM20" s="323">
        <f t="shared" ref="AM20" si="65">AM21+AM22</f>
        <v>27376</v>
      </c>
      <c r="AN20" s="323">
        <f t="shared" si="26"/>
        <v>27124</v>
      </c>
      <c r="AO20" s="323">
        <f t="shared" si="26"/>
        <v>26977</v>
      </c>
      <c r="AP20" s="323">
        <f t="shared" si="26"/>
        <v>25613</v>
      </c>
      <c r="AQ20" s="323">
        <f t="shared" ref="AQ20:AR20" si="66">AQ21+AQ22</f>
        <v>27124</v>
      </c>
      <c r="AR20" s="323">
        <f t="shared" si="66"/>
        <v>26977</v>
      </c>
      <c r="AS20" s="323">
        <f t="shared" ref="AS20:BA20" si="67">AS21+AS22</f>
        <v>25613</v>
      </c>
      <c r="AT20" s="323">
        <f t="shared" si="67"/>
        <v>26321</v>
      </c>
      <c r="AU20" s="323">
        <f t="shared" si="67"/>
        <v>27336</v>
      </c>
      <c r="AV20" s="323">
        <f t="shared" si="67"/>
        <v>27214</v>
      </c>
      <c r="AW20" s="323">
        <f t="shared" si="67"/>
        <v>28962</v>
      </c>
      <c r="AX20" s="323">
        <f t="shared" si="67"/>
        <v>27336</v>
      </c>
      <c r="AY20" s="323">
        <f t="shared" si="67"/>
        <v>27214</v>
      </c>
      <c r="AZ20" s="323">
        <f t="shared" si="67"/>
        <v>28962</v>
      </c>
      <c r="BA20" s="323">
        <f t="shared" si="67"/>
        <v>29667</v>
      </c>
      <c r="BB20" s="323">
        <f t="shared" ref="BB20:BD20" si="68">BB21+BB22</f>
        <v>30036</v>
      </c>
      <c r="BC20" s="323">
        <f t="shared" si="68"/>
        <v>30409</v>
      </c>
      <c r="BD20" s="323">
        <f t="shared" si="68"/>
        <v>30788</v>
      </c>
      <c r="BE20" s="323">
        <f>BE21+BE22</f>
        <v>30036</v>
      </c>
      <c r="BF20" s="323">
        <f>BF21+BF22</f>
        <v>30409</v>
      </c>
      <c r="BG20" s="323">
        <f>BG21+BG22</f>
        <v>30788</v>
      </c>
      <c r="BH20" s="323">
        <f>BH21+BH22</f>
        <v>32257</v>
      </c>
      <c r="BI20" s="323">
        <f t="shared" ref="BI20:BL20" si="69">BI21+BI22</f>
        <v>34177</v>
      </c>
      <c r="BJ20" s="323">
        <f t="shared" si="69"/>
        <v>34438</v>
      </c>
      <c r="BK20" s="323">
        <f t="shared" si="69"/>
        <v>35740</v>
      </c>
      <c r="BL20" s="323">
        <f t="shared" si="69"/>
        <v>34177</v>
      </c>
      <c r="BM20" s="323">
        <f t="shared" ref="BM20:BN20" si="70">BM21+BM22</f>
        <v>34438</v>
      </c>
      <c r="BN20" s="323">
        <f t="shared" si="70"/>
        <v>35740</v>
      </c>
      <c r="BO20" s="323">
        <f t="shared" ref="BO20:BS20" si="71">BO21+BO22</f>
        <v>35531</v>
      </c>
      <c r="BP20" s="323">
        <f t="shared" si="71"/>
        <v>36161</v>
      </c>
      <c r="BQ20" s="323">
        <f t="shared" si="71"/>
        <v>37215</v>
      </c>
      <c r="BR20" s="323">
        <f t="shared" si="71"/>
        <v>55200</v>
      </c>
      <c r="BS20" s="323">
        <f t="shared" si="71"/>
        <v>36161</v>
      </c>
      <c r="BT20" s="323">
        <f t="shared" ref="BT20:BU20" si="72">BT21+BT22</f>
        <v>37215</v>
      </c>
      <c r="BU20" s="323">
        <f t="shared" si="72"/>
        <v>55200</v>
      </c>
      <c r="BV20" s="323">
        <f t="shared" ref="BV20:BY20" si="73">BV21+BV22</f>
        <v>54877</v>
      </c>
      <c r="BW20" s="323">
        <f>BW21+BW22</f>
        <v>55653</v>
      </c>
      <c r="BX20" s="323">
        <f t="shared" si="73"/>
        <v>54245</v>
      </c>
      <c r="BY20" s="323">
        <f t="shared" si="73"/>
        <v>53992</v>
      </c>
      <c r="BZ20" s="323">
        <f t="shared" ref="BZ20:CA20" si="74">BZ21+BZ22</f>
        <v>55653</v>
      </c>
      <c r="CA20" s="323">
        <f t="shared" si="74"/>
        <v>54245</v>
      </c>
      <c r="CB20" s="323">
        <f t="shared" ref="CB20:CC20" si="75">CB21+CB22</f>
        <v>53992</v>
      </c>
      <c r="CC20" s="323">
        <f t="shared" si="75"/>
        <v>53127</v>
      </c>
      <c r="CD20" s="323">
        <f t="shared" ref="CD20" si="76">CD21+CD22</f>
        <v>52745</v>
      </c>
      <c r="CE20" s="323">
        <f t="shared" ref="CE20:CG20" si="77">CE21+CE22</f>
        <v>52839</v>
      </c>
      <c r="CF20" s="323">
        <f t="shared" si="77"/>
        <v>54185</v>
      </c>
      <c r="CG20" s="323">
        <f t="shared" si="77"/>
        <v>52745</v>
      </c>
      <c r="CH20" s="323">
        <f t="shared" ref="CH20:CI20" si="78">CH21+CH22</f>
        <v>52839</v>
      </c>
      <c r="CI20" s="323">
        <f t="shared" si="78"/>
        <v>54185</v>
      </c>
      <c r="CJ20" s="323">
        <v>54348</v>
      </c>
      <c r="CK20" s="323">
        <f t="shared" ref="CK20:CO20" si="79">CK21+CK22</f>
        <v>71691</v>
      </c>
      <c r="CL20" s="323">
        <f t="shared" si="79"/>
        <v>0</v>
      </c>
      <c r="CM20" s="323">
        <f t="shared" si="79"/>
        <v>0</v>
      </c>
      <c r="CN20" s="323">
        <f t="shared" si="79"/>
        <v>71691</v>
      </c>
      <c r="CO20" s="323">
        <f t="shared" si="79"/>
        <v>0</v>
      </c>
    </row>
    <row r="21" spans="1:93" x14ac:dyDescent="0.25">
      <c r="A21" s="319" t="str">
        <f>Language!$G21</f>
        <v>Realizável a Longo Prazo (RLP)</v>
      </c>
      <c r="B21" s="320">
        <v>30753</v>
      </c>
      <c r="C21" s="320">
        <v>28434</v>
      </c>
      <c r="D21" s="320">
        <v>29074</v>
      </c>
      <c r="E21" s="321">
        <v>21894</v>
      </c>
      <c r="F21" s="320">
        <v>19590</v>
      </c>
      <c r="G21" s="320">
        <v>17275</v>
      </c>
      <c r="H21" s="320">
        <v>14974</v>
      </c>
      <c r="I21" s="321">
        <v>12807</v>
      </c>
      <c r="J21" s="320">
        <v>10346</v>
      </c>
      <c r="K21" s="320">
        <v>80867</v>
      </c>
      <c r="L21" s="320">
        <v>11268</v>
      </c>
      <c r="M21" s="321">
        <v>5288</v>
      </c>
      <c r="N21" s="320">
        <v>5888</v>
      </c>
      <c r="O21" s="320">
        <v>5864</v>
      </c>
      <c r="P21" s="320">
        <v>4095</v>
      </c>
      <c r="Q21" s="321">
        <v>4058</v>
      </c>
      <c r="R21" s="320">
        <v>4098</v>
      </c>
      <c r="S21" s="322">
        <v>4017</v>
      </c>
      <c r="T21" s="320">
        <v>51998</v>
      </c>
      <c r="U21" s="322">
        <v>1</v>
      </c>
      <c r="V21" s="320">
        <v>4017</v>
      </c>
      <c r="W21" s="320">
        <v>51998</v>
      </c>
      <c r="X21" s="321">
        <v>1</v>
      </c>
      <c r="Y21" s="320">
        <v>1</v>
      </c>
      <c r="Z21" s="322">
        <f t="shared" si="22"/>
        <v>1</v>
      </c>
      <c r="AA21" s="320">
        <f t="shared" si="23"/>
        <v>1</v>
      </c>
      <c r="AB21" s="322">
        <f t="shared" si="24"/>
        <v>133</v>
      </c>
      <c r="AC21" s="322">
        <v>1</v>
      </c>
      <c r="AD21" s="322">
        <v>1</v>
      </c>
      <c r="AE21" s="321">
        <v>133</v>
      </c>
      <c r="AF21" s="322">
        <v>133</v>
      </c>
      <c r="AG21" s="322">
        <f t="shared" si="25"/>
        <v>45</v>
      </c>
      <c r="AH21" s="320">
        <f t="shared" si="3"/>
        <v>64</v>
      </c>
      <c r="AI21" s="322">
        <f t="shared" si="4"/>
        <v>-835</v>
      </c>
      <c r="AJ21" s="322">
        <v>45</v>
      </c>
      <c r="AK21" s="322">
        <v>64</v>
      </c>
      <c r="AL21" s="321">
        <v>-835</v>
      </c>
      <c r="AM21" s="322">
        <v>261</v>
      </c>
      <c r="AN21" s="322">
        <f t="shared" si="26"/>
        <v>59</v>
      </c>
      <c r="AO21" s="322">
        <f t="shared" si="26"/>
        <v>89</v>
      </c>
      <c r="AP21" s="322">
        <f t="shared" si="26"/>
        <v>119</v>
      </c>
      <c r="AQ21" s="322">
        <v>59</v>
      </c>
      <c r="AR21" s="322">
        <v>89</v>
      </c>
      <c r="AS21" s="321">
        <v>119</v>
      </c>
      <c r="AT21" s="322">
        <v>138</v>
      </c>
      <c r="AU21" s="322">
        <v>178</v>
      </c>
      <c r="AV21" s="322">
        <f>AY21</f>
        <v>91</v>
      </c>
      <c r="AW21" s="322">
        <f>AZ21</f>
        <v>128</v>
      </c>
      <c r="AX21" s="322">
        <f>AU21</f>
        <v>178</v>
      </c>
      <c r="AY21" s="322">
        <v>91</v>
      </c>
      <c r="AZ21" s="322">
        <v>128</v>
      </c>
      <c r="BA21" s="322">
        <v>154</v>
      </c>
      <c r="BB21" s="322">
        <f>BE21</f>
        <v>19</v>
      </c>
      <c r="BC21" s="322">
        <f>BF21</f>
        <v>22</v>
      </c>
      <c r="BD21" s="322">
        <f>BG21</f>
        <v>19</v>
      </c>
      <c r="BE21" s="322">
        <v>19</v>
      </c>
      <c r="BF21" s="322">
        <v>22</v>
      </c>
      <c r="BG21" s="322">
        <v>19</v>
      </c>
      <c r="BH21" s="322">
        <v>22</v>
      </c>
      <c r="BI21" s="322">
        <f>BL21</f>
        <v>263</v>
      </c>
      <c r="BJ21" s="322">
        <f>BM21</f>
        <v>288</v>
      </c>
      <c r="BK21" s="322">
        <f>BN21</f>
        <v>501</v>
      </c>
      <c r="BL21" s="322">
        <v>263</v>
      </c>
      <c r="BM21" s="322">
        <v>288</v>
      </c>
      <c r="BN21" s="322">
        <v>501</v>
      </c>
      <c r="BO21" s="322">
        <v>481</v>
      </c>
      <c r="BP21" s="322">
        <f>BS21</f>
        <v>297</v>
      </c>
      <c r="BQ21" s="322">
        <f>BT21</f>
        <v>322</v>
      </c>
      <c r="BR21" s="322">
        <f>BU21</f>
        <v>396</v>
      </c>
      <c r="BS21" s="322">
        <v>297</v>
      </c>
      <c r="BT21" s="322">
        <v>322</v>
      </c>
      <c r="BU21" s="322">
        <v>396</v>
      </c>
      <c r="BV21" s="322">
        <v>482</v>
      </c>
      <c r="BW21" s="322">
        <f>BZ21</f>
        <v>264</v>
      </c>
      <c r="BX21" s="322">
        <f>CA21</f>
        <v>230</v>
      </c>
      <c r="BY21" s="322">
        <f>CB21</f>
        <v>337</v>
      </c>
      <c r="BZ21" s="322">
        <v>264</v>
      </c>
      <c r="CA21" s="322">
        <v>230</v>
      </c>
      <c r="CB21" s="322">
        <v>337</v>
      </c>
      <c r="CC21" s="322">
        <v>392</v>
      </c>
      <c r="CD21" s="322">
        <f>CG21</f>
        <v>187</v>
      </c>
      <c r="CE21" s="322">
        <f>CH21</f>
        <v>244</v>
      </c>
      <c r="CF21" s="322">
        <f>CI21</f>
        <v>303</v>
      </c>
      <c r="CG21" s="322">
        <v>187</v>
      </c>
      <c r="CH21" s="322">
        <v>244</v>
      </c>
      <c r="CI21" s="322">
        <v>303</v>
      </c>
      <c r="CJ21" s="322">
        <v>547</v>
      </c>
      <c r="CK21" s="322">
        <f>CN21</f>
        <v>18736</v>
      </c>
      <c r="CL21" s="322"/>
      <c r="CM21" s="322"/>
      <c r="CN21" s="322">
        <v>18736</v>
      </c>
      <c r="CO21" s="322"/>
    </row>
    <row r="22" spans="1:93" x14ac:dyDescent="0.25">
      <c r="A22" s="319" t="str">
        <f>Language!$G22</f>
        <v>Investimentos</v>
      </c>
      <c r="B22" s="320">
        <v>0</v>
      </c>
      <c r="C22" s="320">
        <v>0</v>
      </c>
      <c r="D22" s="320">
        <v>0</v>
      </c>
      <c r="E22" s="321">
        <v>0</v>
      </c>
      <c r="F22" s="320">
        <v>0</v>
      </c>
      <c r="G22" s="320">
        <v>0</v>
      </c>
      <c r="H22" s="320">
        <v>0</v>
      </c>
      <c r="I22" s="321">
        <v>0</v>
      </c>
      <c r="J22" s="320">
        <v>0</v>
      </c>
      <c r="K22" s="320">
        <v>0</v>
      </c>
      <c r="L22" s="320">
        <v>0</v>
      </c>
      <c r="M22" s="321">
        <v>0</v>
      </c>
      <c r="N22" s="320">
        <v>0</v>
      </c>
      <c r="O22" s="320">
        <v>0</v>
      </c>
      <c r="P22" s="320">
        <v>0</v>
      </c>
      <c r="Q22" s="321">
        <v>0</v>
      </c>
      <c r="R22" s="320">
        <v>0</v>
      </c>
      <c r="S22" s="322">
        <v>0</v>
      </c>
      <c r="T22" s="320">
        <v>0</v>
      </c>
      <c r="U22" s="322">
        <v>0</v>
      </c>
      <c r="V22" s="320">
        <v>0</v>
      </c>
      <c r="W22" s="320">
        <v>0</v>
      </c>
      <c r="X22" s="321">
        <v>0</v>
      </c>
      <c r="Y22" s="320">
        <v>13176</v>
      </c>
      <c r="Z22" s="322">
        <f t="shared" si="22"/>
        <v>19939</v>
      </c>
      <c r="AA22" s="320">
        <f t="shared" si="23"/>
        <v>24041</v>
      </c>
      <c r="AB22" s="322">
        <f t="shared" si="24"/>
        <v>11367</v>
      </c>
      <c r="AC22" s="322">
        <v>19939</v>
      </c>
      <c r="AD22" s="322">
        <v>24041</v>
      </c>
      <c r="AE22" s="321">
        <v>11367</v>
      </c>
      <c r="AF22" s="322">
        <v>21790</v>
      </c>
      <c r="AG22" s="322">
        <f t="shared" si="25"/>
        <v>26243</v>
      </c>
      <c r="AH22" s="320">
        <f t="shared" si="3"/>
        <v>26813</v>
      </c>
      <c r="AI22" s="322">
        <f t="shared" si="4"/>
        <v>27156</v>
      </c>
      <c r="AJ22" s="322">
        <v>26243</v>
      </c>
      <c r="AK22" s="322">
        <v>26813</v>
      </c>
      <c r="AL22" s="321">
        <v>27156</v>
      </c>
      <c r="AM22" s="322">
        <v>27115</v>
      </c>
      <c r="AN22" s="322">
        <f t="shared" si="26"/>
        <v>27065</v>
      </c>
      <c r="AO22" s="322">
        <f t="shared" si="26"/>
        <v>26888</v>
      </c>
      <c r="AP22" s="322">
        <f t="shared" si="26"/>
        <v>25494</v>
      </c>
      <c r="AQ22" s="322">
        <v>27065</v>
      </c>
      <c r="AR22" s="322">
        <v>26888</v>
      </c>
      <c r="AS22" s="321">
        <v>25494</v>
      </c>
      <c r="AT22" s="322">
        <v>26183</v>
      </c>
      <c r="AU22" s="322">
        <v>27158</v>
      </c>
      <c r="AV22" s="322">
        <f t="shared" ref="AV22:AW24" si="80">AY22</f>
        <v>27123</v>
      </c>
      <c r="AW22" s="322">
        <f t="shared" si="80"/>
        <v>28834</v>
      </c>
      <c r="AX22" s="322">
        <f>AU22</f>
        <v>27158</v>
      </c>
      <c r="AY22" s="322">
        <v>27123</v>
      </c>
      <c r="AZ22" s="322">
        <v>28834</v>
      </c>
      <c r="BA22" s="322">
        <v>29513</v>
      </c>
      <c r="BB22" s="322">
        <f t="shared" ref="BB22:BB24" si="81">BE22</f>
        <v>30017</v>
      </c>
      <c r="BC22" s="322">
        <f t="shared" ref="BC22:BC24" si="82">BF22</f>
        <v>30387</v>
      </c>
      <c r="BD22" s="322">
        <f t="shared" ref="BD22:BD24" si="83">BG22</f>
        <v>30769</v>
      </c>
      <c r="BE22" s="322">
        <v>30017</v>
      </c>
      <c r="BF22" s="322">
        <v>30387</v>
      </c>
      <c r="BG22" s="322">
        <v>30769</v>
      </c>
      <c r="BH22" s="322">
        <v>32235</v>
      </c>
      <c r="BI22" s="322">
        <f t="shared" ref="BI22:BI24" si="84">BL22</f>
        <v>33914</v>
      </c>
      <c r="BJ22" s="322">
        <f t="shared" ref="BJ22:BJ24" si="85">BM22</f>
        <v>34150</v>
      </c>
      <c r="BK22" s="322">
        <f t="shared" ref="BK22:BK24" si="86">BN22</f>
        <v>35239</v>
      </c>
      <c r="BL22" s="322">
        <v>33914</v>
      </c>
      <c r="BM22" s="322">
        <v>34150</v>
      </c>
      <c r="BN22" s="322">
        <v>35239</v>
      </c>
      <c r="BO22" s="322">
        <v>35050</v>
      </c>
      <c r="BP22" s="322">
        <f t="shared" ref="BP22:BP24" si="87">BS22</f>
        <v>35864</v>
      </c>
      <c r="BQ22" s="322">
        <f t="shared" ref="BQ22:BQ24" si="88">BT22</f>
        <v>36893</v>
      </c>
      <c r="BR22" s="322">
        <f t="shared" ref="BR22:BR24" si="89">BU22</f>
        <v>54804</v>
      </c>
      <c r="BS22" s="322">
        <v>35864</v>
      </c>
      <c r="BT22" s="322">
        <v>36893</v>
      </c>
      <c r="BU22" s="322">
        <v>54804</v>
      </c>
      <c r="BV22" s="322">
        <v>54395</v>
      </c>
      <c r="BW22" s="322">
        <f t="shared" ref="BW22:BW24" si="90">BZ22</f>
        <v>55389</v>
      </c>
      <c r="BX22" s="322">
        <f t="shared" ref="BX22:BX24" si="91">CA22</f>
        <v>54015</v>
      </c>
      <c r="BY22" s="322">
        <f t="shared" ref="BY22:BY24" si="92">CB22</f>
        <v>53655</v>
      </c>
      <c r="BZ22" s="322">
        <v>55389</v>
      </c>
      <c r="CA22" s="322">
        <v>54015</v>
      </c>
      <c r="CB22" s="322">
        <v>53655</v>
      </c>
      <c r="CC22" s="322">
        <v>52735</v>
      </c>
      <c r="CD22" s="322">
        <f t="shared" ref="CD22:CD24" si="93">CG22</f>
        <v>52558</v>
      </c>
      <c r="CE22" s="322">
        <f t="shared" ref="CE22:CE24" si="94">CH22</f>
        <v>52595</v>
      </c>
      <c r="CF22" s="322">
        <f t="shared" ref="CF22:CF24" si="95">CI22</f>
        <v>53882</v>
      </c>
      <c r="CG22" s="322">
        <v>52558</v>
      </c>
      <c r="CH22" s="322">
        <v>52595</v>
      </c>
      <c r="CI22" s="322">
        <v>53882</v>
      </c>
      <c r="CJ22" s="322">
        <v>53801</v>
      </c>
      <c r="CK22" s="322">
        <f t="shared" ref="CK22:CK24" si="96">CN22</f>
        <v>52955</v>
      </c>
      <c r="CL22" s="322"/>
      <c r="CM22" s="322"/>
      <c r="CN22" s="322">
        <v>52955</v>
      </c>
      <c r="CO22" s="322"/>
    </row>
    <row r="23" spans="1:93" x14ac:dyDescent="0.25">
      <c r="A23" s="319" t="s">
        <v>142</v>
      </c>
      <c r="B23" s="309">
        <v>653963</v>
      </c>
      <c r="C23" s="309">
        <v>647624</v>
      </c>
      <c r="D23" s="309">
        <v>763329</v>
      </c>
      <c r="E23" s="325">
        <v>844893</v>
      </c>
      <c r="F23" s="309">
        <v>927621</v>
      </c>
      <c r="G23" s="309">
        <v>1008795</v>
      </c>
      <c r="H23" s="309">
        <v>1129919</v>
      </c>
      <c r="I23" s="325">
        <v>1275300</v>
      </c>
      <c r="J23" s="309">
        <v>1414855</v>
      </c>
      <c r="K23" s="309">
        <v>1510608</v>
      </c>
      <c r="L23" s="309">
        <v>1582781</v>
      </c>
      <c r="M23" s="325">
        <v>1636533</v>
      </c>
      <c r="N23" s="309">
        <v>1630650</v>
      </c>
      <c r="O23" s="309">
        <v>1642317</v>
      </c>
      <c r="P23" s="309">
        <v>1636973</v>
      </c>
      <c r="Q23" s="325">
        <v>1632183</v>
      </c>
      <c r="R23" s="309">
        <v>1618196</v>
      </c>
      <c r="S23" s="310">
        <v>1604227</v>
      </c>
      <c r="T23" s="309">
        <v>1588462</v>
      </c>
      <c r="U23" s="310">
        <v>12372</v>
      </c>
      <c r="V23" s="309">
        <v>1604227</v>
      </c>
      <c r="W23" s="309">
        <v>1588462</v>
      </c>
      <c r="X23" s="325">
        <v>12372</v>
      </c>
      <c r="Y23" s="309">
        <v>12578</v>
      </c>
      <c r="Z23" s="310">
        <f t="shared" si="22"/>
        <v>12829</v>
      </c>
      <c r="AA23" s="309">
        <f t="shared" si="23"/>
        <v>16943</v>
      </c>
      <c r="AB23" s="310">
        <f t="shared" si="24"/>
        <v>10684</v>
      </c>
      <c r="AC23" s="310">
        <v>12829</v>
      </c>
      <c r="AD23" s="310">
        <v>16943</v>
      </c>
      <c r="AE23" s="325">
        <v>10684</v>
      </c>
      <c r="AF23" s="310">
        <v>14651</v>
      </c>
      <c r="AG23" s="310">
        <f t="shared" si="25"/>
        <v>19151</v>
      </c>
      <c r="AH23" s="309">
        <f t="shared" si="3"/>
        <v>19774</v>
      </c>
      <c r="AI23" s="310">
        <f t="shared" si="4"/>
        <v>20168</v>
      </c>
      <c r="AJ23" s="310">
        <v>19151</v>
      </c>
      <c r="AK23" s="310">
        <v>19774</v>
      </c>
      <c r="AL23" s="325">
        <v>20168</v>
      </c>
      <c r="AM23" s="310">
        <v>20179</v>
      </c>
      <c r="AN23" s="310">
        <f t="shared" si="26"/>
        <v>20184</v>
      </c>
      <c r="AO23" s="310">
        <f t="shared" si="26"/>
        <v>20057</v>
      </c>
      <c r="AP23" s="310">
        <f t="shared" si="26"/>
        <v>18551</v>
      </c>
      <c r="AQ23" s="310">
        <v>20184</v>
      </c>
      <c r="AR23" s="310">
        <v>20057</v>
      </c>
      <c r="AS23" s="325">
        <v>18551</v>
      </c>
      <c r="AT23" s="322">
        <v>19285</v>
      </c>
      <c r="AU23" s="322">
        <v>20301</v>
      </c>
      <c r="AV23" s="322">
        <f t="shared" si="80"/>
        <v>20289</v>
      </c>
      <c r="AW23" s="322">
        <f t="shared" si="80"/>
        <v>22044</v>
      </c>
      <c r="AX23" s="322">
        <f>AU23</f>
        <v>20301</v>
      </c>
      <c r="AY23" s="322">
        <v>20289</v>
      </c>
      <c r="AZ23" s="322">
        <v>22044</v>
      </c>
      <c r="BA23" s="322">
        <v>22634</v>
      </c>
      <c r="BB23" s="322">
        <f t="shared" si="81"/>
        <v>23160</v>
      </c>
      <c r="BC23" s="322">
        <f t="shared" si="82"/>
        <v>23555</v>
      </c>
      <c r="BD23" s="322">
        <f t="shared" si="83"/>
        <v>23928</v>
      </c>
      <c r="BE23" s="322">
        <v>23160</v>
      </c>
      <c r="BF23" s="322">
        <v>23555</v>
      </c>
      <c r="BG23" s="322">
        <v>23928</v>
      </c>
      <c r="BH23" s="322">
        <v>25348</v>
      </c>
      <c r="BI23" s="322">
        <f t="shared" si="84"/>
        <v>27074</v>
      </c>
      <c r="BJ23" s="322">
        <f t="shared" si="85"/>
        <v>25323</v>
      </c>
      <c r="BK23" s="322">
        <f t="shared" si="86"/>
        <v>26548</v>
      </c>
      <c r="BL23" s="322">
        <v>27074</v>
      </c>
      <c r="BM23" s="322">
        <v>25323</v>
      </c>
      <c r="BN23" s="322">
        <v>26548</v>
      </c>
      <c r="BO23" s="322">
        <v>26621</v>
      </c>
      <c r="BP23" s="322">
        <f t="shared" si="87"/>
        <v>27479</v>
      </c>
      <c r="BQ23" s="322">
        <f t="shared" si="88"/>
        <v>28627</v>
      </c>
      <c r="BR23" s="322">
        <f t="shared" si="89"/>
        <v>29634</v>
      </c>
      <c r="BS23" s="322">
        <v>27479</v>
      </c>
      <c r="BT23" s="322">
        <v>28627</v>
      </c>
      <c r="BU23" s="322">
        <v>29634</v>
      </c>
      <c r="BV23" s="322">
        <v>29814</v>
      </c>
      <c r="BW23" s="322">
        <f t="shared" si="90"/>
        <v>31398</v>
      </c>
      <c r="BX23" s="322">
        <f t="shared" si="91"/>
        <v>30614</v>
      </c>
      <c r="BY23" s="322">
        <f t="shared" si="92"/>
        <v>30843</v>
      </c>
      <c r="BZ23" s="322">
        <v>31398</v>
      </c>
      <c r="CA23" s="322">
        <v>30614</v>
      </c>
      <c r="CB23" s="322">
        <v>30843</v>
      </c>
      <c r="CC23" s="322">
        <v>30512</v>
      </c>
      <c r="CD23" s="322">
        <f t="shared" si="93"/>
        <v>30924</v>
      </c>
      <c r="CE23" s="322">
        <f t="shared" si="94"/>
        <v>31549</v>
      </c>
      <c r="CF23" s="322">
        <f t="shared" si="95"/>
        <v>33425</v>
      </c>
      <c r="CG23" s="322">
        <v>30924</v>
      </c>
      <c r="CH23" s="322">
        <v>31549</v>
      </c>
      <c r="CI23" s="322">
        <v>33425</v>
      </c>
      <c r="CJ23" s="322">
        <v>33925</v>
      </c>
      <c r="CK23" s="322">
        <f t="shared" si="96"/>
        <v>33664</v>
      </c>
      <c r="CL23" s="322"/>
      <c r="CM23" s="322"/>
      <c r="CN23" s="322">
        <v>33664</v>
      </c>
      <c r="CO23" s="322"/>
    </row>
    <row r="24" spans="1:93" x14ac:dyDescent="0.25">
      <c r="A24" s="319" t="s">
        <v>143</v>
      </c>
      <c r="B24" s="309">
        <v>31490</v>
      </c>
      <c r="C24" s="309">
        <v>98509</v>
      </c>
      <c r="D24" s="309">
        <v>11302</v>
      </c>
      <c r="E24" s="325">
        <v>9324</v>
      </c>
      <c r="F24" s="309">
        <v>14014</v>
      </c>
      <c r="G24" s="309">
        <v>15202</v>
      </c>
      <c r="H24" s="309">
        <v>16622</v>
      </c>
      <c r="I24" s="325">
        <v>19180</v>
      </c>
      <c r="J24" s="309">
        <v>22624</v>
      </c>
      <c r="K24" s="309">
        <v>24740</v>
      </c>
      <c r="L24" s="309">
        <v>28689</v>
      </c>
      <c r="M24" s="325">
        <v>18066</v>
      </c>
      <c r="N24" s="309">
        <v>17988</v>
      </c>
      <c r="O24" s="309">
        <v>86</v>
      </c>
      <c r="P24" s="309">
        <v>98</v>
      </c>
      <c r="Q24" s="325">
        <v>909</v>
      </c>
      <c r="R24" s="309">
        <v>1004</v>
      </c>
      <c r="S24" s="310">
        <v>1052</v>
      </c>
      <c r="T24" s="309">
        <v>1123</v>
      </c>
      <c r="U24" s="310">
        <v>630</v>
      </c>
      <c r="V24" s="309">
        <v>1052</v>
      </c>
      <c r="W24" s="309">
        <v>1123</v>
      </c>
      <c r="X24" s="325">
        <v>630</v>
      </c>
      <c r="Y24" s="309">
        <v>598</v>
      </c>
      <c r="Z24" s="310">
        <f t="shared" si="22"/>
        <v>7110</v>
      </c>
      <c r="AA24" s="309">
        <f t="shared" si="23"/>
        <v>7098</v>
      </c>
      <c r="AB24" s="310">
        <f t="shared" si="24"/>
        <v>683</v>
      </c>
      <c r="AC24" s="310">
        <v>7110</v>
      </c>
      <c r="AD24" s="310">
        <v>7098</v>
      </c>
      <c r="AE24" s="325">
        <v>683</v>
      </c>
      <c r="AF24" s="310">
        <v>7139</v>
      </c>
      <c r="AG24" s="310">
        <f t="shared" si="25"/>
        <v>7092</v>
      </c>
      <c r="AH24" s="309">
        <f t="shared" si="3"/>
        <v>7039</v>
      </c>
      <c r="AI24" s="310">
        <f t="shared" si="4"/>
        <v>6988</v>
      </c>
      <c r="AJ24" s="310">
        <v>7092</v>
      </c>
      <c r="AK24" s="310">
        <v>7039</v>
      </c>
      <c r="AL24" s="325">
        <v>6988</v>
      </c>
      <c r="AM24" s="310">
        <v>6936</v>
      </c>
      <c r="AN24" s="310">
        <f t="shared" si="26"/>
        <v>6881</v>
      </c>
      <c r="AO24" s="310">
        <f t="shared" si="26"/>
        <v>6831</v>
      </c>
      <c r="AP24" s="310">
        <f t="shared" si="26"/>
        <v>6943</v>
      </c>
      <c r="AQ24" s="310">
        <v>6881</v>
      </c>
      <c r="AR24" s="310">
        <v>6831</v>
      </c>
      <c r="AS24" s="325">
        <v>6943</v>
      </c>
      <c r="AT24" s="322">
        <v>6898</v>
      </c>
      <c r="AU24" s="322">
        <v>6857</v>
      </c>
      <c r="AV24" s="322">
        <f t="shared" si="80"/>
        <v>6834</v>
      </c>
      <c r="AW24" s="322">
        <f t="shared" si="80"/>
        <v>6790</v>
      </c>
      <c r="AX24" s="322">
        <f>AU24</f>
        <v>6857</v>
      </c>
      <c r="AY24" s="322">
        <v>6834</v>
      </c>
      <c r="AZ24" s="322">
        <v>6790</v>
      </c>
      <c r="BA24" s="322">
        <v>6879</v>
      </c>
      <c r="BB24" s="322">
        <f t="shared" si="81"/>
        <v>6857</v>
      </c>
      <c r="BC24" s="322">
        <f t="shared" si="82"/>
        <v>6832</v>
      </c>
      <c r="BD24" s="322">
        <f t="shared" si="83"/>
        <v>6841</v>
      </c>
      <c r="BE24" s="322">
        <v>6857</v>
      </c>
      <c r="BF24" s="322">
        <v>6832</v>
      </c>
      <c r="BG24" s="322">
        <v>6841</v>
      </c>
      <c r="BH24" s="322">
        <v>6887</v>
      </c>
      <c r="BI24" s="322">
        <f t="shared" si="84"/>
        <v>6840</v>
      </c>
      <c r="BJ24" s="322">
        <f t="shared" si="85"/>
        <v>8827</v>
      </c>
      <c r="BK24" s="322">
        <f t="shared" si="86"/>
        <v>8691</v>
      </c>
      <c r="BL24" s="322">
        <v>6840</v>
      </c>
      <c r="BM24" s="322">
        <v>8827</v>
      </c>
      <c r="BN24" s="322">
        <v>8691</v>
      </c>
      <c r="BO24" s="322">
        <v>8429</v>
      </c>
      <c r="BP24" s="322">
        <f t="shared" si="87"/>
        <v>8385</v>
      </c>
      <c r="BQ24" s="322">
        <f t="shared" si="88"/>
        <v>8266</v>
      </c>
      <c r="BR24" s="322">
        <f t="shared" si="89"/>
        <v>25170</v>
      </c>
      <c r="BS24" s="322">
        <v>8385</v>
      </c>
      <c r="BT24" s="322">
        <v>8266</v>
      </c>
      <c r="BU24" s="322">
        <v>25170</v>
      </c>
      <c r="BV24" s="322">
        <v>24581</v>
      </c>
      <c r="BW24" s="322">
        <f t="shared" si="90"/>
        <v>23991</v>
      </c>
      <c r="BX24" s="322">
        <f t="shared" si="91"/>
        <v>23401</v>
      </c>
      <c r="BY24" s="322">
        <f t="shared" si="92"/>
        <v>22812</v>
      </c>
      <c r="BZ24" s="322">
        <v>23991</v>
      </c>
      <c r="CA24" s="322">
        <v>23401</v>
      </c>
      <c r="CB24" s="322">
        <v>22812</v>
      </c>
      <c r="CC24" s="322">
        <v>22223</v>
      </c>
      <c r="CD24" s="322">
        <f t="shared" si="93"/>
        <v>21634</v>
      </c>
      <c r="CE24" s="322">
        <f t="shared" si="94"/>
        <v>21046</v>
      </c>
      <c r="CF24" s="322">
        <f t="shared" si="95"/>
        <v>20457</v>
      </c>
      <c r="CG24" s="322">
        <v>21634</v>
      </c>
      <c r="CH24" s="322">
        <v>21046</v>
      </c>
      <c r="CI24" s="322">
        <v>20457</v>
      </c>
      <c r="CJ24" s="322">
        <v>19876</v>
      </c>
      <c r="CK24" s="322">
        <f t="shared" si="96"/>
        <v>19291</v>
      </c>
      <c r="CL24" s="322"/>
      <c r="CM24" s="322"/>
      <c r="CN24" s="322">
        <v>19291</v>
      </c>
      <c r="CO24" s="322"/>
    </row>
    <row r="25" spans="1:93" s="377" customFormat="1" ht="13" x14ac:dyDescent="0.3">
      <c r="A25" s="314" t="str">
        <f>Language!$G33</f>
        <v>PASSIVO TOTAL</v>
      </c>
      <c r="B25" s="314">
        <f t="shared" ref="B25:K25" si="97">SUM(B26,B40,B56,B67)</f>
        <v>752121</v>
      </c>
      <c r="C25" s="314">
        <f t="shared" si="97"/>
        <v>816079</v>
      </c>
      <c r="D25" s="314">
        <f t="shared" si="97"/>
        <v>855275</v>
      </c>
      <c r="E25" s="315">
        <f t="shared" si="97"/>
        <v>1035923</v>
      </c>
      <c r="F25" s="314">
        <f t="shared" si="97"/>
        <v>1047167</v>
      </c>
      <c r="G25" s="314">
        <f t="shared" si="97"/>
        <v>1125010</v>
      </c>
      <c r="H25" s="314">
        <f t="shared" si="97"/>
        <v>1287864</v>
      </c>
      <c r="I25" s="315">
        <f t="shared" si="97"/>
        <v>1374504</v>
      </c>
      <c r="J25" s="314">
        <f t="shared" si="97"/>
        <v>1509238</v>
      </c>
      <c r="K25" s="314">
        <f t="shared" si="97"/>
        <v>1671042</v>
      </c>
      <c r="L25" s="314">
        <f t="shared" ref="L25:O25" si="98">SUM(L26,L40,L56,L67)</f>
        <v>1677408</v>
      </c>
      <c r="M25" s="315">
        <f t="shared" si="98"/>
        <v>1720701</v>
      </c>
      <c r="N25" s="314">
        <f t="shared" si="98"/>
        <v>1791538</v>
      </c>
      <c r="O25" s="314">
        <f t="shared" si="98"/>
        <v>1710124</v>
      </c>
      <c r="P25" s="314">
        <f t="shared" ref="P25:Q25" si="99">SUM(P26,P40,P56,P67)</f>
        <v>1695433</v>
      </c>
      <c r="Q25" s="315">
        <f t="shared" si="99"/>
        <v>1690046</v>
      </c>
      <c r="R25" s="314">
        <v>1744110</v>
      </c>
      <c r="S25" s="314">
        <v>1691588</v>
      </c>
      <c r="T25" s="314">
        <v>1698526</v>
      </c>
      <c r="U25" s="314">
        <v>27065</v>
      </c>
      <c r="V25" s="314">
        <v>1691588</v>
      </c>
      <c r="W25" s="314">
        <v>1698526</v>
      </c>
      <c r="X25" s="314">
        <v>27065</v>
      </c>
      <c r="Y25" s="314">
        <f>Y26+Y40+Y56</f>
        <v>31239</v>
      </c>
      <c r="Z25" s="314">
        <f t="shared" si="22"/>
        <v>41912</v>
      </c>
      <c r="AA25" s="314">
        <f t="shared" si="23"/>
        <v>47542</v>
      </c>
      <c r="AB25" s="314">
        <f t="shared" si="24"/>
        <v>39590</v>
      </c>
      <c r="AC25" s="314">
        <f>AC26+AC40+AC56</f>
        <v>41912</v>
      </c>
      <c r="AD25" s="314">
        <f>AD26+AD40+AD56</f>
        <v>47542</v>
      </c>
      <c r="AE25" s="314">
        <f>AE26+AE40+AE56</f>
        <v>39590</v>
      </c>
      <c r="AF25" s="314">
        <f>AF26+AF40+AF56</f>
        <v>42307</v>
      </c>
      <c r="AG25" s="314">
        <f t="shared" si="25"/>
        <v>44802</v>
      </c>
      <c r="AH25" s="314">
        <f t="shared" si="3"/>
        <v>48835</v>
      </c>
      <c r="AI25" s="314">
        <f t="shared" si="4"/>
        <v>45176</v>
      </c>
      <c r="AJ25" s="314">
        <f>AJ26+AJ40+AJ56</f>
        <v>44802</v>
      </c>
      <c r="AK25" s="314">
        <f>AK26+AK40+AK56</f>
        <v>48835</v>
      </c>
      <c r="AL25" s="314">
        <f>AL26+AL40+AL56</f>
        <v>45176</v>
      </c>
      <c r="AM25" s="314">
        <f>AM26+AM40+AM56</f>
        <v>47799</v>
      </c>
      <c r="AN25" s="314">
        <f t="shared" si="26"/>
        <v>48348</v>
      </c>
      <c r="AO25" s="314">
        <f t="shared" si="26"/>
        <v>61616</v>
      </c>
      <c r="AP25" s="314">
        <f t="shared" si="26"/>
        <v>63445</v>
      </c>
      <c r="AQ25" s="314">
        <f t="shared" ref="AQ25:BA25" si="100">AQ26+AQ40+AQ56</f>
        <v>48348</v>
      </c>
      <c r="AR25" s="314">
        <f t="shared" si="100"/>
        <v>61616</v>
      </c>
      <c r="AS25" s="314">
        <f t="shared" si="100"/>
        <v>63445</v>
      </c>
      <c r="AT25" s="314">
        <f t="shared" si="100"/>
        <v>60491</v>
      </c>
      <c r="AU25" s="314">
        <f t="shared" si="100"/>
        <v>97141</v>
      </c>
      <c r="AV25" s="314">
        <f t="shared" si="100"/>
        <v>70807</v>
      </c>
      <c r="AW25" s="314">
        <f t="shared" si="100"/>
        <v>53358</v>
      </c>
      <c r="AX25" s="314">
        <f t="shared" si="100"/>
        <v>97141</v>
      </c>
      <c r="AY25" s="314">
        <f t="shared" si="100"/>
        <v>70807</v>
      </c>
      <c r="AZ25" s="314">
        <f t="shared" si="100"/>
        <v>53358</v>
      </c>
      <c r="BA25" s="314">
        <f t="shared" si="100"/>
        <v>62265</v>
      </c>
      <c r="BB25" s="314">
        <f t="shared" ref="BB25:BD25" si="101">BB26+BB40+BB56</f>
        <v>66407</v>
      </c>
      <c r="BC25" s="314">
        <f t="shared" si="101"/>
        <v>68119</v>
      </c>
      <c r="BD25" s="314">
        <f t="shared" si="101"/>
        <v>58441</v>
      </c>
      <c r="BE25" s="314">
        <f>BE26+BE40+BE56</f>
        <v>66407</v>
      </c>
      <c r="BF25" s="314">
        <f>BF26+BF40+BF56</f>
        <v>68119</v>
      </c>
      <c r="BG25" s="314">
        <f>BG26+BG40+BG56</f>
        <v>58441</v>
      </c>
      <c r="BH25" s="314">
        <f>BH26+BH40+BH56-2</f>
        <v>61554</v>
      </c>
      <c r="BI25" s="314">
        <f t="shared" ref="BI25:BL25" si="102">BI26+BI40+BI56</f>
        <v>61293</v>
      </c>
      <c r="BJ25" s="314">
        <f t="shared" si="102"/>
        <v>72302</v>
      </c>
      <c r="BK25" s="314">
        <f t="shared" si="102"/>
        <v>60251</v>
      </c>
      <c r="BL25" s="314">
        <f t="shared" si="102"/>
        <v>61293</v>
      </c>
      <c r="BM25" s="314">
        <f t="shared" ref="BM25:BN25" si="103">BM26+BM40+BM56</f>
        <v>72302</v>
      </c>
      <c r="BN25" s="314">
        <f t="shared" si="103"/>
        <v>60318</v>
      </c>
      <c r="BO25" s="314">
        <f t="shared" ref="BO25:BS25" si="104">BO26+BO40+BO56</f>
        <v>69042</v>
      </c>
      <c r="BP25" s="314">
        <f t="shared" si="104"/>
        <v>90458</v>
      </c>
      <c r="BQ25" s="314">
        <f t="shared" si="104"/>
        <v>104356</v>
      </c>
      <c r="BR25" s="314">
        <f t="shared" si="104"/>
        <v>90719</v>
      </c>
      <c r="BS25" s="314">
        <f t="shared" si="104"/>
        <v>90458</v>
      </c>
      <c r="BT25" s="314">
        <f t="shared" ref="BT25:BU25" si="105">BT26+BT40+BT56</f>
        <v>104356</v>
      </c>
      <c r="BU25" s="314">
        <f t="shared" si="105"/>
        <v>90719</v>
      </c>
      <c r="BV25" s="314">
        <f t="shared" ref="BV25:BY25" si="106">BV26+BV40+BV56</f>
        <v>97586</v>
      </c>
      <c r="BW25" s="314">
        <f t="shared" si="106"/>
        <v>102366</v>
      </c>
      <c r="BX25" s="314">
        <f t="shared" si="106"/>
        <v>94923</v>
      </c>
      <c r="BY25" s="314">
        <f t="shared" si="106"/>
        <v>82462</v>
      </c>
      <c r="BZ25" s="314">
        <f t="shared" ref="BZ25:CA25" si="107">BZ26+BZ40+BZ56</f>
        <v>102366</v>
      </c>
      <c r="CA25" s="314">
        <f t="shared" si="107"/>
        <v>106743</v>
      </c>
      <c r="CB25" s="314">
        <f t="shared" ref="CB25:CC25" si="108">CB26+CB40+CB56</f>
        <v>90401</v>
      </c>
      <c r="CC25" s="314">
        <f t="shared" si="108"/>
        <v>109003</v>
      </c>
      <c r="CD25" s="314">
        <f t="shared" ref="CD25" si="109">CD26+CD40+CD56</f>
        <v>107008</v>
      </c>
      <c r="CE25" s="314">
        <f>CE26+CE40+CE56</f>
        <v>115781</v>
      </c>
      <c r="CF25" s="314">
        <f t="shared" ref="CF25:CG25" si="110">CF26+CF40+CF56</f>
        <v>89060</v>
      </c>
      <c r="CG25" s="314">
        <f t="shared" si="110"/>
        <v>107008</v>
      </c>
      <c r="CH25" s="314">
        <f t="shared" ref="CH25:CI25" si="111">CH26+CH40+CH56</f>
        <v>115781</v>
      </c>
      <c r="CI25" s="314">
        <f t="shared" si="111"/>
        <v>89060</v>
      </c>
      <c r="CJ25" s="314">
        <v>99577</v>
      </c>
      <c r="CK25" s="314">
        <f t="shared" ref="CK25:CO25" si="112">CK26+CK40+CK56</f>
        <v>133721</v>
      </c>
      <c r="CL25" s="314">
        <f t="shared" si="112"/>
        <v>0</v>
      </c>
      <c r="CM25" s="314">
        <f t="shared" si="112"/>
        <v>0</v>
      </c>
      <c r="CN25" s="314">
        <f t="shared" si="112"/>
        <v>133721</v>
      </c>
      <c r="CO25" s="314">
        <f t="shared" si="112"/>
        <v>0</v>
      </c>
    </row>
    <row r="26" spans="1:93" s="377" customFormat="1" ht="13" x14ac:dyDescent="0.3">
      <c r="A26" s="317" t="str">
        <f>Language!$G34</f>
        <v>Passivo Circulante</v>
      </c>
      <c r="B26" s="317">
        <f t="shared" ref="B26:K26" si="113">SUM(B27:B39)</f>
        <v>50952</v>
      </c>
      <c r="C26" s="317">
        <f t="shared" si="113"/>
        <v>55888</v>
      </c>
      <c r="D26" s="317">
        <f t="shared" si="113"/>
        <v>61348</v>
      </c>
      <c r="E26" s="318">
        <f t="shared" si="113"/>
        <v>223938</v>
      </c>
      <c r="F26" s="317">
        <f t="shared" si="113"/>
        <v>235263</v>
      </c>
      <c r="G26" s="317">
        <f t="shared" si="113"/>
        <v>263643</v>
      </c>
      <c r="H26" s="317">
        <f t="shared" si="113"/>
        <v>72980</v>
      </c>
      <c r="I26" s="318">
        <f t="shared" si="113"/>
        <v>91120</v>
      </c>
      <c r="J26" s="317">
        <f t="shared" si="113"/>
        <v>105496</v>
      </c>
      <c r="K26" s="317">
        <f t="shared" si="113"/>
        <v>162193</v>
      </c>
      <c r="L26" s="317">
        <f t="shared" ref="L26:O26" si="114">SUM(L27:L39)</f>
        <v>66340</v>
      </c>
      <c r="M26" s="318">
        <f t="shared" si="114"/>
        <v>68733</v>
      </c>
      <c r="N26" s="317">
        <f t="shared" si="114"/>
        <v>111407</v>
      </c>
      <c r="O26" s="317">
        <f t="shared" si="114"/>
        <v>103356</v>
      </c>
      <c r="P26" s="317">
        <f t="shared" ref="P26" si="115">SUM(P27:P39)</f>
        <v>149068</v>
      </c>
      <c r="Q26" s="318">
        <f t="shared" ref="Q26:Y26" si="116">SUM(Q27:Q39)</f>
        <v>215655</v>
      </c>
      <c r="R26" s="317">
        <v>202551</v>
      </c>
      <c r="S26" s="317">
        <v>141591</v>
      </c>
      <c r="T26" s="317">
        <v>124318</v>
      </c>
      <c r="U26" s="317">
        <v>6126</v>
      </c>
      <c r="V26" s="317">
        <v>141591</v>
      </c>
      <c r="W26" s="317">
        <v>124318</v>
      </c>
      <c r="X26" s="317">
        <v>6126</v>
      </c>
      <c r="Y26" s="317">
        <f t="shared" si="116"/>
        <v>7659</v>
      </c>
      <c r="Z26" s="317">
        <f t="shared" si="22"/>
        <v>32179</v>
      </c>
      <c r="AA26" s="317">
        <f t="shared" si="23"/>
        <v>33505</v>
      </c>
      <c r="AB26" s="317">
        <f t="shared" si="24"/>
        <v>31457</v>
      </c>
      <c r="AC26" s="317">
        <f t="shared" ref="AC26" si="117">SUM(AC27:AC39)</f>
        <v>32179</v>
      </c>
      <c r="AD26" s="317">
        <f t="shared" ref="AD26" si="118">SUM(AD27:AD39)</f>
        <v>33505</v>
      </c>
      <c r="AE26" s="317">
        <f t="shared" ref="AE26:AF26" si="119">SUM(AE27:AE39)</f>
        <v>31457</v>
      </c>
      <c r="AF26" s="317">
        <f t="shared" si="119"/>
        <v>32896</v>
      </c>
      <c r="AG26" s="317">
        <f t="shared" si="25"/>
        <v>29516</v>
      </c>
      <c r="AH26" s="317">
        <f t="shared" si="3"/>
        <v>31137</v>
      </c>
      <c r="AI26" s="317">
        <f t="shared" si="4"/>
        <v>24713</v>
      </c>
      <c r="AJ26" s="317">
        <f t="shared" ref="AJ26:AQ26" si="120">SUM(AJ27:AJ39)</f>
        <v>29516</v>
      </c>
      <c r="AK26" s="317">
        <f t="shared" si="120"/>
        <v>31137</v>
      </c>
      <c r="AL26" s="317">
        <f t="shared" si="120"/>
        <v>24713</v>
      </c>
      <c r="AM26" s="317">
        <f t="shared" si="120"/>
        <v>25655</v>
      </c>
      <c r="AN26" s="317">
        <f t="shared" si="26"/>
        <v>24889</v>
      </c>
      <c r="AO26" s="317">
        <f t="shared" si="26"/>
        <v>30665</v>
      </c>
      <c r="AP26" s="317">
        <f t="shared" si="26"/>
        <v>30597</v>
      </c>
      <c r="AQ26" s="317">
        <f t="shared" si="120"/>
        <v>24889</v>
      </c>
      <c r="AR26" s="317">
        <f t="shared" ref="AR26:AS26" si="121">SUM(AR27:AR39)</f>
        <v>30665</v>
      </c>
      <c r="AS26" s="317">
        <f t="shared" si="121"/>
        <v>30597</v>
      </c>
      <c r="AT26" s="317">
        <f t="shared" ref="AT26:AU26" si="122">SUM(AT27:AT39)</f>
        <v>20430</v>
      </c>
      <c r="AU26" s="317">
        <f t="shared" si="122"/>
        <v>17740</v>
      </c>
      <c r="AV26" s="317">
        <f t="shared" ref="AV26:AX26" si="123">SUM(AV27:AV39)</f>
        <v>29845</v>
      </c>
      <c r="AW26" s="317">
        <f t="shared" si="123"/>
        <v>13141</v>
      </c>
      <c r="AX26" s="317">
        <f t="shared" si="123"/>
        <v>17740</v>
      </c>
      <c r="AY26" s="317">
        <f t="shared" ref="AY26:AZ26" si="124">SUM(AY27:AY39)</f>
        <v>29845</v>
      </c>
      <c r="AZ26" s="317">
        <f t="shared" si="124"/>
        <v>13141</v>
      </c>
      <c r="BA26" s="317">
        <f t="shared" ref="BA26:BD26" si="125">SUM(BA27:BA39)</f>
        <v>14603</v>
      </c>
      <c r="BB26" s="317">
        <f t="shared" si="125"/>
        <v>18660</v>
      </c>
      <c r="BC26" s="317">
        <f t="shared" si="125"/>
        <v>23899</v>
      </c>
      <c r="BD26" s="317">
        <f t="shared" si="125"/>
        <v>10703</v>
      </c>
      <c r="BE26" s="317">
        <f t="shared" ref="BE26:BF26" si="126">SUM(BE27:BE39)</f>
        <v>18660</v>
      </c>
      <c r="BF26" s="317">
        <f t="shared" si="126"/>
        <v>23899</v>
      </c>
      <c r="BG26" s="317">
        <f t="shared" ref="BG26:BH26" si="127">SUM(BG27:BG39)</f>
        <v>10703</v>
      </c>
      <c r="BH26" s="317">
        <f t="shared" si="127"/>
        <v>14078</v>
      </c>
      <c r="BI26" s="317">
        <f t="shared" ref="BI26:BL26" si="128">SUM(BI27:BI39)</f>
        <v>18108</v>
      </c>
      <c r="BJ26" s="317">
        <f t="shared" si="128"/>
        <v>23077</v>
      </c>
      <c r="BK26" s="317">
        <f t="shared" si="128"/>
        <v>19923</v>
      </c>
      <c r="BL26" s="317">
        <f t="shared" si="128"/>
        <v>18108</v>
      </c>
      <c r="BM26" s="317">
        <f t="shared" ref="BM26:BN26" si="129">SUM(BM27:BM39)</f>
        <v>23077</v>
      </c>
      <c r="BN26" s="317">
        <f t="shared" si="129"/>
        <v>19923</v>
      </c>
      <c r="BO26" s="317">
        <f t="shared" ref="BO26:BS26" si="130">SUM(BO27:BO39)</f>
        <v>19326</v>
      </c>
      <c r="BP26" s="317">
        <f t="shared" si="130"/>
        <v>20078</v>
      </c>
      <c r="BQ26" s="317">
        <f t="shared" si="130"/>
        <v>48342</v>
      </c>
      <c r="BR26" s="317">
        <f t="shared" si="130"/>
        <v>35719</v>
      </c>
      <c r="BS26" s="317">
        <f t="shared" si="130"/>
        <v>20078</v>
      </c>
      <c r="BT26" s="317">
        <f t="shared" ref="BT26:BU26" si="131">SUM(BT27:BT39)</f>
        <v>48342</v>
      </c>
      <c r="BU26" s="317">
        <f t="shared" si="131"/>
        <v>35719</v>
      </c>
      <c r="BV26" s="317">
        <f t="shared" ref="BV26:BY26" si="132">SUM(BV27:BV39)</f>
        <v>31074</v>
      </c>
      <c r="BW26" s="317">
        <f t="shared" si="132"/>
        <v>54771</v>
      </c>
      <c r="BX26" s="317">
        <f t="shared" si="132"/>
        <v>47598</v>
      </c>
      <c r="BY26" s="317">
        <f t="shared" si="132"/>
        <v>36262</v>
      </c>
      <c r="BZ26" s="317">
        <f t="shared" ref="BZ26:CA26" si="133">SUM(BZ27:BZ39)</f>
        <v>54771</v>
      </c>
      <c r="CA26" s="317">
        <f t="shared" si="133"/>
        <v>47598</v>
      </c>
      <c r="CB26" s="317">
        <f t="shared" ref="CB26:CC26" si="134">SUM(CB27:CB39)</f>
        <v>36262</v>
      </c>
      <c r="CC26" s="317">
        <f t="shared" si="134"/>
        <v>44143</v>
      </c>
      <c r="CD26" s="317">
        <f t="shared" ref="CD26" si="135">SUM(CD27:CD39)</f>
        <v>31346</v>
      </c>
      <c r="CE26" s="317">
        <f t="shared" ref="CE26:CG26" si="136">SUM(CE27:CE39)</f>
        <v>62058</v>
      </c>
      <c r="CF26" s="317">
        <f t="shared" si="136"/>
        <v>39663</v>
      </c>
      <c r="CG26" s="317">
        <f t="shared" si="136"/>
        <v>31346</v>
      </c>
      <c r="CH26" s="317">
        <f t="shared" ref="CH26:CI26" si="137">SUM(CH27:CH39)</f>
        <v>62058</v>
      </c>
      <c r="CI26" s="317">
        <f t="shared" si="137"/>
        <v>39663</v>
      </c>
      <c r="CJ26" s="317">
        <v>38558</v>
      </c>
      <c r="CK26" s="317">
        <f t="shared" ref="CK26:CO26" si="138">SUM(CK27:CK39)</f>
        <v>94553</v>
      </c>
      <c r="CL26" s="317">
        <f t="shared" si="138"/>
        <v>0</v>
      </c>
      <c r="CM26" s="317">
        <f t="shared" si="138"/>
        <v>0</v>
      </c>
      <c r="CN26" s="317">
        <f t="shared" si="138"/>
        <v>94553</v>
      </c>
      <c r="CO26" s="317">
        <f t="shared" si="138"/>
        <v>0</v>
      </c>
    </row>
    <row r="27" spans="1:93" x14ac:dyDescent="0.25">
      <c r="A27" s="326" t="str">
        <f>Language!$G35</f>
        <v>Fornecedores</v>
      </c>
      <c r="B27" s="322">
        <v>1667</v>
      </c>
      <c r="C27" s="322">
        <v>3318</v>
      </c>
      <c r="D27" s="322">
        <v>3589</v>
      </c>
      <c r="E27" s="321">
        <v>25137</v>
      </c>
      <c r="F27" s="322">
        <v>28789</v>
      </c>
      <c r="G27" s="322">
        <v>22616</v>
      </c>
      <c r="H27" s="322">
        <v>24848</v>
      </c>
      <c r="I27" s="321">
        <v>31280</v>
      </c>
      <c r="J27" s="322">
        <v>51644</v>
      </c>
      <c r="K27" s="322">
        <v>31296</v>
      </c>
      <c r="L27" s="322">
        <v>17010</v>
      </c>
      <c r="M27" s="321">
        <v>11245</v>
      </c>
      <c r="N27" s="322">
        <v>7616</v>
      </c>
      <c r="O27" s="322">
        <v>9031</v>
      </c>
      <c r="P27" s="322">
        <v>16416</v>
      </c>
      <c r="Q27" s="321">
        <v>11174</v>
      </c>
      <c r="R27" s="322">
        <v>23725</v>
      </c>
      <c r="S27" s="322">
        <v>11370</v>
      </c>
      <c r="T27" s="322">
        <v>6322</v>
      </c>
      <c r="U27" s="322">
        <v>812</v>
      </c>
      <c r="V27" s="322">
        <v>11370</v>
      </c>
      <c r="W27" s="322">
        <v>6322</v>
      </c>
      <c r="X27" s="321">
        <v>812</v>
      </c>
      <c r="Y27" s="322">
        <v>402</v>
      </c>
      <c r="Z27" s="322">
        <f t="shared" si="22"/>
        <v>511</v>
      </c>
      <c r="AA27" s="322">
        <f t="shared" si="23"/>
        <v>304</v>
      </c>
      <c r="AB27" s="322">
        <f t="shared" si="24"/>
        <v>465</v>
      </c>
      <c r="AC27" s="322">
        <v>511</v>
      </c>
      <c r="AD27" s="322">
        <v>304</v>
      </c>
      <c r="AE27" s="321">
        <v>465</v>
      </c>
      <c r="AF27" s="322">
        <v>567</v>
      </c>
      <c r="AG27" s="322">
        <f t="shared" si="25"/>
        <v>1026</v>
      </c>
      <c r="AH27" s="322">
        <f t="shared" si="3"/>
        <v>955</v>
      </c>
      <c r="AI27" s="322">
        <f t="shared" si="4"/>
        <v>1807</v>
      </c>
      <c r="AJ27" s="322">
        <v>1026</v>
      </c>
      <c r="AK27" s="322">
        <v>955</v>
      </c>
      <c r="AL27" s="321">
        <v>1807</v>
      </c>
      <c r="AM27" s="322">
        <v>980</v>
      </c>
      <c r="AN27" s="322">
        <f t="shared" si="26"/>
        <v>587</v>
      </c>
      <c r="AO27" s="322">
        <f t="shared" si="26"/>
        <v>484</v>
      </c>
      <c r="AP27" s="322">
        <f t="shared" si="26"/>
        <v>1084</v>
      </c>
      <c r="AQ27" s="322">
        <v>587</v>
      </c>
      <c r="AR27" s="322">
        <v>484</v>
      </c>
      <c r="AS27" s="321">
        <v>1084</v>
      </c>
      <c r="AT27" s="322">
        <v>709</v>
      </c>
      <c r="AU27" s="322">
        <f>AX27</f>
        <v>837</v>
      </c>
      <c r="AV27" s="322">
        <f>AY27</f>
        <v>694</v>
      </c>
      <c r="AW27" s="322">
        <f>AZ27</f>
        <v>2103</v>
      </c>
      <c r="AX27" s="322">
        <v>837</v>
      </c>
      <c r="AY27" s="322">
        <v>694</v>
      </c>
      <c r="AZ27" s="322">
        <v>2103</v>
      </c>
      <c r="BA27" s="322">
        <v>1245</v>
      </c>
      <c r="BB27" s="322">
        <f>BE27</f>
        <v>1244</v>
      </c>
      <c r="BC27" s="322">
        <f>BF27</f>
        <v>694</v>
      </c>
      <c r="BD27" s="322">
        <f>BG27</f>
        <v>1403</v>
      </c>
      <c r="BE27" s="322">
        <v>1244</v>
      </c>
      <c r="BF27" s="322">
        <v>694</v>
      </c>
      <c r="BG27" s="322">
        <v>1403</v>
      </c>
      <c r="BH27" s="322">
        <v>947</v>
      </c>
      <c r="BI27" s="322">
        <f>BL27</f>
        <v>785</v>
      </c>
      <c r="BJ27" s="322">
        <f>BM27</f>
        <v>355</v>
      </c>
      <c r="BK27" s="322">
        <f>BN27</f>
        <v>1479</v>
      </c>
      <c r="BL27" s="322">
        <v>785</v>
      </c>
      <c r="BM27" s="322">
        <v>355</v>
      </c>
      <c r="BN27" s="322">
        <v>1479</v>
      </c>
      <c r="BO27" s="322">
        <v>450</v>
      </c>
      <c r="BP27" s="322">
        <f>BS27</f>
        <v>463</v>
      </c>
      <c r="BQ27" s="322">
        <f>BT27</f>
        <v>824</v>
      </c>
      <c r="BR27" s="322">
        <f>BU27</f>
        <v>2540</v>
      </c>
      <c r="BS27" s="322">
        <v>463</v>
      </c>
      <c r="BT27" s="322">
        <v>824</v>
      </c>
      <c r="BU27" s="322">
        <v>2540</v>
      </c>
      <c r="BV27" s="322">
        <v>657</v>
      </c>
      <c r="BW27" s="322">
        <f>BZ27</f>
        <v>2078</v>
      </c>
      <c r="BX27" s="322">
        <f>CA27</f>
        <v>1269</v>
      </c>
      <c r="BY27" s="322">
        <f>CB27</f>
        <v>1626</v>
      </c>
      <c r="BZ27" s="322">
        <v>2078</v>
      </c>
      <c r="CA27" s="322">
        <v>1269</v>
      </c>
      <c r="CB27" s="322">
        <v>1626</v>
      </c>
      <c r="CC27" s="322">
        <v>308</v>
      </c>
      <c r="CD27" s="322">
        <f>CG27</f>
        <v>1230</v>
      </c>
      <c r="CE27" s="322">
        <f>CH27</f>
        <v>1582</v>
      </c>
      <c r="CF27" s="322">
        <f>CI27</f>
        <v>4380</v>
      </c>
      <c r="CG27" s="322">
        <v>1230</v>
      </c>
      <c r="CH27" s="322">
        <v>1582</v>
      </c>
      <c r="CI27" s="322">
        <v>4380</v>
      </c>
      <c r="CJ27" s="322">
        <v>3869</v>
      </c>
      <c r="CK27" s="322">
        <f>CN27</f>
        <v>3466</v>
      </c>
      <c r="CL27" s="322"/>
      <c r="CM27" s="322"/>
      <c r="CN27" s="322">
        <v>3466</v>
      </c>
      <c r="CO27" s="322"/>
    </row>
    <row r="28" spans="1:93" x14ac:dyDescent="0.25">
      <c r="A28" s="326" t="str">
        <f>Language!$G36</f>
        <v>Empréstimos e Financiamentos</v>
      </c>
      <c r="B28" s="322">
        <v>34172</v>
      </c>
      <c r="C28" s="322">
        <v>34319</v>
      </c>
      <c r="D28" s="322">
        <v>40359</v>
      </c>
      <c r="E28" s="321">
        <v>25320</v>
      </c>
      <c r="F28" s="322">
        <v>23457</v>
      </c>
      <c r="G28" s="322">
        <v>53973</v>
      </c>
      <c r="H28" s="322">
        <v>18141</v>
      </c>
      <c r="I28" s="321">
        <v>18211</v>
      </c>
      <c r="J28" s="322">
        <v>18277</v>
      </c>
      <c r="K28" s="322">
        <v>18347</v>
      </c>
      <c r="L28" s="322">
        <v>18417</v>
      </c>
      <c r="M28" s="321">
        <v>18572</v>
      </c>
      <c r="N28" s="322">
        <v>18763</v>
      </c>
      <c r="O28" s="322">
        <v>18748</v>
      </c>
      <c r="P28" s="322">
        <v>44223</v>
      </c>
      <c r="Q28" s="321">
        <v>31822</v>
      </c>
      <c r="R28" s="322">
        <v>36531</v>
      </c>
      <c r="S28" s="322">
        <v>45926</v>
      </c>
      <c r="T28" s="322">
        <v>75291</v>
      </c>
      <c r="U28" s="322">
        <v>0</v>
      </c>
      <c r="V28" s="322">
        <v>45926</v>
      </c>
      <c r="W28" s="322">
        <v>75291</v>
      </c>
      <c r="X28" s="321">
        <v>0</v>
      </c>
      <c r="Y28" s="322"/>
      <c r="Z28" s="322"/>
      <c r="AA28" s="322"/>
      <c r="AB28" s="322"/>
      <c r="AC28" s="322"/>
      <c r="AD28" s="322"/>
      <c r="AE28" s="321"/>
      <c r="AF28" s="322"/>
      <c r="AG28" s="322"/>
      <c r="AH28" s="322"/>
      <c r="AI28" s="322"/>
      <c r="AJ28" s="322"/>
      <c r="AK28" s="322"/>
      <c r="AL28" s="321"/>
      <c r="AM28" s="322"/>
      <c r="AN28" s="322"/>
      <c r="AO28" s="322"/>
      <c r="AP28" s="322"/>
      <c r="AQ28" s="322"/>
      <c r="AR28" s="322"/>
      <c r="AS28" s="321"/>
      <c r="AT28" s="322"/>
      <c r="AU28" s="322"/>
      <c r="AV28" s="322">
        <f t="shared" ref="AV28:AW39" si="139">AY28</f>
        <v>0</v>
      </c>
      <c r="AW28" s="322">
        <f t="shared" si="139"/>
        <v>0</v>
      </c>
      <c r="AX28" s="322"/>
      <c r="AY28" s="322">
        <v>0</v>
      </c>
      <c r="AZ28" s="738">
        <v>0</v>
      </c>
      <c r="BA28" s="738">
        <v>0</v>
      </c>
      <c r="BB28" s="322">
        <f t="shared" ref="BB28:BB39" si="140">BE28</f>
        <v>0</v>
      </c>
      <c r="BC28" s="322">
        <f t="shared" ref="BC28:BC39" si="141">BF28</f>
        <v>0</v>
      </c>
      <c r="BD28" s="322">
        <f t="shared" ref="BD28:BD39" si="142">BG28</f>
        <v>0</v>
      </c>
      <c r="BE28" s="738">
        <v>0</v>
      </c>
      <c r="BF28" s="738">
        <v>0</v>
      </c>
      <c r="BG28" s="738">
        <v>0</v>
      </c>
      <c r="BH28" s="738">
        <v>0</v>
      </c>
      <c r="BI28" s="322">
        <f t="shared" ref="BI28:BI39" si="143">BL28</f>
        <v>0</v>
      </c>
      <c r="BJ28" s="322">
        <f t="shared" ref="BJ28:BJ39" si="144">BM28</f>
        <v>0</v>
      </c>
      <c r="BK28" s="322">
        <f t="shared" ref="BK28:BK39" si="145">BN28</f>
        <v>0</v>
      </c>
      <c r="BL28" s="738">
        <v>0</v>
      </c>
      <c r="BM28" s="738">
        <v>0</v>
      </c>
      <c r="BN28" s="738">
        <v>0</v>
      </c>
      <c r="BO28" s="738">
        <v>0</v>
      </c>
      <c r="BP28" s="322">
        <f t="shared" ref="BP28:BP39" si="146">BS28</f>
        <v>0</v>
      </c>
      <c r="BQ28" s="322">
        <f t="shared" ref="BQ28:BQ39" si="147">BT28</f>
        <v>0</v>
      </c>
      <c r="BR28" s="322">
        <f t="shared" ref="BR28:BR39" si="148">BU28</f>
        <v>0</v>
      </c>
      <c r="BS28" s="738">
        <v>0</v>
      </c>
      <c r="BT28" s="738">
        <v>0</v>
      </c>
      <c r="BU28" s="738">
        <v>0</v>
      </c>
      <c r="BV28" s="738">
        <v>0</v>
      </c>
      <c r="BW28" s="322">
        <f t="shared" ref="BW28:BW39" si="149">BZ28</f>
        <v>0</v>
      </c>
      <c r="BX28" s="322">
        <f t="shared" ref="BX28:BX39" si="150">CA28</f>
        <v>0</v>
      </c>
      <c r="BY28" s="322">
        <f t="shared" ref="BY28:BY39" si="151">CB28</f>
        <v>0</v>
      </c>
      <c r="BZ28" s="738">
        <v>0</v>
      </c>
      <c r="CA28" s="738">
        <v>0</v>
      </c>
      <c r="CB28" s="738">
        <v>0</v>
      </c>
      <c r="CC28" s="738">
        <v>0</v>
      </c>
      <c r="CD28" s="322">
        <f t="shared" ref="CD28:CD39" si="152">CG28</f>
        <v>0</v>
      </c>
      <c r="CE28" s="322">
        <f t="shared" ref="CE28:CE39" si="153">CH28</f>
        <v>0</v>
      </c>
      <c r="CF28" s="322">
        <f t="shared" ref="CF28:CF39" si="154">CI28</f>
        <v>0</v>
      </c>
      <c r="CG28" s="322">
        <v>0</v>
      </c>
      <c r="CH28" s="738">
        <v>0</v>
      </c>
      <c r="CI28" s="738">
        <v>0</v>
      </c>
      <c r="CJ28" s="738">
        <v>0</v>
      </c>
      <c r="CK28" s="322">
        <f t="shared" ref="CK28:CK39" si="155">CN28</f>
        <v>0</v>
      </c>
      <c r="CL28" s="738"/>
      <c r="CM28" s="738"/>
      <c r="CN28" s="738">
        <v>0</v>
      </c>
      <c r="CO28" s="738"/>
    </row>
    <row r="29" spans="1:93" x14ac:dyDescent="0.25">
      <c r="A29" s="326" t="str">
        <f>Language!$G37</f>
        <v>Notas Promissórias</v>
      </c>
      <c r="B29" s="322">
        <v>0</v>
      </c>
      <c r="C29" s="322">
        <v>0</v>
      </c>
      <c r="D29" s="322">
        <v>0</v>
      </c>
      <c r="E29" s="321">
        <v>0</v>
      </c>
      <c r="F29" s="322">
        <v>0</v>
      </c>
      <c r="G29" s="322">
        <v>0</v>
      </c>
      <c r="H29" s="322">
        <v>0</v>
      </c>
      <c r="I29" s="321">
        <v>0</v>
      </c>
      <c r="J29" s="322">
        <v>0</v>
      </c>
      <c r="K29" s="322">
        <v>0</v>
      </c>
      <c r="L29" s="322">
        <v>0</v>
      </c>
      <c r="M29" s="321">
        <v>0</v>
      </c>
      <c r="N29" s="322">
        <v>0</v>
      </c>
      <c r="O29" s="322">
        <v>0</v>
      </c>
      <c r="P29" s="322">
        <v>0</v>
      </c>
      <c r="Q29" s="321">
        <v>0</v>
      </c>
      <c r="R29" s="322">
        <v>0</v>
      </c>
      <c r="S29" s="322">
        <v>0</v>
      </c>
      <c r="T29" s="322">
        <v>0</v>
      </c>
      <c r="U29" s="322">
        <v>0</v>
      </c>
      <c r="V29" s="322">
        <v>0</v>
      </c>
      <c r="W29" s="322">
        <v>0</v>
      </c>
      <c r="X29" s="321">
        <v>0</v>
      </c>
      <c r="Y29" s="322"/>
      <c r="Z29" s="322"/>
      <c r="AA29" s="322"/>
      <c r="AB29" s="322"/>
      <c r="AC29" s="322"/>
      <c r="AD29" s="322"/>
      <c r="AE29" s="321"/>
      <c r="AF29" s="322"/>
      <c r="AG29" s="322"/>
      <c r="AH29" s="322"/>
      <c r="AI29" s="322"/>
      <c r="AJ29" s="322"/>
      <c r="AK29" s="322"/>
      <c r="AL29" s="321"/>
      <c r="AM29" s="322"/>
      <c r="AN29" s="322"/>
      <c r="AO29" s="322"/>
      <c r="AP29" s="322"/>
      <c r="AQ29" s="322"/>
      <c r="AR29" s="322"/>
      <c r="AS29" s="321"/>
      <c r="AT29" s="322"/>
      <c r="AU29" s="322"/>
      <c r="AV29" s="322">
        <f t="shared" si="139"/>
        <v>0</v>
      </c>
      <c r="AW29" s="322">
        <f t="shared" si="139"/>
        <v>0</v>
      </c>
      <c r="AX29" s="322"/>
      <c r="AY29" s="322">
        <v>0</v>
      </c>
      <c r="AZ29" s="738">
        <v>0</v>
      </c>
      <c r="BA29" s="738">
        <v>0</v>
      </c>
      <c r="BB29" s="322">
        <f t="shared" si="140"/>
        <v>0</v>
      </c>
      <c r="BC29" s="322">
        <f t="shared" si="141"/>
        <v>0</v>
      </c>
      <c r="BD29" s="322">
        <f t="shared" si="142"/>
        <v>0</v>
      </c>
      <c r="BE29" s="738">
        <v>0</v>
      </c>
      <c r="BF29" s="738">
        <v>0</v>
      </c>
      <c r="BG29" s="738">
        <v>0</v>
      </c>
      <c r="BH29" s="738">
        <v>0</v>
      </c>
      <c r="BI29" s="322">
        <f t="shared" si="143"/>
        <v>0</v>
      </c>
      <c r="BJ29" s="322">
        <f t="shared" si="144"/>
        <v>0</v>
      </c>
      <c r="BK29" s="322">
        <f t="shared" si="145"/>
        <v>0</v>
      </c>
      <c r="BL29" s="738">
        <v>0</v>
      </c>
      <c r="BM29" s="738">
        <v>0</v>
      </c>
      <c r="BN29" s="738">
        <v>0</v>
      </c>
      <c r="BO29" s="738">
        <v>0</v>
      </c>
      <c r="BP29" s="322">
        <f t="shared" si="146"/>
        <v>0</v>
      </c>
      <c r="BQ29" s="322">
        <f t="shared" si="147"/>
        <v>0</v>
      </c>
      <c r="BR29" s="322">
        <f t="shared" si="148"/>
        <v>0</v>
      </c>
      <c r="BS29" s="738">
        <v>0</v>
      </c>
      <c r="BT29" s="738">
        <v>0</v>
      </c>
      <c r="BU29" s="738">
        <v>0</v>
      </c>
      <c r="BV29" s="738">
        <v>0</v>
      </c>
      <c r="BW29" s="322">
        <f t="shared" si="149"/>
        <v>0</v>
      </c>
      <c r="BX29" s="322">
        <f t="shared" si="150"/>
        <v>0</v>
      </c>
      <c r="BY29" s="322">
        <f t="shared" si="151"/>
        <v>0</v>
      </c>
      <c r="BZ29" s="738">
        <v>0</v>
      </c>
      <c r="CA29" s="738">
        <v>0</v>
      </c>
      <c r="CB29" s="738">
        <v>0</v>
      </c>
      <c r="CC29" s="738">
        <v>0</v>
      </c>
      <c r="CD29" s="322">
        <f t="shared" si="152"/>
        <v>0</v>
      </c>
      <c r="CE29" s="322">
        <f t="shared" si="153"/>
        <v>0</v>
      </c>
      <c r="CF29" s="322">
        <f t="shared" si="154"/>
        <v>0</v>
      </c>
      <c r="CG29" s="322">
        <v>0</v>
      </c>
      <c r="CH29" s="738">
        <v>0</v>
      </c>
      <c r="CI29" s="738">
        <v>0</v>
      </c>
      <c r="CJ29" s="738">
        <v>0</v>
      </c>
      <c r="CK29" s="322">
        <f t="shared" si="155"/>
        <v>0</v>
      </c>
      <c r="CL29" s="738"/>
      <c r="CM29" s="738"/>
      <c r="CN29" s="738">
        <v>0</v>
      </c>
      <c r="CO29" s="738"/>
    </row>
    <row r="30" spans="1:93" x14ac:dyDescent="0.25">
      <c r="A30" s="326" t="str">
        <f>Language!$G38</f>
        <v>Debêntures</v>
      </c>
      <c r="B30" s="322">
        <v>0</v>
      </c>
      <c r="C30" s="322">
        <v>0</v>
      </c>
      <c r="D30" s="322">
        <v>0</v>
      </c>
      <c r="E30" s="321">
        <v>150631</v>
      </c>
      <c r="F30" s="322">
        <v>156709</v>
      </c>
      <c r="G30" s="322">
        <v>159137</v>
      </c>
      <c r="H30" s="322">
        <v>0</v>
      </c>
      <c r="I30" s="321">
        <v>0</v>
      </c>
      <c r="J30" s="322">
        <v>0</v>
      </c>
      <c r="K30" s="322">
        <v>0</v>
      </c>
      <c r="L30" s="322">
        <v>0</v>
      </c>
      <c r="M30" s="321">
        <v>0</v>
      </c>
      <c r="N30" s="322">
        <v>30626</v>
      </c>
      <c r="O30" s="322">
        <v>32306</v>
      </c>
      <c r="P30" s="322">
        <v>45119</v>
      </c>
      <c r="Q30" s="321">
        <v>24611</v>
      </c>
      <c r="R30" s="322">
        <v>26037</v>
      </c>
      <c r="S30" s="322">
        <v>12140</v>
      </c>
      <c r="T30" s="322">
        <v>12560</v>
      </c>
      <c r="U30" s="322">
        <v>0</v>
      </c>
      <c r="V30" s="322">
        <v>12140</v>
      </c>
      <c r="W30" s="322">
        <v>12560</v>
      </c>
      <c r="X30" s="321">
        <v>0</v>
      </c>
      <c r="Y30" s="322"/>
      <c r="Z30" s="322"/>
      <c r="AA30" s="322"/>
      <c r="AB30" s="322"/>
      <c r="AC30" s="322"/>
      <c r="AD30" s="322"/>
      <c r="AE30" s="321"/>
      <c r="AF30" s="322"/>
      <c r="AG30" s="322"/>
      <c r="AH30" s="322"/>
      <c r="AI30" s="322"/>
      <c r="AJ30" s="322"/>
      <c r="AK30" s="322"/>
      <c r="AL30" s="321"/>
      <c r="AM30" s="322"/>
      <c r="AN30" s="322"/>
      <c r="AO30" s="322"/>
      <c r="AP30" s="322"/>
      <c r="AQ30" s="322"/>
      <c r="AR30" s="322"/>
      <c r="AS30" s="321"/>
      <c r="AT30" s="322"/>
      <c r="AU30" s="322"/>
      <c r="AV30" s="322">
        <f t="shared" si="139"/>
        <v>0</v>
      </c>
      <c r="AW30" s="322">
        <f t="shared" si="139"/>
        <v>0</v>
      </c>
      <c r="AX30" s="322"/>
      <c r="AY30" s="322">
        <v>0</v>
      </c>
      <c r="AZ30" s="738">
        <v>0</v>
      </c>
      <c r="BA30" s="738">
        <v>0</v>
      </c>
      <c r="BB30" s="322">
        <f t="shared" si="140"/>
        <v>0</v>
      </c>
      <c r="BC30" s="322">
        <f t="shared" si="141"/>
        <v>0</v>
      </c>
      <c r="BD30" s="322">
        <f t="shared" si="142"/>
        <v>0</v>
      </c>
      <c r="BE30" s="738">
        <v>0</v>
      </c>
      <c r="BF30" s="738">
        <v>0</v>
      </c>
      <c r="BG30" s="738">
        <v>0</v>
      </c>
      <c r="BH30" s="738">
        <v>0</v>
      </c>
      <c r="BI30" s="322">
        <f t="shared" si="143"/>
        <v>0</v>
      </c>
      <c r="BJ30" s="322">
        <f t="shared" si="144"/>
        <v>0</v>
      </c>
      <c r="BK30" s="322">
        <f t="shared" si="145"/>
        <v>0</v>
      </c>
      <c r="BL30" s="738">
        <v>0</v>
      </c>
      <c r="BM30" s="738">
        <v>0</v>
      </c>
      <c r="BN30" s="738">
        <v>0</v>
      </c>
      <c r="BO30" s="738">
        <v>0</v>
      </c>
      <c r="BP30" s="322">
        <f t="shared" si="146"/>
        <v>0</v>
      </c>
      <c r="BQ30" s="322">
        <f t="shared" si="147"/>
        <v>0</v>
      </c>
      <c r="BR30" s="322">
        <f t="shared" si="148"/>
        <v>0</v>
      </c>
      <c r="BS30" s="738">
        <v>0</v>
      </c>
      <c r="BT30" s="738">
        <v>0</v>
      </c>
      <c r="BU30" s="738">
        <v>0</v>
      </c>
      <c r="BV30" s="738">
        <v>0</v>
      </c>
      <c r="BW30" s="322">
        <f t="shared" si="149"/>
        <v>0</v>
      </c>
      <c r="BX30" s="322">
        <f t="shared" si="150"/>
        <v>0</v>
      </c>
      <c r="BY30" s="322">
        <f t="shared" si="151"/>
        <v>0</v>
      </c>
      <c r="BZ30" s="738">
        <v>0</v>
      </c>
      <c r="CA30" s="738">
        <v>0</v>
      </c>
      <c r="CB30" s="738">
        <v>0</v>
      </c>
      <c r="CC30" s="738">
        <v>0</v>
      </c>
      <c r="CD30" s="322">
        <f t="shared" si="152"/>
        <v>0</v>
      </c>
      <c r="CE30" s="322">
        <f t="shared" si="153"/>
        <v>0</v>
      </c>
      <c r="CF30" s="322">
        <f t="shared" si="154"/>
        <v>0</v>
      </c>
      <c r="CG30" s="322">
        <v>0</v>
      </c>
      <c r="CH30" s="738">
        <v>0</v>
      </c>
      <c r="CI30" s="738">
        <v>0</v>
      </c>
      <c r="CJ30" s="738">
        <v>0</v>
      </c>
      <c r="CK30" s="322">
        <f t="shared" si="155"/>
        <v>0</v>
      </c>
      <c r="CL30" s="738"/>
      <c r="CM30" s="738"/>
      <c r="CN30" s="738">
        <v>0</v>
      </c>
      <c r="CO30" s="738"/>
    </row>
    <row r="31" spans="1:93" x14ac:dyDescent="0.25">
      <c r="A31" s="326" t="str">
        <f>Language!$G39</f>
        <v>Obrigações da Concessão</v>
      </c>
      <c r="B31" s="322">
        <v>970</v>
      </c>
      <c r="C31" s="322">
        <v>1015</v>
      </c>
      <c r="D31" s="322">
        <v>0</v>
      </c>
      <c r="E31" s="321">
        <v>3091</v>
      </c>
      <c r="F31" s="322">
        <v>0</v>
      </c>
      <c r="G31" s="322">
        <v>0</v>
      </c>
      <c r="H31" s="322">
        <v>0</v>
      </c>
      <c r="I31" s="321">
        <v>0</v>
      </c>
      <c r="J31" s="322">
        <v>0</v>
      </c>
      <c r="K31" s="322">
        <v>0</v>
      </c>
      <c r="L31" s="322">
        <v>0</v>
      </c>
      <c r="M31" s="321">
        <v>0</v>
      </c>
      <c r="N31" s="322">
        <v>0</v>
      </c>
      <c r="O31" s="322">
        <v>4680</v>
      </c>
      <c r="P31" s="322">
        <v>5042</v>
      </c>
      <c r="Q31" s="321">
        <v>9003</v>
      </c>
      <c r="R31" s="322">
        <v>9540</v>
      </c>
      <c r="S31" s="322">
        <v>8905</v>
      </c>
      <c r="T31" s="322">
        <v>9822</v>
      </c>
      <c r="U31" s="322">
        <v>3139</v>
      </c>
      <c r="V31" s="322">
        <v>8905</v>
      </c>
      <c r="W31" s="322">
        <v>9822</v>
      </c>
      <c r="X31" s="321">
        <v>3139</v>
      </c>
      <c r="Y31" s="322">
        <v>4583</v>
      </c>
      <c r="Z31" s="322">
        <f t="shared" si="22"/>
        <v>3468</v>
      </c>
      <c r="AA31" s="322">
        <f t="shared" si="23"/>
        <v>4214</v>
      </c>
      <c r="AB31" s="322">
        <f t="shared" si="24"/>
        <v>4702</v>
      </c>
      <c r="AC31" s="322">
        <v>3468</v>
      </c>
      <c r="AD31" s="322">
        <v>4214</v>
      </c>
      <c r="AE31" s="321">
        <v>4702</v>
      </c>
      <c r="AF31" s="322">
        <v>4662</v>
      </c>
      <c r="AG31" s="322">
        <f t="shared" si="25"/>
        <v>4333</v>
      </c>
      <c r="AH31" s="322">
        <f t="shared" si="3"/>
        <v>4791</v>
      </c>
      <c r="AI31" s="322">
        <f t="shared" si="4"/>
        <v>4442</v>
      </c>
      <c r="AJ31" s="322">
        <v>4333</v>
      </c>
      <c r="AK31" s="322">
        <v>4791</v>
      </c>
      <c r="AL31" s="321">
        <v>4442</v>
      </c>
      <c r="AM31" s="322">
        <v>4777</v>
      </c>
      <c r="AN31" s="322">
        <f t="shared" si="26"/>
        <v>4260</v>
      </c>
      <c r="AO31" s="322">
        <f t="shared" si="26"/>
        <v>4761</v>
      </c>
      <c r="AP31" s="322">
        <f t="shared" si="26"/>
        <v>5016</v>
      </c>
      <c r="AQ31" s="322">
        <v>4260</v>
      </c>
      <c r="AR31" s="322">
        <v>4761</v>
      </c>
      <c r="AS31" s="321">
        <v>5016</v>
      </c>
      <c r="AT31" s="322">
        <v>4716</v>
      </c>
      <c r="AU31" s="322">
        <f>AX31</f>
        <v>4341</v>
      </c>
      <c r="AV31" s="322">
        <f t="shared" si="139"/>
        <v>5490</v>
      </c>
      <c r="AW31" s="322">
        <f t="shared" si="139"/>
        <v>5743</v>
      </c>
      <c r="AX31" s="322">
        <v>4341</v>
      </c>
      <c r="AY31" s="322">
        <v>5490</v>
      </c>
      <c r="AZ31" s="322">
        <v>5743</v>
      </c>
      <c r="BA31" s="322">
        <v>6279</v>
      </c>
      <c r="BB31" s="322">
        <f t="shared" si="140"/>
        <v>5262</v>
      </c>
      <c r="BC31" s="322">
        <f t="shared" si="141"/>
        <v>6797</v>
      </c>
      <c r="BD31" s="322">
        <f t="shared" si="142"/>
        <v>6372</v>
      </c>
      <c r="BE31" s="322">
        <v>5262</v>
      </c>
      <c r="BF31" s="322">
        <v>6797</v>
      </c>
      <c r="BG31" s="322">
        <v>6372</v>
      </c>
      <c r="BH31" s="322">
        <v>6371</v>
      </c>
      <c r="BI31" s="322">
        <f t="shared" si="143"/>
        <v>6309</v>
      </c>
      <c r="BJ31" s="322">
        <f t="shared" si="144"/>
        <v>6483</v>
      </c>
      <c r="BK31" s="322">
        <f t="shared" si="145"/>
        <v>6280</v>
      </c>
      <c r="BL31" s="322">
        <v>6309</v>
      </c>
      <c r="BM31" s="322">
        <v>6483</v>
      </c>
      <c r="BN31" s="322">
        <v>6280</v>
      </c>
      <c r="BO31" s="322">
        <v>6411</v>
      </c>
      <c r="BP31" s="322">
        <f t="shared" si="146"/>
        <v>6497</v>
      </c>
      <c r="BQ31" s="322">
        <f t="shared" si="147"/>
        <v>6526</v>
      </c>
      <c r="BR31" s="322">
        <f t="shared" si="148"/>
        <v>6620</v>
      </c>
      <c r="BS31" s="322">
        <v>6497</v>
      </c>
      <c r="BT31" s="322">
        <v>6526</v>
      </c>
      <c r="BU31" s="322">
        <v>6620</v>
      </c>
      <c r="BV31" s="322">
        <v>7987</v>
      </c>
      <c r="BW31" s="322">
        <f t="shared" si="149"/>
        <v>7245</v>
      </c>
      <c r="BX31" s="322">
        <f t="shared" si="150"/>
        <v>6713</v>
      </c>
      <c r="BY31" s="322">
        <f t="shared" si="151"/>
        <v>7424</v>
      </c>
      <c r="BZ31" s="322">
        <v>7245</v>
      </c>
      <c r="CA31" s="322">
        <v>6713</v>
      </c>
      <c r="CB31" s="322">
        <v>7424</v>
      </c>
      <c r="CC31" s="322">
        <v>7154</v>
      </c>
      <c r="CD31" s="322">
        <f t="shared" si="152"/>
        <v>6759</v>
      </c>
      <c r="CE31" s="322">
        <f t="shared" si="153"/>
        <v>6898</v>
      </c>
      <c r="CF31" s="322">
        <f t="shared" si="154"/>
        <v>7111</v>
      </c>
      <c r="CG31" s="322">
        <v>6759</v>
      </c>
      <c r="CH31" s="322">
        <v>6898</v>
      </c>
      <c r="CI31" s="322">
        <v>7111</v>
      </c>
      <c r="CJ31" s="322">
        <v>7825</v>
      </c>
      <c r="CK31" s="322">
        <f t="shared" si="155"/>
        <v>0</v>
      </c>
      <c r="CL31" s="322"/>
      <c r="CM31" s="322"/>
      <c r="CN31" s="322">
        <v>0</v>
      </c>
      <c r="CO31" s="322"/>
    </row>
    <row r="32" spans="1:93" x14ac:dyDescent="0.25">
      <c r="A32" s="326" t="str">
        <f>Language!$G40</f>
        <v>Salários, Provisões e Contribuições Sociais</v>
      </c>
      <c r="B32" s="322">
        <v>268</v>
      </c>
      <c r="C32" s="322">
        <v>300</v>
      </c>
      <c r="D32" s="322">
        <v>313</v>
      </c>
      <c r="E32" s="321">
        <v>241</v>
      </c>
      <c r="F32" s="322">
        <v>315</v>
      </c>
      <c r="G32" s="322">
        <v>419</v>
      </c>
      <c r="H32" s="322">
        <v>458</v>
      </c>
      <c r="I32" s="321">
        <v>844</v>
      </c>
      <c r="J32" s="322">
        <v>640</v>
      </c>
      <c r="K32" s="322">
        <v>567</v>
      </c>
      <c r="L32" s="322">
        <v>651</v>
      </c>
      <c r="M32" s="321">
        <v>391</v>
      </c>
      <c r="N32" s="322">
        <v>505</v>
      </c>
      <c r="O32" s="322">
        <v>586</v>
      </c>
      <c r="P32" s="322">
        <v>1360</v>
      </c>
      <c r="Q32" s="321">
        <v>1451</v>
      </c>
      <c r="R32" s="322">
        <v>2519</v>
      </c>
      <c r="S32" s="322">
        <v>2444</v>
      </c>
      <c r="T32" s="322">
        <v>2922</v>
      </c>
      <c r="U32" s="322">
        <v>847</v>
      </c>
      <c r="V32" s="322">
        <v>2444</v>
      </c>
      <c r="W32" s="322">
        <v>2922</v>
      </c>
      <c r="X32" s="321">
        <v>847</v>
      </c>
      <c r="Y32" s="322">
        <v>911</v>
      </c>
      <c r="Z32" s="322">
        <f t="shared" si="22"/>
        <v>1009</v>
      </c>
      <c r="AA32" s="322">
        <f t="shared" si="23"/>
        <v>1300</v>
      </c>
      <c r="AB32" s="322">
        <f t="shared" si="24"/>
        <v>865</v>
      </c>
      <c r="AC32" s="322">
        <v>1009</v>
      </c>
      <c r="AD32" s="322">
        <v>1300</v>
      </c>
      <c r="AE32" s="321">
        <v>865</v>
      </c>
      <c r="AF32" s="322">
        <v>773</v>
      </c>
      <c r="AG32" s="322">
        <f t="shared" si="25"/>
        <v>936</v>
      </c>
      <c r="AH32" s="322">
        <f t="shared" si="3"/>
        <v>1601</v>
      </c>
      <c r="AI32" s="322">
        <f t="shared" si="4"/>
        <v>1418</v>
      </c>
      <c r="AJ32" s="322">
        <v>936</v>
      </c>
      <c r="AK32" s="322">
        <v>1601</v>
      </c>
      <c r="AL32" s="321">
        <v>1418</v>
      </c>
      <c r="AM32" s="322">
        <v>1930</v>
      </c>
      <c r="AN32" s="322">
        <f t="shared" si="26"/>
        <v>1626</v>
      </c>
      <c r="AO32" s="322">
        <f t="shared" si="26"/>
        <v>1653</v>
      </c>
      <c r="AP32" s="322">
        <f t="shared" si="26"/>
        <v>1597</v>
      </c>
      <c r="AQ32" s="322">
        <v>1626</v>
      </c>
      <c r="AR32" s="322">
        <v>1653</v>
      </c>
      <c r="AS32" s="321">
        <v>1597</v>
      </c>
      <c r="AT32" s="322">
        <v>1904</v>
      </c>
      <c r="AU32" s="322">
        <f>AX32</f>
        <v>2057</v>
      </c>
      <c r="AV32" s="322">
        <f t="shared" si="139"/>
        <v>1652</v>
      </c>
      <c r="AW32" s="322">
        <f t="shared" si="139"/>
        <v>1501</v>
      </c>
      <c r="AX32" s="322">
        <v>2057</v>
      </c>
      <c r="AY32" s="322">
        <v>1652</v>
      </c>
      <c r="AZ32" s="322">
        <v>1501</v>
      </c>
      <c r="BA32" s="322">
        <v>1514</v>
      </c>
      <c r="BB32" s="322">
        <f t="shared" si="140"/>
        <v>1074</v>
      </c>
      <c r="BC32" s="322">
        <f t="shared" si="141"/>
        <v>1035</v>
      </c>
      <c r="BD32" s="322">
        <f t="shared" si="142"/>
        <v>798</v>
      </c>
      <c r="BE32" s="322">
        <v>1074</v>
      </c>
      <c r="BF32" s="322">
        <v>1035</v>
      </c>
      <c r="BG32" s="322">
        <v>798</v>
      </c>
      <c r="BH32" s="322">
        <v>782</v>
      </c>
      <c r="BI32" s="322">
        <f t="shared" si="143"/>
        <v>1136</v>
      </c>
      <c r="BJ32" s="322">
        <f t="shared" si="144"/>
        <v>1284</v>
      </c>
      <c r="BK32" s="322">
        <f t="shared" si="145"/>
        <v>1863</v>
      </c>
      <c r="BL32" s="322">
        <v>1136</v>
      </c>
      <c r="BM32" s="322">
        <v>1284</v>
      </c>
      <c r="BN32" s="322">
        <v>1863</v>
      </c>
      <c r="BO32" s="322">
        <v>1957</v>
      </c>
      <c r="BP32" s="322">
        <f t="shared" si="146"/>
        <v>1910</v>
      </c>
      <c r="BQ32" s="322">
        <f t="shared" si="147"/>
        <v>2030</v>
      </c>
      <c r="BR32" s="322">
        <f t="shared" si="148"/>
        <v>2058</v>
      </c>
      <c r="BS32" s="322">
        <v>1910</v>
      </c>
      <c r="BT32" s="322">
        <v>2030</v>
      </c>
      <c r="BU32" s="322">
        <v>2058</v>
      </c>
      <c r="BV32" s="322">
        <v>2330</v>
      </c>
      <c r="BW32" s="322">
        <f t="shared" si="149"/>
        <v>1710</v>
      </c>
      <c r="BX32" s="322">
        <f t="shared" si="150"/>
        <v>1662</v>
      </c>
      <c r="BY32" s="322">
        <f t="shared" si="151"/>
        <v>1813</v>
      </c>
      <c r="BZ32" s="322">
        <v>1710</v>
      </c>
      <c r="CA32" s="322">
        <v>1662</v>
      </c>
      <c r="CB32" s="322">
        <v>1813</v>
      </c>
      <c r="CC32" s="322">
        <v>1987</v>
      </c>
      <c r="CD32" s="322">
        <f t="shared" si="152"/>
        <v>1567</v>
      </c>
      <c r="CE32" s="322">
        <f t="shared" si="153"/>
        <v>1819</v>
      </c>
      <c r="CF32" s="322">
        <f t="shared" si="154"/>
        <v>1769</v>
      </c>
      <c r="CG32" s="322">
        <v>1567</v>
      </c>
      <c r="CH32" s="322">
        <v>1819</v>
      </c>
      <c r="CI32" s="322">
        <v>1769</v>
      </c>
      <c r="CJ32" s="322">
        <v>1757</v>
      </c>
      <c r="CK32" s="322">
        <f t="shared" si="155"/>
        <v>7369</v>
      </c>
      <c r="CL32" s="322"/>
      <c r="CM32" s="322"/>
      <c r="CN32" s="322">
        <v>7369</v>
      </c>
      <c r="CO32" s="322"/>
    </row>
    <row r="33" spans="1:93" x14ac:dyDescent="0.25">
      <c r="A33" s="326" t="str">
        <f>Language!$G41</f>
        <v>Impostos, Taxas e Contribuições</v>
      </c>
      <c r="B33" s="322">
        <v>6083</v>
      </c>
      <c r="C33" s="322">
        <v>8101</v>
      </c>
      <c r="D33" s="322">
        <v>6983</v>
      </c>
      <c r="E33" s="321">
        <v>7836</v>
      </c>
      <c r="F33" s="322">
        <v>7099</v>
      </c>
      <c r="G33" s="322">
        <v>8565</v>
      </c>
      <c r="H33" s="322">
        <v>10767</v>
      </c>
      <c r="I33" s="321">
        <v>10882</v>
      </c>
      <c r="J33" s="322">
        <v>11479</v>
      </c>
      <c r="K33" s="322">
        <v>12869</v>
      </c>
      <c r="L33" s="322">
        <v>13059</v>
      </c>
      <c r="M33" s="321">
        <v>11980</v>
      </c>
      <c r="N33" s="322">
        <v>24753</v>
      </c>
      <c r="O33" s="322">
        <v>14697</v>
      </c>
      <c r="P33" s="322">
        <v>8333</v>
      </c>
      <c r="Q33" s="321">
        <v>7676</v>
      </c>
      <c r="R33" s="322">
        <v>21730</v>
      </c>
      <c r="S33" s="322">
        <v>8277</v>
      </c>
      <c r="T33" s="322">
        <v>13557</v>
      </c>
      <c r="U33" s="322">
        <v>988</v>
      </c>
      <c r="V33" s="322">
        <v>8277</v>
      </c>
      <c r="W33" s="322">
        <v>13557</v>
      </c>
      <c r="X33" s="321">
        <v>988</v>
      </c>
      <c r="Y33" s="322">
        <v>1372</v>
      </c>
      <c r="Z33" s="322">
        <f t="shared" si="22"/>
        <v>1982</v>
      </c>
      <c r="AA33" s="322">
        <f t="shared" si="23"/>
        <v>2918</v>
      </c>
      <c r="AB33" s="322">
        <f t="shared" si="24"/>
        <v>524</v>
      </c>
      <c r="AC33" s="322">
        <v>1982</v>
      </c>
      <c r="AD33" s="322">
        <v>2918</v>
      </c>
      <c r="AE33" s="321">
        <v>524</v>
      </c>
      <c r="AF33" s="322">
        <v>1383</v>
      </c>
      <c r="AG33" s="322">
        <f t="shared" si="25"/>
        <v>2147</v>
      </c>
      <c r="AH33" s="322">
        <f t="shared" si="3"/>
        <v>3097</v>
      </c>
      <c r="AI33" s="322">
        <f t="shared" si="4"/>
        <v>446</v>
      </c>
      <c r="AJ33" s="322">
        <v>2147</v>
      </c>
      <c r="AK33" s="322">
        <v>3097</v>
      </c>
      <c r="AL33" s="321">
        <v>446</v>
      </c>
      <c r="AM33" s="322">
        <v>1372</v>
      </c>
      <c r="AN33" s="322">
        <f t="shared" si="26"/>
        <v>2003</v>
      </c>
      <c r="AO33" s="322">
        <f t="shared" si="26"/>
        <v>6363</v>
      </c>
      <c r="AP33" s="322">
        <f t="shared" si="26"/>
        <v>1156</v>
      </c>
      <c r="AQ33" s="322">
        <v>2003</v>
      </c>
      <c r="AR33" s="322">
        <v>6363</v>
      </c>
      <c r="AS33" s="321">
        <v>1156</v>
      </c>
      <c r="AT33" s="322">
        <v>4375</v>
      </c>
      <c r="AU33" s="322">
        <f>AX33</f>
        <v>8266</v>
      </c>
      <c r="AV33" s="322">
        <f t="shared" si="139"/>
        <v>12509</v>
      </c>
      <c r="AW33" s="322">
        <f t="shared" si="139"/>
        <v>1774</v>
      </c>
      <c r="AX33" s="322">
        <v>8266</v>
      </c>
      <c r="AY33" s="322">
        <v>12509</v>
      </c>
      <c r="AZ33" s="322">
        <v>1774</v>
      </c>
      <c r="BA33" s="322">
        <v>4904</v>
      </c>
      <c r="BB33" s="322">
        <f t="shared" si="140"/>
        <v>10590</v>
      </c>
      <c r="BC33" s="322">
        <f t="shared" si="141"/>
        <v>14682</v>
      </c>
      <c r="BD33" s="322">
        <f t="shared" si="142"/>
        <v>1458</v>
      </c>
      <c r="BE33" s="322">
        <v>10590</v>
      </c>
      <c r="BF33" s="322">
        <v>14682</v>
      </c>
      <c r="BG33" s="322">
        <v>1458</v>
      </c>
      <c r="BH33" s="322">
        <v>5075</v>
      </c>
      <c r="BI33" s="322">
        <f t="shared" si="143"/>
        <v>9231</v>
      </c>
      <c r="BJ33" s="322">
        <f t="shared" si="144"/>
        <v>14445</v>
      </c>
      <c r="BK33" s="322">
        <f t="shared" si="145"/>
        <v>1956</v>
      </c>
      <c r="BL33" s="322">
        <v>9231</v>
      </c>
      <c r="BM33" s="322">
        <v>14445</v>
      </c>
      <c r="BN33" s="322">
        <v>1956</v>
      </c>
      <c r="BO33" s="322">
        <v>5729</v>
      </c>
      <c r="BP33" s="322">
        <f t="shared" si="146"/>
        <v>10568</v>
      </c>
      <c r="BQ33" s="322">
        <f t="shared" si="147"/>
        <v>16738</v>
      </c>
      <c r="BR33" s="322">
        <f t="shared" si="148"/>
        <v>1722</v>
      </c>
      <c r="BS33" s="322">
        <v>10568</v>
      </c>
      <c r="BT33" s="322">
        <v>16738</v>
      </c>
      <c r="BU33" s="322">
        <v>1722</v>
      </c>
      <c r="BV33" s="322">
        <v>6975</v>
      </c>
      <c r="BW33" s="322">
        <f t="shared" si="149"/>
        <v>12190</v>
      </c>
      <c r="BX33" s="322">
        <f t="shared" si="150"/>
        <v>18006</v>
      </c>
      <c r="BY33" s="322">
        <f t="shared" si="151"/>
        <v>2245</v>
      </c>
      <c r="BZ33" s="322">
        <v>12190</v>
      </c>
      <c r="CA33" s="322">
        <v>18006</v>
      </c>
      <c r="CB33" s="322">
        <v>2245</v>
      </c>
      <c r="CC33" s="322">
        <v>6575</v>
      </c>
      <c r="CD33" s="322">
        <f t="shared" si="152"/>
        <v>11843</v>
      </c>
      <c r="CE33" s="322">
        <f t="shared" si="153"/>
        <v>17726</v>
      </c>
      <c r="CF33" s="322">
        <f t="shared" si="154"/>
        <v>1945</v>
      </c>
      <c r="CG33" s="322">
        <v>11843</v>
      </c>
      <c r="CH33" s="322">
        <v>17726</v>
      </c>
      <c r="CI33" s="322">
        <v>1945</v>
      </c>
      <c r="CJ33" s="322">
        <v>6915</v>
      </c>
      <c r="CK33" s="322">
        <f t="shared" si="155"/>
        <v>1762</v>
      </c>
      <c r="CL33" s="322"/>
      <c r="CM33" s="322"/>
      <c r="CN33" s="322">
        <v>1762</v>
      </c>
      <c r="CO33" s="322"/>
    </row>
    <row r="34" spans="1:93" x14ac:dyDescent="0.25">
      <c r="A34" s="326" t="str">
        <f>Language!$G42</f>
        <v>Adiantamento de Clientes</v>
      </c>
      <c r="B34" s="322">
        <v>0</v>
      </c>
      <c r="C34" s="322">
        <v>0</v>
      </c>
      <c r="D34" s="322">
        <v>0</v>
      </c>
      <c r="E34" s="321">
        <v>0</v>
      </c>
      <c r="F34" s="322">
        <v>0</v>
      </c>
      <c r="G34" s="322">
        <v>0</v>
      </c>
      <c r="H34" s="322">
        <v>0</v>
      </c>
      <c r="I34" s="321">
        <v>0</v>
      </c>
      <c r="J34" s="322">
        <v>0</v>
      </c>
      <c r="K34" s="322">
        <v>72200</v>
      </c>
      <c r="L34" s="322">
        <v>0</v>
      </c>
      <c r="M34" s="321">
        <v>2556</v>
      </c>
      <c r="N34" s="322">
        <v>0</v>
      </c>
      <c r="O34" s="322">
        <v>0</v>
      </c>
      <c r="P34" s="322">
        <v>0</v>
      </c>
      <c r="Q34" s="321">
        <v>70343</v>
      </c>
      <c r="R34" s="322">
        <v>30282</v>
      </c>
      <c r="S34" s="322">
        <v>1047</v>
      </c>
      <c r="T34" s="322">
        <v>0</v>
      </c>
      <c r="U34" s="322">
        <v>0</v>
      </c>
      <c r="V34" s="322">
        <v>1047</v>
      </c>
      <c r="W34" s="322">
        <v>0</v>
      </c>
      <c r="X34" s="321">
        <v>0</v>
      </c>
      <c r="Y34" s="322"/>
      <c r="Z34" s="322"/>
      <c r="AA34" s="322">
        <f t="shared" si="23"/>
        <v>34</v>
      </c>
      <c r="AB34" s="322">
        <f t="shared" si="24"/>
        <v>5197</v>
      </c>
      <c r="AC34" s="322"/>
      <c r="AD34" s="322">
        <v>34</v>
      </c>
      <c r="AE34" s="321">
        <v>5197</v>
      </c>
      <c r="AF34" s="322">
        <v>34</v>
      </c>
      <c r="AG34" s="322">
        <f t="shared" si="25"/>
        <v>33</v>
      </c>
      <c r="AH34" s="322">
        <f t="shared" si="3"/>
        <v>34</v>
      </c>
      <c r="AI34" s="322"/>
      <c r="AJ34" s="322">
        <v>33</v>
      </c>
      <c r="AK34" s="322">
        <v>34</v>
      </c>
      <c r="AL34" s="321"/>
      <c r="AM34" s="322"/>
      <c r="AN34" s="322"/>
      <c r="AO34" s="322">
        <f>AR34</f>
        <v>1</v>
      </c>
      <c r="AP34" s="322"/>
      <c r="AQ34" s="322"/>
      <c r="AR34" s="322">
        <v>1</v>
      </c>
      <c r="AS34" s="321"/>
      <c r="AT34" s="322">
        <v>1</v>
      </c>
      <c r="AU34" s="322"/>
      <c r="AV34" s="322">
        <f t="shared" si="139"/>
        <v>4</v>
      </c>
      <c r="AW34" s="322">
        <f t="shared" si="139"/>
        <v>4</v>
      </c>
      <c r="AX34" s="322"/>
      <c r="AY34" s="322">
        <v>4</v>
      </c>
      <c r="AZ34" s="322">
        <v>4</v>
      </c>
      <c r="BA34" s="322">
        <v>5</v>
      </c>
      <c r="BB34" s="322">
        <f t="shared" si="140"/>
        <v>1</v>
      </c>
      <c r="BC34" s="322">
        <f t="shared" si="141"/>
        <v>1</v>
      </c>
      <c r="BD34" s="322">
        <f t="shared" si="142"/>
        <v>1</v>
      </c>
      <c r="BE34" s="322">
        <v>1</v>
      </c>
      <c r="BF34" s="322">
        <v>1</v>
      </c>
      <c r="BG34" s="322">
        <v>1</v>
      </c>
      <c r="BH34" s="322">
        <v>1</v>
      </c>
      <c r="BI34" s="322">
        <f t="shared" si="143"/>
        <v>1</v>
      </c>
      <c r="BJ34" s="322">
        <f t="shared" si="144"/>
        <v>1</v>
      </c>
      <c r="BK34" s="322">
        <f t="shared" si="145"/>
        <v>0</v>
      </c>
      <c r="BL34" s="322">
        <v>1</v>
      </c>
      <c r="BM34" s="322">
        <v>1</v>
      </c>
      <c r="BN34" s="322">
        <v>0</v>
      </c>
      <c r="BO34" s="322">
        <v>0</v>
      </c>
      <c r="BP34" s="322">
        <f t="shared" si="146"/>
        <v>0</v>
      </c>
      <c r="BQ34" s="322">
        <f t="shared" si="147"/>
        <v>0</v>
      </c>
      <c r="BR34" s="322">
        <f t="shared" si="148"/>
        <v>0</v>
      </c>
      <c r="BS34" s="322">
        <v>0</v>
      </c>
      <c r="BT34" s="322">
        <v>0</v>
      </c>
      <c r="BU34" s="322">
        <v>0</v>
      </c>
      <c r="BV34" s="322">
        <v>0</v>
      </c>
      <c r="BW34" s="322">
        <f t="shared" si="149"/>
        <v>0</v>
      </c>
      <c r="BX34" s="322">
        <f t="shared" si="150"/>
        <v>0</v>
      </c>
      <c r="BY34" s="322">
        <f t="shared" si="151"/>
        <v>0</v>
      </c>
      <c r="BZ34" s="322">
        <v>0</v>
      </c>
      <c r="CA34" s="322">
        <v>0</v>
      </c>
      <c r="CB34" s="322">
        <v>0</v>
      </c>
      <c r="CC34" s="322">
        <v>0</v>
      </c>
      <c r="CD34" s="322">
        <f t="shared" si="152"/>
        <v>0</v>
      </c>
      <c r="CE34" s="322">
        <f t="shared" si="153"/>
        <v>0</v>
      </c>
      <c r="CF34" s="322">
        <f t="shared" si="154"/>
        <v>0</v>
      </c>
      <c r="CG34" s="322">
        <v>0</v>
      </c>
      <c r="CH34" s="322">
        <v>0</v>
      </c>
      <c r="CI34" s="322">
        <v>0</v>
      </c>
      <c r="CJ34" s="322">
        <v>0</v>
      </c>
      <c r="CK34" s="322">
        <f t="shared" si="155"/>
        <v>12706</v>
      </c>
      <c r="CL34" s="322"/>
      <c r="CM34" s="322"/>
      <c r="CN34" s="322">
        <v>12706</v>
      </c>
      <c r="CO34" s="322"/>
    </row>
    <row r="35" spans="1:93" x14ac:dyDescent="0.25">
      <c r="A35" s="326" t="str">
        <f>Language!$G43</f>
        <v>Dividendos Propostos</v>
      </c>
      <c r="B35" s="322">
        <v>278</v>
      </c>
      <c r="C35" s="322">
        <v>278</v>
      </c>
      <c r="D35" s="322">
        <v>278</v>
      </c>
      <c r="E35" s="321">
        <v>2458</v>
      </c>
      <c r="F35" s="322">
        <v>3057</v>
      </c>
      <c r="G35" s="322">
        <v>3057</v>
      </c>
      <c r="H35" s="322">
        <v>3057</v>
      </c>
      <c r="I35" s="321">
        <v>14080</v>
      </c>
      <c r="J35" s="322">
        <v>7501</v>
      </c>
      <c r="K35" s="322">
        <v>7328</v>
      </c>
      <c r="L35" s="322">
        <v>4553</v>
      </c>
      <c r="M35" s="321">
        <v>13582</v>
      </c>
      <c r="N35" s="322">
        <v>13602</v>
      </c>
      <c r="O35" s="322">
        <v>6904</v>
      </c>
      <c r="P35" s="322">
        <v>8176</v>
      </c>
      <c r="Q35" s="321">
        <v>43341</v>
      </c>
      <c r="R35" s="322">
        <v>43341</v>
      </c>
      <c r="S35" s="322">
        <v>40620</v>
      </c>
      <c r="T35" s="322">
        <v>0</v>
      </c>
      <c r="U35" s="322">
        <v>0</v>
      </c>
      <c r="V35" s="322">
        <v>40620</v>
      </c>
      <c r="W35" s="322">
        <v>0</v>
      </c>
      <c r="X35" s="321">
        <v>0</v>
      </c>
      <c r="Y35" s="322"/>
      <c r="Z35" s="322"/>
      <c r="AA35" s="322"/>
      <c r="AB35" s="322"/>
      <c r="AC35" s="322"/>
      <c r="AD35" s="322"/>
      <c r="AE35" s="321"/>
      <c r="AF35" s="322"/>
      <c r="AG35" s="322"/>
      <c r="AH35" s="322"/>
      <c r="AI35" s="322"/>
      <c r="AJ35" s="322"/>
      <c r="AK35" s="322"/>
      <c r="AL35" s="321"/>
      <c r="AM35" s="322"/>
      <c r="AN35" s="322"/>
      <c r="AO35" s="322"/>
      <c r="AP35" s="322">
        <f>AS35</f>
        <v>19343</v>
      </c>
      <c r="AQ35" s="322"/>
      <c r="AR35" s="322"/>
      <c r="AS35" s="321">
        <v>19343</v>
      </c>
      <c r="AT35" s="322">
        <v>6221</v>
      </c>
      <c r="AU35" s="322"/>
      <c r="AV35" s="322">
        <f t="shared" si="139"/>
        <v>7459</v>
      </c>
      <c r="AW35" s="322">
        <f t="shared" si="139"/>
        <v>0</v>
      </c>
      <c r="AX35" s="322"/>
      <c r="AY35" s="322">
        <v>7459</v>
      </c>
      <c r="AZ35" s="738">
        <v>0</v>
      </c>
      <c r="BA35" s="322">
        <v>144</v>
      </c>
      <c r="BB35" s="322">
        <f t="shared" si="140"/>
        <v>0</v>
      </c>
      <c r="BC35" s="322">
        <f t="shared" si="141"/>
        <v>0</v>
      </c>
      <c r="BD35" s="322">
        <f t="shared" si="142"/>
        <v>0</v>
      </c>
      <c r="BE35" s="738">
        <v>0</v>
      </c>
      <c r="BF35" s="738">
        <v>0</v>
      </c>
      <c r="BG35" s="738">
        <v>0</v>
      </c>
      <c r="BH35" s="322">
        <v>242</v>
      </c>
      <c r="BI35" s="322">
        <f t="shared" si="143"/>
        <v>0</v>
      </c>
      <c r="BJ35" s="322">
        <f t="shared" si="144"/>
        <v>0</v>
      </c>
      <c r="BK35" s="322">
        <f t="shared" si="145"/>
        <v>8008</v>
      </c>
      <c r="BL35" s="322">
        <v>0</v>
      </c>
      <c r="BM35" s="322">
        <v>0</v>
      </c>
      <c r="BN35" s="322">
        <v>8008</v>
      </c>
      <c r="BO35" s="322">
        <v>4393</v>
      </c>
      <c r="BP35" s="322">
        <f t="shared" si="146"/>
        <v>282</v>
      </c>
      <c r="BQ35" s="322">
        <f t="shared" si="147"/>
        <v>21786</v>
      </c>
      <c r="BR35" s="322">
        <f t="shared" si="148"/>
        <v>18563</v>
      </c>
      <c r="BS35" s="322">
        <v>282</v>
      </c>
      <c r="BT35" s="322">
        <v>21786</v>
      </c>
      <c r="BU35" s="322">
        <v>18563</v>
      </c>
      <c r="BV35" s="322">
        <v>8911</v>
      </c>
      <c r="BW35" s="322">
        <f t="shared" si="149"/>
        <v>27194</v>
      </c>
      <c r="BX35" s="322">
        <f t="shared" si="150"/>
        <v>15470</v>
      </c>
      <c r="BY35" s="322">
        <f t="shared" si="151"/>
        <v>18672</v>
      </c>
      <c r="BZ35" s="322">
        <v>27194</v>
      </c>
      <c r="CA35" s="322">
        <v>15470</v>
      </c>
      <c r="CB35" s="322">
        <v>18672</v>
      </c>
      <c r="CC35" s="322">
        <v>23555</v>
      </c>
      <c r="CD35" s="322">
        <f t="shared" si="152"/>
        <v>5331</v>
      </c>
      <c r="CE35" s="322">
        <f t="shared" si="153"/>
        <v>29507</v>
      </c>
      <c r="CF35" s="322">
        <f t="shared" si="154"/>
        <v>19877</v>
      </c>
      <c r="CG35" s="322">
        <v>5331</v>
      </c>
      <c r="CH35" s="322">
        <v>29507</v>
      </c>
      <c r="CI35" s="322">
        <v>19877</v>
      </c>
      <c r="CJ35" s="322">
        <v>13492</v>
      </c>
      <c r="CK35" s="322">
        <f t="shared" si="155"/>
        <v>64524</v>
      </c>
      <c r="CL35" s="322"/>
      <c r="CM35" s="322"/>
      <c r="CN35" s="322">
        <v>64524</v>
      </c>
      <c r="CO35" s="322"/>
    </row>
    <row r="36" spans="1:93" x14ac:dyDescent="0.25">
      <c r="A36" s="326" t="str">
        <f>Language!$G44</f>
        <v>Contas a Pagar – Partes Relacionadas</v>
      </c>
      <c r="B36" s="322">
        <v>0</v>
      </c>
      <c r="C36" s="322">
        <v>0</v>
      </c>
      <c r="D36" s="322">
        <v>0</v>
      </c>
      <c r="E36" s="321">
        <v>0</v>
      </c>
      <c r="F36" s="322">
        <v>0</v>
      </c>
      <c r="G36" s="322">
        <v>0</v>
      </c>
      <c r="H36" s="322">
        <v>1130</v>
      </c>
      <c r="I36" s="321">
        <v>1948</v>
      </c>
      <c r="J36" s="322">
        <v>3901</v>
      </c>
      <c r="K36" s="322">
        <v>5612</v>
      </c>
      <c r="L36" s="322">
        <v>36</v>
      </c>
      <c r="M36" s="321">
        <v>0</v>
      </c>
      <c r="N36" s="322">
        <v>0</v>
      </c>
      <c r="O36" s="322">
        <v>6450</v>
      </c>
      <c r="P36" s="322">
        <v>4327</v>
      </c>
      <c r="Q36" s="321">
        <v>4991</v>
      </c>
      <c r="R36" s="322">
        <v>0</v>
      </c>
      <c r="S36" s="322">
        <v>0</v>
      </c>
      <c r="T36" s="322">
        <v>509</v>
      </c>
      <c r="U36" s="322">
        <v>201</v>
      </c>
      <c r="V36" s="322">
        <v>0</v>
      </c>
      <c r="W36" s="322">
        <v>509</v>
      </c>
      <c r="X36" s="321">
        <v>201</v>
      </c>
      <c r="Y36" s="322">
        <v>240</v>
      </c>
      <c r="Z36" s="322">
        <f t="shared" si="22"/>
        <v>20171</v>
      </c>
      <c r="AA36" s="322">
        <f t="shared" si="23"/>
        <v>19689</v>
      </c>
      <c r="AB36" s="322">
        <f t="shared" si="24"/>
        <v>19668</v>
      </c>
      <c r="AC36" s="322">
        <v>20171</v>
      </c>
      <c r="AD36" s="322">
        <v>19689</v>
      </c>
      <c r="AE36" s="321">
        <v>19668</v>
      </c>
      <c r="AF36" s="322">
        <v>20185</v>
      </c>
      <c r="AG36" s="322">
        <f t="shared" si="25"/>
        <v>20096</v>
      </c>
      <c r="AH36" s="322">
        <f t="shared" si="3"/>
        <v>20540</v>
      </c>
      <c r="AI36" s="322">
        <f t="shared" si="4"/>
        <v>16482</v>
      </c>
      <c r="AJ36" s="322">
        <v>20096</v>
      </c>
      <c r="AK36" s="322">
        <v>20540</v>
      </c>
      <c r="AL36" s="321">
        <v>16482</v>
      </c>
      <c r="AM36" s="322">
        <v>16596</v>
      </c>
      <c r="AN36" s="322">
        <f t="shared" si="26"/>
        <v>16413</v>
      </c>
      <c r="AO36" s="322">
        <f t="shared" si="26"/>
        <v>17402</v>
      </c>
      <c r="AP36" s="322">
        <f t="shared" si="26"/>
        <v>2401</v>
      </c>
      <c r="AQ36" s="322">
        <v>16413</v>
      </c>
      <c r="AR36" s="322">
        <v>17402</v>
      </c>
      <c r="AS36" s="321">
        <v>2401</v>
      </c>
      <c r="AT36" s="322">
        <v>2504</v>
      </c>
      <c r="AU36" s="322">
        <f>AX36</f>
        <v>2239</v>
      </c>
      <c r="AV36" s="322">
        <f t="shared" si="139"/>
        <v>2037</v>
      </c>
      <c r="AW36" s="322">
        <f t="shared" si="139"/>
        <v>2016</v>
      </c>
      <c r="AX36" s="322">
        <v>2239</v>
      </c>
      <c r="AY36" s="322">
        <v>2037</v>
      </c>
      <c r="AZ36" s="322">
        <v>2016</v>
      </c>
      <c r="BA36" s="322">
        <v>433</v>
      </c>
      <c r="BB36" s="322">
        <f t="shared" si="140"/>
        <v>410</v>
      </c>
      <c r="BC36" s="322">
        <f t="shared" si="141"/>
        <v>611</v>
      </c>
      <c r="BD36" s="322">
        <f t="shared" si="142"/>
        <v>592</v>
      </c>
      <c r="BE36" s="322">
        <v>410</v>
      </c>
      <c r="BF36" s="322">
        <v>611</v>
      </c>
      <c r="BG36" s="322">
        <v>592</v>
      </c>
      <c r="BH36" s="322">
        <v>581</v>
      </c>
      <c r="BI36" s="322">
        <f t="shared" si="143"/>
        <v>567</v>
      </c>
      <c r="BJ36" s="322">
        <f t="shared" si="144"/>
        <v>430</v>
      </c>
      <c r="BK36" s="322">
        <f t="shared" si="145"/>
        <v>333</v>
      </c>
      <c r="BL36" s="322">
        <v>567</v>
      </c>
      <c r="BM36" s="322">
        <v>430</v>
      </c>
      <c r="BN36" s="322">
        <v>333</v>
      </c>
      <c r="BO36" s="322">
        <v>370</v>
      </c>
      <c r="BP36" s="322">
        <f t="shared" si="146"/>
        <v>358</v>
      </c>
      <c r="BQ36" s="322">
        <f t="shared" si="147"/>
        <v>438</v>
      </c>
      <c r="BR36" s="322">
        <f t="shared" si="148"/>
        <v>424</v>
      </c>
      <c r="BS36" s="322">
        <v>358</v>
      </c>
      <c r="BT36" s="322">
        <v>438</v>
      </c>
      <c r="BU36" s="322">
        <v>424</v>
      </c>
      <c r="BV36" s="322">
        <v>422</v>
      </c>
      <c r="BW36" s="322">
        <f t="shared" si="149"/>
        <v>426</v>
      </c>
      <c r="BX36" s="322">
        <f t="shared" si="150"/>
        <v>541</v>
      </c>
      <c r="BY36" s="322">
        <f t="shared" si="151"/>
        <v>515</v>
      </c>
      <c r="BZ36" s="322">
        <v>426</v>
      </c>
      <c r="CA36" s="322">
        <v>541</v>
      </c>
      <c r="CB36" s="322">
        <v>515</v>
      </c>
      <c r="CC36" s="322">
        <v>524</v>
      </c>
      <c r="CD36" s="322">
        <f t="shared" si="152"/>
        <v>534</v>
      </c>
      <c r="CE36" s="322">
        <f t="shared" si="153"/>
        <v>420</v>
      </c>
      <c r="CF36" s="322">
        <f t="shared" si="154"/>
        <v>419</v>
      </c>
      <c r="CG36" s="322">
        <v>534</v>
      </c>
      <c r="CH36" s="322">
        <v>420</v>
      </c>
      <c r="CI36" s="322">
        <v>419</v>
      </c>
      <c r="CJ36" s="322">
        <v>427</v>
      </c>
      <c r="CK36" s="322">
        <f t="shared" si="155"/>
        <v>426</v>
      </c>
      <c r="CL36" s="322"/>
      <c r="CM36" s="322"/>
      <c r="CN36" s="322">
        <v>426</v>
      </c>
      <c r="CO36" s="322"/>
    </row>
    <row r="37" spans="1:93" x14ac:dyDescent="0.25">
      <c r="A37" s="326" t="str">
        <f>Language!$G45</f>
        <v>Contratos de Aquisição de Ativos</v>
      </c>
      <c r="B37" s="322">
        <v>0</v>
      </c>
      <c r="C37" s="322">
        <v>0</v>
      </c>
      <c r="D37" s="322">
        <v>0</v>
      </c>
      <c r="E37" s="321">
        <v>0</v>
      </c>
      <c r="F37" s="322">
        <v>0</v>
      </c>
      <c r="G37" s="322">
        <v>0</v>
      </c>
      <c r="H37" s="322">
        <v>0</v>
      </c>
      <c r="I37" s="321">
        <v>0</v>
      </c>
      <c r="J37" s="322">
        <v>0</v>
      </c>
      <c r="K37" s="322">
        <v>0</v>
      </c>
      <c r="L37" s="322">
        <v>0</v>
      </c>
      <c r="M37" s="321">
        <v>0</v>
      </c>
      <c r="N37" s="322">
        <v>0</v>
      </c>
      <c r="O37" s="322">
        <v>0</v>
      </c>
      <c r="P37" s="322">
        <v>0</v>
      </c>
      <c r="Q37" s="321">
        <v>0</v>
      </c>
      <c r="R37" s="322">
        <v>0</v>
      </c>
      <c r="S37" s="322">
        <v>0</v>
      </c>
      <c r="T37" s="322">
        <v>0</v>
      </c>
      <c r="U37" s="322">
        <v>0</v>
      </c>
      <c r="V37" s="322">
        <v>0</v>
      </c>
      <c r="W37" s="322">
        <v>0</v>
      </c>
      <c r="X37" s="321">
        <v>0</v>
      </c>
      <c r="Y37" s="322"/>
      <c r="Z37" s="322"/>
      <c r="AA37" s="322"/>
      <c r="AB37" s="322"/>
      <c r="AC37" s="322"/>
      <c r="AD37" s="322"/>
      <c r="AE37" s="321"/>
      <c r="AF37" s="322"/>
      <c r="AG37" s="322"/>
      <c r="AH37" s="322"/>
      <c r="AI37" s="322"/>
      <c r="AJ37" s="322"/>
      <c r="AK37" s="322"/>
      <c r="AL37" s="321"/>
      <c r="AM37" s="322"/>
      <c r="AN37" s="322"/>
      <c r="AO37" s="322"/>
      <c r="AP37" s="322"/>
      <c r="AQ37" s="322"/>
      <c r="AR37" s="322"/>
      <c r="AS37" s="321"/>
      <c r="AT37" s="322"/>
      <c r="AU37" s="322"/>
      <c r="AV37" s="322">
        <f t="shared" si="139"/>
        <v>0</v>
      </c>
      <c r="AW37" s="322">
        <f t="shared" si="139"/>
        <v>0</v>
      </c>
      <c r="AX37" s="322"/>
      <c r="AY37" s="322">
        <v>0</v>
      </c>
      <c r="AZ37" s="738">
        <v>0</v>
      </c>
      <c r="BA37" s="738">
        <v>0</v>
      </c>
      <c r="BB37" s="322">
        <f t="shared" si="140"/>
        <v>0</v>
      </c>
      <c r="BC37" s="322">
        <f t="shared" si="141"/>
        <v>0</v>
      </c>
      <c r="BD37" s="322">
        <f t="shared" si="142"/>
        <v>0</v>
      </c>
      <c r="BE37" s="738">
        <v>0</v>
      </c>
      <c r="BF37" s="738">
        <v>0</v>
      </c>
      <c r="BG37" s="738">
        <v>0</v>
      </c>
      <c r="BH37" s="738">
        <v>0</v>
      </c>
      <c r="BI37" s="322">
        <f t="shared" si="143"/>
        <v>0</v>
      </c>
      <c r="BJ37" s="322">
        <f t="shared" si="144"/>
        <v>0</v>
      </c>
      <c r="BK37" s="322">
        <f t="shared" si="145"/>
        <v>0</v>
      </c>
      <c r="BL37" s="738">
        <v>0</v>
      </c>
      <c r="BM37" s="738">
        <v>0</v>
      </c>
      <c r="BN37" s="738">
        <v>0</v>
      </c>
      <c r="BO37" s="738">
        <v>0</v>
      </c>
      <c r="BP37" s="322">
        <f t="shared" si="146"/>
        <v>0</v>
      </c>
      <c r="BQ37" s="322">
        <f t="shared" si="147"/>
        <v>0</v>
      </c>
      <c r="BR37" s="322">
        <f t="shared" si="148"/>
        <v>0</v>
      </c>
      <c r="BS37" s="738">
        <v>0</v>
      </c>
      <c r="BT37" s="738">
        <v>0</v>
      </c>
      <c r="BU37" s="738">
        <v>0</v>
      </c>
      <c r="BV37" s="738">
        <v>0</v>
      </c>
      <c r="BW37" s="322">
        <f t="shared" si="149"/>
        <v>0</v>
      </c>
      <c r="BX37" s="322">
        <f t="shared" si="150"/>
        <v>0</v>
      </c>
      <c r="BY37" s="322">
        <f t="shared" si="151"/>
        <v>0</v>
      </c>
      <c r="BZ37" s="738">
        <v>0</v>
      </c>
      <c r="CA37" s="738">
        <v>0</v>
      </c>
      <c r="CB37" s="738">
        <v>0</v>
      </c>
      <c r="CC37" s="738">
        <v>0</v>
      </c>
      <c r="CD37" s="322">
        <f t="shared" si="152"/>
        <v>0</v>
      </c>
      <c r="CE37" s="322">
        <f t="shared" si="153"/>
        <v>0</v>
      </c>
      <c r="CF37" s="322">
        <f t="shared" si="154"/>
        <v>0</v>
      </c>
      <c r="CG37" s="322">
        <v>0</v>
      </c>
      <c r="CH37" s="738">
        <v>0</v>
      </c>
      <c r="CI37" s="738">
        <v>0</v>
      </c>
      <c r="CJ37" s="738">
        <v>0</v>
      </c>
      <c r="CK37" s="322">
        <f t="shared" si="155"/>
        <v>0</v>
      </c>
      <c r="CL37" s="738"/>
      <c r="CM37" s="738"/>
      <c r="CN37" s="738">
        <v>0</v>
      </c>
      <c r="CO37" s="738"/>
    </row>
    <row r="38" spans="1:93" x14ac:dyDescent="0.25">
      <c r="A38" s="326" t="str">
        <f>Language!$G46</f>
        <v>Arrendamento mercantil</v>
      </c>
      <c r="B38" s="322">
        <v>0</v>
      </c>
      <c r="C38" s="322">
        <v>0</v>
      </c>
      <c r="D38" s="322">
        <v>0</v>
      </c>
      <c r="E38" s="321">
        <v>0</v>
      </c>
      <c r="F38" s="322">
        <v>0</v>
      </c>
      <c r="G38" s="322">
        <v>0</v>
      </c>
      <c r="H38" s="322">
        <v>0</v>
      </c>
      <c r="I38" s="321">
        <v>0</v>
      </c>
      <c r="J38" s="322">
        <v>0</v>
      </c>
      <c r="K38" s="322">
        <v>0</v>
      </c>
      <c r="L38" s="322">
        <v>0</v>
      </c>
      <c r="M38" s="321">
        <v>0</v>
      </c>
      <c r="N38" s="322">
        <v>0</v>
      </c>
      <c r="O38" s="322">
        <v>0</v>
      </c>
      <c r="P38" s="322">
        <v>0</v>
      </c>
      <c r="Q38" s="321">
        <v>85</v>
      </c>
      <c r="R38" s="322">
        <v>64</v>
      </c>
      <c r="S38" s="322">
        <v>43</v>
      </c>
      <c r="T38" s="322">
        <v>21</v>
      </c>
      <c r="U38" s="322">
        <v>0</v>
      </c>
      <c r="V38" s="322">
        <v>43</v>
      </c>
      <c r="W38" s="322">
        <v>21</v>
      </c>
      <c r="X38" s="321">
        <v>0</v>
      </c>
      <c r="Y38" s="322"/>
      <c r="Z38" s="322"/>
      <c r="AA38" s="322"/>
      <c r="AB38" s="322"/>
      <c r="AC38" s="322"/>
      <c r="AD38" s="322"/>
      <c r="AE38" s="321"/>
      <c r="AF38" s="322"/>
      <c r="AG38" s="322"/>
      <c r="AH38" s="322"/>
      <c r="AI38" s="322"/>
      <c r="AJ38" s="322"/>
      <c r="AK38" s="322"/>
      <c r="AL38" s="321"/>
      <c r="AM38" s="322"/>
      <c r="AN38" s="322"/>
      <c r="AO38" s="322"/>
      <c r="AP38" s="322"/>
      <c r="AQ38" s="322"/>
      <c r="AR38" s="322"/>
      <c r="AS38" s="321"/>
      <c r="AT38" s="322"/>
      <c r="AU38" s="322"/>
      <c r="AV38" s="322">
        <f t="shared" si="139"/>
        <v>0</v>
      </c>
      <c r="AW38" s="322">
        <f t="shared" si="139"/>
        <v>0</v>
      </c>
      <c r="AX38" s="322"/>
      <c r="AY38" s="322">
        <v>0</v>
      </c>
      <c r="AZ38" s="738">
        <v>0</v>
      </c>
      <c r="BA38" s="322">
        <v>79</v>
      </c>
      <c r="BB38" s="322">
        <f t="shared" si="140"/>
        <v>79</v>
      </c>
      <c r="BC38" s="322">
        <f t="shared" si="141"/>
        <v>79</v>
      </c>
      <c r="BD38" s="322">
        <f t="shared" si="142"/>
        <v>79</v>
      </c>
      <c r="BE38" s="322">
        <v>79</v>
      </c>
      <c r="BF38" s="322">
        <v>79</v>
      </c>
      <c r="BG38" s="322">
        <v>79</v>
      </c>
      <c r="BH38" s="322">
        <v>79</v>
      </c>
      <c r="BI38" s="322">
        <f t="shared" si="143"/>
        <v>79</v>
      </c>
      <c r="BJ38" s="322">
        <f t="shared" si="144"/>
        <v>79</v>
      </c>
      <c r="BK38" s="322">
        <f t="shared" si="145"/>
        <v>0</v>
      </c>
      <c r="BL38" s="322">
        <v>79</v>
      </c>
      <c r="BM38" s="322">
        <v>79</v>
      </c>
      <c r="BN38" s="322">
        <v>0</v>
      </c>
      <c r="BO38" s="322">
        <v>0</v>
      </c>
      <c r="BP38" s="322">
        <f t="shared" si="146"/>
        <v>0</v>
      </c>
      <c r="BQ38" s="322">
        <f t="shared" si="147"/>
        <v>0</v>
      </c>
      <c r="BR38" s="322">
        <f t="shared" si="148"/>
        <v>0</v>
      </c>
      <c r="BS38" s="322">
        <v>0</v>
      </c>
      <c r="BT38" s="322">
        <v>0</v>
      </c>
      <c r="BU38" s="322">
        <v>0</v>
      </c>
      <c r="BV38" s="322">
        <v>0</v>
      </c>
      <c r="BW38" s="322">
        <f t="shared" si="149"/>
        <v>0</v>
      </c>
      <c r="BX38" s="322">
        <f t="shared" si="150"/>
        <v>0</v>
      </c>
      <c r="BY38" s="322">
        <f t="shared" si="151"/>
        <v>0</v>
      </c>
      <c r="BZ38" s="322">
        <v>0</v>
      </c>
      <c r="CA38" s="322">
        <v>0</v>
      </c>
      <c r="CB38" s="322">
        <v>0</v>
      </c>
      <c r="CC38" s="322">
        <v>0</v>
      </c>
      <c r="CD38" s="322">
        <f t="shared" si="152"/>
        <v>0</v>
      </c>
      <c r="CE38" s="322">
        <f t="shared" si="153"/>
        <v>0</v>
      </c>
      <c r="CF38" s="322">
        <f t="shared" si="154"/>
        <v>0</v>
      </c>
      <c r="CG38" s="322">
        <v>0</v>
      </c>
      <c r="CH38" s="322">
        <v>0</v>
      </c>
      <c r="CI38" s="322">
        <v>0</v>
      </c>
      <c r="CJ38" s="322">
        <v>0</v>
      </c>
      <c r="CK38" s="322">
        <f t="shared" si="155"/>
        <v>0</v>
      </c>
      <c r="CL38" s="322"/>
      <c r="CM38" s="322"/>
      <c r="CN38" s="322">
        <v>0</v>
      </c>
      <c r="CO38" s="322"/>
    </row>
    <row r="39" spans="1:93" x14ac:dyDescent="0.25">
      <c r="A39" s="326" t="str">
        <f>Language!$G47</f>
        <v>Outras Obrigações</v>
      </c>
      <c r="B39" s="322">
        <v>7514</v>
      </c>
      <c r="C39" s="322">
        <v>8557</v>
      </c>
      <c r="D39" s="322">
        <v>9826</v>
      </c>
      <c r="E39" s="321">
        <v>9224</v>
      </c>
      <c r="F39" s="322">
        <v>15837</v>
      </c>
      <c r="G39" s="322">
        <v>15876</v>
      </c>
      <c r="H39" s="322">
        <v>14579</v>
      </c>
      <c r="I39" s="321">
        <v>13875</v>
      </c>
      <c r="J39" s="322">
        <v>12054</v>
      </c>
      <c r="K39" s="322">
        <v>13974</v>
      </c>
      <c r="L39" s="322">
        <v>12614</v>
      </c>
      <c r="M39" s="321">
        <v>10407</v>
      </c>
      <c r="N39" s="322">
        <v>15542</v>
      </c>
      <c r="O39" s="322">
        <v>9954</v>
      </c>
      <c r="P39" s="322">
        <v>16072</v>
      </c>
      <c r="Q39" s="321">
        <v>11158</v>
      </c>
      <c r="R39" s="322">
        <v>8782</v>
      </c>
      <c r="S39" s="322">
        <v>10819</v>
      </c>
      <c r="T39" s="322">
        <v>3314</v>
      </c>
      <c r="U39" s="322">
        <v>139</v>
      </c>
      <c r="V39" s="322">
        <v>10819</v>
      </c>
      <c r="W39" s="322">
        <v>3314</v>
      </c>
      <c r="X39" s="321">
        <v>139</v>
      </c>
      <c r="Y39" s="322">
        <v>151</v>
      </c>
      <c r="Z39" s="322">
        <f t="shared" si="22"/>
        <v>5038</v>
      </c>
      <c r="AA39" s="322">
        <f t="shared" si="23"/>
        <v>5046</v>
      </c>
      <c r="AB39" s="322">
        <f t="shared" si="24"/>
        <v>36</v>
      </c>
      <c r="AC39" s="322">
        <v>5038</v>
      </c>
      <c r="AD39" s="322">
        <v>5046</v>
      </c>
      <c r="AE39" s="321">
        <v>36</v>
      </c>
      <c r="AF39" s="322">
        <v>5292</v>
      </c>
      <c r="AG39" s="322">
        <f t="shared" si="25"/>
        <v>945</v>
      </c>
      <c r="AH39" s="322">
        <f t="shared" si="3"/>
        <v>119</v>
      </c>
      <c r="AI39" s="322">
        <f t="shared" si="4"/>
        <v>118</v>
      </c>
      <c r="AJ39" s="322">
        <v>945</v>
      </c>
      <c r="AK39" s="322">
        <v>119</v>
      </c>
      <c r="AL39" s="321">
        <v>118</v>
      </c>
      <c r="AM39" s="322"/>
      <c r="AN39" s="322"/>
      <c r="AO39" s="322">
        <f>AR39</f>
        <v>1</v>
      </c>
      <c r="AP39" s="322"/>
      <c r="AQ39" s="322"/>
      <c r="AR39" s="322">
        <v>1</v>
      </c>
      <c r="AS39" s="321"/>
      <c r="AT39" s="322"/>
      <c r="AU39" s="322"/>
      <c r="AV39" s="322">
        <f t="shared" si="139"/>
        <v>0</v>
      </c>
      <c r="AW39" s="322">
        <f t="shared" si="139"/>
        <v>0</v>
      </c>
      <c r="AX39" s="322"/>
      <c r="AY39" s="322">
        <v>0</v>
      </c>
      <c r="AZ39" s="738">
        <v>0</v>
      </c>
      <c r="BA39" s="738">
        <v>0</v>
      </c>
      <c r="BB39" s="322">
        <f t="shared" si="140"/>
        <v>0</v>
      </c>
      <c r="BC39" s="322">
        <f t="shared" si="141"/>
        <v>0</v>
      </c>
      <c r="BD39" s="322">
        <f t="shared" si="142"/>
        <v>0</v>
      </c>
      <c r="BE39" s="738">
        <v>0</v>
      </c>
      <c r="BF39" s="738">
        <v>0</v>
      </c>
      <c r="BG39" s="738"/>
      <c r="BH39" s="738"/>
      <c r="BI39" s="322">
        <f t="shared" si="143"/>
        <v>0</v>
      </c>
      <c r="BJ39" s="322">
        <f t="shared" si="144"/>
        <v>0</v>
      </c>
      <c r="BK39" s="322">
        <f t="shared" si="145"/>
        <v>4</v>
      </c>
      <c r="BL39" s="738"/>
      <c r="BM39" s="738"/>
      <c r="BN39" s="738">
        <v>4</v>
      </c>
      <c r="BO39" s="738">
        <v>16</v>
      </c>
      <c r="BP39" s="322">
        <f t="shared" si="146"/>
        <v>0</v>
      </c>
      <c r="BQ39" s="322">
        <f t="shared" si="147"/>
        <v>0</v>
      </c>
      <c r="BR39" s="322">
        <f t="shared" si="148"/>
        <v>3792</v>
      </c>
      <c r="BS39" s="738">
        <v>0</v>
      </c>
      <c r="BT39" s="738">
        <v>0</v>
      </c>
      <c r="BU39" s="761">
        <v>3792</v>
      </c>
      <c r="BV39" s="761">
        <v>3792</v>
      </c>
      <c r="BW39" s="322">
        <f t="shared" si="149"/>
        <v>3928</v>
      </c>
      <c r="BX39" s="322">
        <f t="shared" si="150"/>
        <v>3937</v>
      </c>
      <c r="BY39" s="322">
        <f t="shared" si="151"/>
        <v>3967</v>
      </c>
      <c r="BZ39" s="761">
        <v>3928</v>
      </c>
      <c r="CA39" s="761">
        <v>3937</v>
      </c>
      <c r="CB39" s="761">
        <v>3967</v>
      </c>
      <c r="CC39" s="761">
        <v>4040</v>
      </c>
      <c r="CD39" s="322">
        <f t="shared" si="152"/>
        <v>4082</v>
      </c>
      <c r="CE39" s="322">
        <f t="shared" si="153"/>
        <v>4106</v>
      </c>
      <c r="CF39" s="322">
        <f t="shared" si="154"/>
        <v>4162</v>
      </c>
      <c r="CG39" s="322">
        <v>4082</v>
      </c>
      <c r="CH39" s="761">
        <v>4106</v>
      </c>
      <c r="CI39" s="761">
        <v>4162</v>
      </c>
      <c r="CJ39" s="761">
        <v>4273</v>
      </c>
      <c r="CK39" s="322">
        <f t="shared" si="155"/>
        <v>4300</v>
      </c>
      <c r="CL39" s="761"/>
      <c r="CM39" s="761"/>
      <c r="CN39" s="761">
        <v>4300</v>
      </c>
      <c r="CO39" s="761"/>
    </row>
    <row r="40" spans="1:93" s="377" customFormat="1" ht="13" x14ac:dyDescent="0.3">
      <c r="A40" s="323" t="str">
        <f>Language!$G48</f>
        <v>Passivo Não Circulante</v>
      </c>
      <c r="B40" s="323">
        <f t="shared" ref="B40:K40" si="156">SUM(B42:B55)</f>
        <v>373604</v>
      </c>
      <c r="C40" s="323">
        <f t="shared" si="156"/>
        <v>361149</v>
      </c>
      <c r="D40" s="323">
        <f t="shared" si="156"/>
        <v>348606</v>
      </c>
      <c r="E40" s="324">
        <f t="shared" si="156"/>
        <v>367326</v>
      </c>
      <c r="F40" s="323">
        <f t="shared" si="156"/>
        <v>362746</v>
      </c>
      <c r="G40" s="323">
        <f t="shared" si="156"/>
        <v>354051</v>
      </c>
      <c r="H40" s="323">
        <f t="shared" si="156"/>
        <v>703002</v>
      </c>
      <c r="I40" s="324">
        <f t="shared" si="156"/>
        <v>707073</v>
      </c>
      <c r="J40" s="323">
        <f t="shared" si="156"/>
        <v>778272</v>
      </c>
      <c r="K40" s="323">
        <f t="shared" si="156"/>
        <v>787843</v>
      </c>
      <c r="L40" s="323">
        <f t="shared" ref="L40:P40" si="157">SUM(L42:L55)</f>
        <v>797924</v>
      </c>
      <c r="M40" s="324">
        <f t="shared" si="157"/>
        <v>809933</v>
      </c>
      <c r="N40" s="323">
        <f t="shared" si="157"/>
        <v>782026</v>
      </c>
      <c r="O40" s="323">
        <f t="shared" si="157"/>
        <v>787634</v>
      </c>
      <c r="P40" s="323">
        <f t="shared" si="157"/>
        <v>753196</v>
      </c>
      <c r="Q40" s="324">
        <f t="shared" ref="Q40:Y40" si="158">SUM(Q42:Q55)</f>
        <v>765332</v>
      </c>
      <c r="R40" s="324">
        <v>879497</v>
      </c>
      <c r="S40" s="324">
        <v>887664</v>
      </c>
      <c r="T40" s="323">
        <v>788916</v>
      </c>
      <c r="U40" s="323">
        <v>0</v>
      </c>
      <c r="V40" s="324">
        <v>887664</v>
      </c>
      <c r="W40" s="324">
        <v>788916</v>
      </c>
      <c r="X40" s="324">
        <v>0</v>
      </c>
      <c r="Y40" s="324">
        <f t="shared" si="158"/>
        <v>0</v>
      </c>
      <c r="Z40" s="324">
        <f t="shared" si="22"/>
        <v>3048</v>
      </c>
      <c r="AA40" s="323">
        <f t="shared" si="23"/>
        <v>6943</v>
      </c>
      <c r="AB40" s="323">
        <f t="shared" si="24"/>
        <v>10598</v>
      </c>
      <c r="AC40" s="324">
        <f t="shared" ref="AC40" si="159">SUM(AC42:AC55)</f>
        <v>3048</v>
      </c>
      <c r="AD40" s="324">
        <f t="shared" ref="AD40:AE40" si="160">SUM(AD42:AD55)</f>
        <v>6943</v>
      </c>
      <c r="AE40" s="324">
        <f t="shared" si="160"/>
        <v>10598</v>
      </c>
      <c r="AF40" s="324">
        <f t="shared" ref="AF40" si="161">SUM(AF42:AF55)</f>
        <v>10378</v>
      </c>
      <c r="AG40" s="324">
        <f t="shared" si="25"/>
        <v>14079</v>
      </c>
      <c r="AH40" s="323">
        <f t="shared" si="3"/>
        <v>14696</v>
      </c>
      <c r="AI40" s="323">
        <f t="shared" si="4"/>
        <v>15926</v>
      </c>
      <c r="AJ40" s="324">
        <f t="shared" ref="AJ40:AQ40" si="162">SUM(AJ42:AJ55)</f>
        <v>14079</v>
      </c>
      <c r="AK40" s="324">
        <f t="shared" si="162"/>
        <v>14696</v>
      </c>
      <c r="AL40" s="324">
        <f t="shared" si="162"/>
        <v>15926</v>
      </c>
      <c r="AM40" s="324">
        <f t="shared" si="162"/>
        <v>15797</v>
      </c>
      <c r="AN40" s="324">
        <f t="shared" si="26"/>
        <v>15666</v>
      </c>
      <c r="AO40" s="324">
        <f t="shared" si="26"/>
        <v>15536</v>
      </c>
      <c r="AP40" s="324">
        <f t="shared" si="26"/>
        <v>15406</v>
      </c>
      <c r="AQ40" s="324">
        <f t="shared" si="162"/>
        <v>15666</v>
      </c>
      <c r="AR40" s="323">
        <f t="shared" ref="AR40:AS40" si="163">SUM(AR42:AR55)</f>
        <v>15536</v>
      </c>
      <c r="AS40" s="324">
        <f t="shared" si="163"/>
        <v>15406</v>
      </c>
      <c r="AT40" s="324">
        <f t="shared" ref="AT40" si="164">SUM(AT42:AT55)</f>
        <v>15461</v>
      </c>
      <c r="AU40" s="324">
        <f t="shared" ref="AU40:BA40" si="165">SUM(AU41:AU55)</f>
        <v>15288</v>
      </c>
      <c r="AV40" s="324">
        <f t="shared" si="165"/>
        <v>15111</v>
      </c>
      <c r="AW40" s="324">
        <f t="shared" si="165"/>
        <v>14956</v>
      </c>
      <c r="AX40" s="324">
        <f t="shared" si="165"/>
        <v>15288</v>
      </c>
      <c r="AY40" s="324">
        <f t="shared" si="165"/>
        <v>15111</v>
      </c>
      <c r="AZ40" s="324">
        <f t="shared" si="165"/>
        <v>14956</v>
      </c>
      <c r="BA40" s="324">
        <f t="shared" si="165"/>
        <v>14799</v>
      </c>
      <c r="BB40" s="324">
        <f t="shared" ref="BB40:BD40" si="166">SUM(BB41:BB55)</f>
        <v>14649</v>
      </c>
      <c r="BC40" s="324">
        <f t="shared" si="166"/>
        <v>14500</v>
      </c>
      <c r="BD40" s="324">
        <f t="shared" si="166"/>
        <v>16070</v>
      </c>
      <c r="BE40" s="324">
        <f>SUM(BE41:BE55)</f>
        <v>14649</v>
      </c>
      <c r="BF40" s="324">
        <f>SUM(BF41:BF55)</f>
        <v>14500</v>
      </c>
      <c r="BG40" s="324">
        <f>SUM(BG41:BG55)</f>
        <v>16070</v>
      </c>
      <c r="BH40" s="324">
        <f>SUM(BH41:BH55)</f>
        <v>14238</v>
      </c>
      <c r="BI40" s="324">
        <f t="shared" ref="BI40:BL40" si="167">SUM(BI41:BI55)</f>
        <v>14112</v>
      </c>
      <c r="BJ40" s="324">
        <f t="shared" si="167"/>
        <v>13986</v>
      </c>
      <c r="BK40" s="324">
        <f t="shared" si="167"/>
        <v>13856</v>
      </c>
      <c r="BL40" s="324">
        <f t="shared" si="167"/>
        <v>14112</v>
      </c>
      <c r="BM40" s="324">
        <f t="shared" ref="BM40:BN40" si="168">SUM(BM41:BM55)</f>
        <v>13986</v>
      </c>
      <c r="BN40" s="324">
        <f t="shared" si="168"/>
        <v>13856</v>
      </c>
      <c r="BO40" s="324">
        <f t="shared" ref="BO40:BS40" si="169">SUM(BO41:BO55)</f>
        <v>13726</v>
      </c>
      <c r="BP40" s="324">
        <f t="shared" si="169"/>
        <v>24997</v>
      </c>
      <c r="BQ40" s="324">
        <f t="shared" si="169"/>
        <v>25259</v>
      </c>
      <c r="BR40" s="324">
        <f t="shared" si="169"/>
        <v>24847</v>
      </c>
      <c r="BS40" s="324">
        <f t="shared" si="169"/>
        <v>24997</v>
      </c>
      <c r="BT40" s="324">
        <f t="shared" ref="BT40:BU40" si="170">SUM(BT41:BT55)</f>
        <v>25259</v>
      </c>
      <c r="BU40" s="324">
        <f t="shared" si="170"/>
        <v>24847</v>
      </c>
      <c r="BV40" s="324">
        <f t="shared" ref="BV40:BY40" si="171">SUM(BV41:BV55)</f>
        <v>24703</v>
      </c>
      <c r="BW40" s="324">
        <f t="shared" si="171"/>
        <v>24871</v>
      </c>
      <c r="BX40" s="324">
        <f t="shared" si="171"/>
        <v>12937</v>
      </c>
      <c r="BY40" s="324">
        <f t="shared" si="171"/>
        <v>12808</v>
      </c>
      <c r="BZ40" s="324">
        <f t="shared" ref="BZ40:CA40" si="172">SUM(BZ41:BZ55)</f>
        <v>24871</v>
      </c>
      <c r="CA40" s="324">
        <f t="shared" si="172"/>
        <v>24757</v>
      </c>
      <c r="CB40" s="324">
        <f t="shared" ref="CB40:CC40" si="173">SUM(CB41:CB55)</f>
        <v>20747</v>
      </c>
      <c r="CC40" s="324">
        <f t="shared" si="173"/>
        <v>20762</v>
      </c>
      <c r="CD40" s="324">
        <f t="shared" ref="CD40" si="174">SUM(CD41:CD55)</f>
        <v>20711</v>
      </c>
      <c r="CE40" s="324">
        <f t="shared" ref="CE40:CG40" si="175">SUM(CE41:CE55)</f>
        <v>20627</v>
      </c>
      <c r="CF40" s="324">
        <f t="shared" si="175"/>
        <v>16449</v>
      </c>
      <c r="CG40" s="324">
        <f t="shared" si="175"/>
        <v>20711</v>
      </c>
      <c r="CH40" s="324">
        <f t="shared" ref="CH40:CI40" si="176">SUM(CH41:CH55)</f>
        <v>20627</v>
      </c>
      <c r="CI40" s="324">
        <f t="shared" si="176"/>
        <v>16449</v>
      </c>
      <c r="CJ40" s="324">
        <v>16431</v>
      </c>
      <c r="CK40" s="324">
        <f t="shared" ref="CK40:CO40" si="177">SUM(CK41:CK55)</f>
        <v>16326</v>
      </c>
      <c r="CL40" s="324">
        <f t="shared" si="177"/>
        <v>0</v>
      </c>
      <c r="CM40" s="324">
        <f t="shared" si="177"/>
        <v>0</v>
      </c>
      <c r="CN40" s="324">
        <f t="shared" si="177"/>
        <v>16326</v>
      </c>
      <c r="CO40" s="324">
        <f t="shared" si="177"/>
        <v>0</v>
      </c>
    </row>
    <row r="41" spans="1:93" s="377" customFormat="1" ht="13" x14ac:dyDescent="0.3">
      <c r="A41" s="326" t="s">
        <v>318</v>
      </c>
      <c r="E41" s="374"/>
      <c r="I41" s="374"/>
      <c r="M41" s="374"/>
      <c r="Q41" s="374"/>
      <c r="X41" s="374"/>
      <c r="AE41" s="374"/>
      <c r="AL41" s="374"/>
      <c r="AS41" s="374"/>
      <c r="AU41" s="728">
        <f>AX41</f>
        <v>142</v>
      </c>
      <c r="AV41" s="728">
        <f>AY41</f>
        <v>95</v>
      </c>
      <c r="AW41" s="728">
        <f>AZ41</f>
        <v>70</v>
      </c>
      <c r="AX41" s="728">
        <v>142</v>
      </c>
      <c r="AY41" s="377">
        <v>95</v>
      </c>
      <c r="AZ41" s="377">
        <v>70</v>
      </c>
      <c r="BA41" s="377">
        <v>0</v>
      </c>
      <c r="BB41" s="377">
        <f>BE41</f>
        <v>23</v>
      </c>
      <c r="BC41" s="377">
        <f>BF41</f>
        <v>4</v>
      </c>
      <c r="BD41" s="377">
        <v>0</v>
      </c>
      <c r="BE41" s="377">
        <v>23</v>
      </c>
      <c r="BF41" s="377">
        <v>4</v>
      </c>
      <c r="BG41" s="377">
        <v>0</v>
      </c>
      <c r="BH41" s="377">
        <v>0</v>
      </c>
      <c r="BI41" s="377">
        <v>0</v>
      </c>
      <c r="BJ41" s="377">
        <v>0</v>
      </c>
      <c r="BK41" s="377">
        <v>0</v>
      </c>
      <c r="BL41" s="377">
        <v>0</v>
      </c>
      <c r="BM41" s="377">
        <v>0</v>
      </c>
      <c r="BN41" s="377">
        <v>0</v>
      </c>
      <c r="BO41" s="377">
        <v>0</v>
      </c>
      <c r="BP41" s="377">
        <f>BS41</f>
        <v>11413</v>
      </c>
      <c r="BQ41" s="377">
        <f>BT41</f>
        <v>11803</v>
      </c>
      <c r="BR41" s="377">
        <f>BU41</f>
        <v>54</v>
      </c>
      <c r="BS41" s="377">
        <f>BV41</f>
        <v>11413</v>
      </c>
      <c r="BT41" s="377">
        <f>BW41</f>
        <v>11803</v>
      </c>
      <c r="BU41" s="377">
        <v>54</v>
      </c>
      <c r="BV41" s="377">
        <v>11413</v>
      </c>
      <c r="BW41" s="377">
        <f>BZ41</f>
        <v>11803</v>
      </c>
      <c r="BZ41" s="377">
        <v>11803</v>
      </c>
      <c r="CA41" s="377">
        <v>11820</v>
      </c>
      <c r="CB41" s="377">
        <v>7939</v>
      </c>
      <c r="CC41" s="377">
        <v>8083</v>
      </c>
      <c r="CD41" s="377">
        <f>CG41</f>
        <v>8164</v>
      </c>
      <c r="CE41" s="377">
        <f>CH41</f>
        <v>8211</v>
      </c>
      <c r="CF41" s="377">
        <f>CI41</f>
        <v>4163</v>
      </c>
      <c r="CG41" s="377">
        <v>8164</v>
      </c>
      <c r="CH41" s="377">
        <v>8211</v>
      </c>
      <c r="CI41" s="377">
        <v>4163</v>
      </c>
      <c r="CJ41" s="377">
        <v>4275</v>
      </c>
      <c r="CK41" s="377">
        <f>CN41</f>
        <v>4300</v>
      </c>
      <c r="CN41" s="377">
        <v>4300</v>
      </c>
    </row>
    <row r="42" spans="1:93" x14ac:dyDescent="0.25">
      <c r="A42" s="326" t="str">
        <f>Language!$G49</f>
        <v>Empréstimos e Financiamentos</v>
      </c>
      <c r="B42" s="322">
        <v>314731</v>
      </c>
      <c r="C42" s="322">
        <v>302984</v>
      </c>
      <c r="D42" s="322">
        <v>291414</v>
      </c>
      <c r="E42" s="321">
        <v>315903</v>
      </c>
      <c r="F42" s="322">
        <v>313974</v>
      </c>
      <c r="G42" s="322">
        <v>307007</v>
      </c>
      <c r="H42" s="322">
        <v>558396</v>
      </c>
      <c r="I42" s="321">
        <v>558231</v>
      </c>
      <c r="J42" s="322">
        <v>627241</v>
      </c>
      <c r="K42" s="322">
        <v>633738</v>
      </c>
      <c r="L42" s="322">
        <v>641519</v>
      </c>
      <c r="M42" s="321">
        <v>642943</v>
      </c>
      <c r="N42" s="322">
        <v>644106</v>
      </c>
      <c r="O42" s="322">
        <v>646565</v>
      </c>
      <c r="P42" s="322">
        <v>622970</v>
      </c>
      <c r="Q42" s="321">
        <v>637394</v>
      </c>
      <c r="R42" s="322">
        <v>635102</v>
      </c>
      <c r="S42" s="322">
        <v>628912</v>
      </c>
      <c r="T42" s="322">
        <v>632089</v>
      </c>
      <c r="U42" s="322">
        <v>0</v>
      </c>
      <c r="V42" s="322">
        <v>628912</v>
      </c>
      <c r="W42" s="322">
        <v>632089</v>
      </c>
      <c r="X42" s="321">
        <v>0</v>
      </c>
      <c r="Y42" s="322"/>
      <c r="Z42" s="322"/>
      <c r="AA42" s="322"/>
      <c r="AB42" s="322"/>
      <c r="AC42" s="322"/>
      <c r="AD42" s="322"/>
      <c r="AE42" s="321"/>
      <c r="AF42" s="322"/>
      <c r="AG42" s="322"/>
      <c r="AH42" s="322"/>
      <c r="AI42" s="322"/>
      <c r="AJ42" s="322"/>
      <c r="AK42" s="322"/>
      <c r="AL42" s="321"/>
      <c r="AM42" s="322"/>
      <c r="AN42" s="322"/>
      <c r="AO42" s="322"/>
      <c r="AP42" s="322"/>
      <c r="AQ42" s="322"/>
      <c r="AR42" s="322"/>
      <c r="AS42" s="321"/>
      <c r="AT42" s="322"/>
      <c r="AU42" s="322"/>
      <c r="AV42" s="728">
        <f t="shared" ref="AV42:AW55" si="178">AY42</f>
        <v>0</v>
      </c>
      <c r="AW42" s="728">
        <f t="shared" si="178"/>
        <v>0</v>
      </c>
      <c r="AX42" s="322"/>
      <c r="AY42" s="322">
        <v>0</v>
      </c>
      <c r="AZ42" s="738">
        <v>0</v>
      </c>
      <c r="BA42" s="738">
        <v>0</v>
      </c>
      <c r="BB42" s="738">
        <f t="shared" ref="BB42:BB55" si="179">BE42</f>
        <v>0</v>
      </c>
      <c r="BC42" s="738">
        <f>BF42</f>
        <v>0</v>
      </c>
      <c r="BD42" s="738">
        <f>BG42</f>
        <v>0</v>
      </c>
      <c r="BE42" s="738">
        <v>0</v>
      </c>
      <c r="BF42" s="761"/>
      <c r="BG42" s="761"/>
      <c r="BH42" s="761"/>
      <c r="BI42" s="761">
        <f>BL42</f>
        <v>0</v>
      </c>
      <c r="BJ42" s="761">
        <f>BM42</f>
        <v>0</v>
      </c>
      <c r="BK42" s="761">
        <f>BN42</f>
        <v>0</v>
      </c>
      <c r="BL42" s="761"/>
      <c r="BM42" s="761"/>
      <c r="BN42" s="761"/>
      <c r="BO42" s="761"/>
      <c r="BP42" s="761">
        <f>BS42</f>
        <v>0</v>
      </c>
      <c r="BQ42" s="761">
        <f>BT42</f>
        <v>0</v>
      </c>
      <c r="BR42" s="761">
        <f>BU42</f>
        <v>0</v>
      </c>
      <c r="BS42" s="761">
        <v>0</v>
      </c>
      <c r="BT42" s="761">
        <v>0</v>
      </c>
      <c r="BU42" s="761">
        <v>0</v>
      </c>
      <c r="BV42" s="761">
        <v>0</v>
      </c>
      <c r="BW42" s="761">
        <v>0</v>
      </c>
      <c r="BX42" s="761">
        <v>0</v>
      </c>
      <c r="BY42" s="761">
        <v>0</v>
      </c>
      <c r="BZ42" s="761">
        <v>0</v>
      </c>
      <c r="CA42" s="761">
        <v>0</v>
      </c>
      <c r="CB42" s="761">
        <v>0</v>
      </c>
      <c r="CC42" s="761">
        <v>0</v>
      </c>
      <c r="CD42" s="761">
        <v>0</v>
      </c>
      <c r="CE42" s="761">
        <v>0</v>
      </c>
      <c r="CF42" s="761">
        <v>0</v>
      </c>
      <c r="CG42" s="761">
        <v>0</v>
      </c>
      <c r="CH42" s="761">
        <v>0</v>
      </c>
      <c r="CI42" s="761">
        <v>0</v>
      </c>
      <c r="CJ42" s="761">
        <v>0</v>
      </c>
      <c r="CK42" s="761">
        <v>0</v>
      </c>
      <c r="CL42" s="761">
        <v>0</v>
      </c>
      <c r="CM42" s="761">
        <v>0</v>
      </c>
      <c r="CN42" s="761">
        <v>0</v>
      </c>
      <c r="CO42" s="761">
        <v>0</v>
      </c>
    </row>
    <row r="43" spans="1:93" x14ac:dyDescent="0.25">
      <c r="A43" s="326" t="str">
        <f>Language!$G51</f>
        <v>Debêntures</v>
      </c>
      <c r="B43" s="322">
        <v>0</v>
      </c>
      <c r="C43" s="322">
        <v>0</v>
      </c>
      <c r="D43" s="322">
        <v>0</v>
      </c>
      <c r="E43" s="321">
        <v>0</v>
      </c>
      <c r="F43" s="322">
        <v>0</v>
      </c>
      <c r="G43" s="322">
        <v>0</v>
      </c>
      <c r="H43" s="322">
        <v>98869</v>
      </c>
      <c r="I43" s="321">
        <v>104387</v>
      </c>
      <c r="J43" s="322">
        <v>107063</v>
      </c>
      <c r="K43" s="322">
        <v>110600</v>
      </c>
      <c r="L43" s="322">
        <v>113351</v>
      </c>
      <c r="M43" s="321">
        <v>117535</v>
      </c>
      <c r="N43" s="322">
        <v>91502</v>
      </c>
      <c r="O43" s="322">
        <v>95123</v>
      </c>
      <c r="P43" s="322">
        <v>85754</v>
      </c>
      <c r="Q43" s="321">
        <v>76473</v>
      </c>
      <c r="R43" s="322">
        <v>81053</v>
      </c>
      <c r="S43" s="322">
        <v>86628</v>
      </c>
      <c r="T43" s="322">
        <v>89696</v>
      </c>
      <c r="U43" s="322">
        <v>0</v>
      </c>
      <c r="V43" s="322">
        <v>86628</v>
      </c>
      <c r="W43" s="322">
        <v>89696</v>
      </c>
      <c r="X43" s="321">
        <v>0</v>
      </c>
      <c r="Y43" s="322"/>
      <c r="Z43" s="322"/>
      <c r="AA43" s="322"/>
      <c r="AB43" s="322"/>
      <c r="AC43" s="322"/>
      <c r="AD43" s="322"/>
      <c r="AE43" s="321"/>
      <c r="AF43" s="322"/>
      <c r="AG43" s="322"/>
      <c r="AH43" s="322"/>
      <c r="AI43" s="322"/>
      <c r="AJ43" s="322"/>
      <c r="AK43" s="322"/>
      <c r="AL43" s="321"/>
      <c r="AM43" s="322"/>
      <c r="AN43" s="322"/>
      <c r="AO43" s="322"/>
      <c r="AP43" s="322"/>
      <c r="AQ43" s="322"/>
      <c r="AR43" s="322"/>
      <c r="AS43" s="321"/>
      <c r="AT43" s="322"/>
      <c r="AU43" s="322"/>
      <c r="AV43" s="728">
        <f t="shared" si="178"/>
        <v>0</v>
      </c>
      <c r="AW43" s="728">
        <f t="shared" si="178"/>
        <v>0</v>
      </c>
      <c r="AX43" s="322"/>
      <c r="AY43" s="322">
        <v>0</v>
      </c>
      <c r="AZ43" s="738">
        <v>0</v>
      </c>
      <c r="BA43" s="738">
        <v>0</v>
      </c>
      <c r="BB43" s="738">
        <f t="shared" si="179"/>
        <v>0</v>
      </c>
      <c r="BC43" s="738">
        <f t="shared" ref="BC43:BC55" si="180">BF43</f>
        <v>0</v>
      </c>
      <c r="BD43" s="738">
        <f t="shared" ref="BD43:BD55" si="181">BG43</f>
        <v>0</v>
      </c>
      <c r="BE43" s="738">
        <v>0</v>
      </c>
      <c r="BF43" s="738">
        <v>0</v>
      </c>
      <c r="BG43" s="738">
        <v>0</v>
      </c>
      <c r="BH43" s="738">
        <v>0</v>
      </c>
      <c r="BI43" s="761">
        <f t="shared" ref="BI43:BI55" si="182">BL43</f>
        <v>0</v>
      </c>
      <c r="BJ43" s="761">
        <f t="shared" ref="BJ43:BJ55" si="183">BM43</f>
        <v>0</v>
      </c>
      <c r="BK43" s="761">
        <f t="shared" ref="BK43:BK55" si="184">BN43</f>
        <v>0</v>
      </c>
      <c r="BL43" s="738">
        <v>0</v>
      </c>
      <c r="BM43" s="738">
        <v>0</v>
      </c>
      <c r="BN43" s="738">
        <v>0</v>
      </c>
      <c r="BO43" s="738">
        <v>0</v>
      </c>
      <c r="BP43" s="761">
        <f t="shared" ref="BP43:BP55" si="185">BS43</f>
        <v>0</v>
      </c>
      <c r="BQ43" s="761">
        <f t="shared" ref="BQ43:BQ55" si="186">BT43</f>
        <v>0</v>
      </c>
      <c r="BR43" s="761">
        <f t="shared" ref="BR43:BR55" si="187">BU43</f>
        <v>0</v>
      </c>
      <c r="BS43" s="738">
        <v>0</v>
      </c>
      <c r="BT43" s="738">
        <v>0</v>
      </c>
      <c r="BU43" s="738">
        <v>0</v>
      </c>
      <c r="BV43" s="738">
        <v>0</v>
      </c>
      <c r="BW43" s="738">
        <v>0</v>
      </c>
      <c r="BX43" s="738">
        <v>0</v>
      </c>
      <c r="BY43" s="738">
        <v>0</v>
      </c>
      <c r="BZ43" s="738">
        <v>0</v>
      </c>
      <c r="CA43" s="738">
        <v>0</v>
      </c>
      <c r="CB43" s="738">
        <v>0</v>
      </c>
      <c r="CC43" s="738">
        <v>0</v>
      </c>
      <c r="CD43" s="738">
        <v>0</v>
      </c>
      <c r="CE43" s="738">
        <v>0</v>
      </c>
      <c r="CF43" s="738">
        <v>0</v>
      </c>
      <c r="CG43" s="738">
        <v>0</v>
      </c>
      <c r="CH43" s="738">
        <v>0</v>
      </c>
      <c r="CI43" s="738">
        <v>0</v>
      </c>
      <c r="CJ43" s="738">
        <v>0</v>
      </c>
      <c r="CK43" s="738">
        <v>0</v>
      </c>
      <c r="CL43" s="738">
        <v>0</v>
      </c>
      <c r="CM43" s="738">
        <v>0</v>
      </c>
      <c r="CN43" s="738">
        <v>0</v>
      </c>
      <c r="CO43" s="738">
        <v>0</v>
      </c>
    </row>
    <row r="44" spans="1:93" x14ac:dyDescent="0.25">
      <c r="A44" s="326" t="s">
        <v>745</v>
      </c>
      <c r="B44" s="322"/>
      <c r="C44" s="322"/>
      <c r="D44" s="322"/>
      <c r="E44" s="321"/>
      <c r="F44" s="322"/>
      <c r="G44" s="322"/>
      <c r="H44" s="322"/>
      <c r="I44" s="321"/>
      <c r="J44" s="322"/>
      <c r="K44" s="322"/>
      <c r="L44" s="322"/>
      <c r="M44" s="321"/>
      <c r="N44" s="322"/>
      <c r="O44" s="322"/>
      <c r="P44" s="322"/>
      <c r="Q44" s="321"/>
      <c r="R44" s="322"/>
      <c r="S44" s="322"/>
      <c r="T44" s="322"/>
      <c r="U44" s="322"/>
      <c r="V44" s="322"/>
      <c r="W44" s="322"/>
      <c r="X44" s="321"/>
      <c r="Y44" s="322"/>
      <c r="Z44" s="322"/>
      <c r="AA44" s="322"/>
      <c r="AB44" s="322"/>
      <c r="AC44" s="322"/>
      <c r="AD44" s="322"/>
      <c r="AE44" s="321"/>
      <c r="AF44" s="322"/>
      <c r="AG44" s="322"/>
      <c r="AH44" s="322"/>
      <c r="AI44" s="322"/>
      <c r="AJ44" s="322"/>
      <c r="AK44" s="322"/>
      <c r="AL44" s="321"/>
      <c r="AM44" s="322"/>
      <c r="AN44" s="322"/>
      <c r="AO44" s="322"/>
      <c r="AP44" s="322"/>
      <c r="AQ44" s="322"/>
      <c r="AR44" s="322"/>
      <c r="AS44" s="321"/>
      <c r="AT44" s="322"/>
      <c r="AU44" s="322"/>
      <c r="AV44" s="728"/>
      <c r="AW44" s="728"/>
      <c r="AX44" s="322"/>
      <c r="AY44" s="322"/>
      <c r="AZ44" s="738"/>
      <c r="BA44" s="738"/>
      <c r="BB44" s="738"/>
      <c r="BC44" s="738"/>
      <c r="BD44" s="738"/>
      <c r="BE44" s="738"/>
      <c r="BF44" s="738"/>
      <c r="BG44" s="738"/>
      <c r="BH44" s="738"/>
      <c r="BI44" s="761"/>
      <c r="BJ44" s="761"/>
      <c r="BK44" s="761"/>
      <c r="BL44" s="738"/>
      <c r="BM44" s="738"/>
      <c r="BN44" s="738"/>
      <c r="BO44" s="738"/>
      <c r="BP44" s="761"/>
      <c r="BQ44" s="761"/>
      <c r="BR44" s="761"/>
      <c r="BS44" s="738"/>
      <c r="BT44" s="738"/>
      <c r="BU44" s="738"/>
      <c r="BV44" s="738"/>
      <c r="BW44" s="738"/>
      <c r="BX44" s="738"/>
      <c r="BY44" s="738"/>
      <c r="BZ44" s="738"/>
      <c r="CA44" s="738"/>
      <c r="CB44" s="738"/>
      <c r="CC44" s="738"/>
      <c r="CD44" s="738"/>
      <c r="CE44" s="738"/>
      <c r="CF44" s="738"/>
      <c r="CG44" s="738"/>
      <c r="CH44" s="738"/>
      <c r="CI44" s="738"/>
    </row>
    <row r="45" spans="1:93" x14ac:dyDescent="0.25">
      <c r="A45" s="326" t="s">
        <v>746</v>
      </c>
      <c r="B45" s="322"/>
      <c r="C45" s="322"/>
      <c r="D45" s="322"/>
      <c r="E45" s="321"/>
      <c r="F45" s="322"/>
      <c r="G45" s="322"/>
      <c r="H45" s="322"/>
      <c r="I45" s="321"/>
      <c r="J45" s="322"/>
      <c r="K45" s="322"/>
      <c r="L45" s="322"/>
      <c r="M45" s="321"/>
      <c r="N45" s="322"/>
      <c r="O45" s="322"/>
      <c r="P45" s="322"/>
      <c r="Q45" s="321"/>
      <c r="R45" s="322"/>
      <c r="S45" s="322"/>
      <c r="T45" s="322"/>
      <c r="U45" s="322"/>
      <c r="V45" s="322"/>
      <c r="W45" s="322"/>
      <c r="X45" s="321"/>
      <c r="Y45" s="322"/>
      <c r="Z45" s="322"/>
      <c r="AA45" s="322"/>
      <c r="AB45" s="322"/>
      <c r="AC45" s="322"/>
      <c r="AD45" s="322"/>
      <c r="AE45" s="321"/>
      <c r="AF45" s="322"/>
      <c r="AG45" s="322"/>
      <c r="AH45" s="322"/>
      <c r="AI45" s="322"/>
      <c r="AJ45" s="322"/>
      <c r="AK45" s="322"/>
      <c r="AL45" s="321"/>
      <c r="AM45" s="322"/>
      <c r="AN45" s="322"/>
      <c r="AO45" s="322"/>
      <c r="AP45" s="322"/>
      <c r="AQ45" s="322"/>
      <c r="AR45" s="322"/>
      <c r="AS45" s="321"/>
      <c r="AT45" s="322"/>
      <c r="AU45" s="322"/>
      <c r="AV45" s="728"/>
      <c r="AW45" s="728"/>
      <c r="AX45" s="322"/>
      <c r="AY45" s="322"/>
      <c r="AZ45" s="738"/>
      <c r="BA45" s="738"/>
      <c r="BB45" s="738"/>
      <c r="BC45" s="738"/>
      <c r="BD45" s="738"/>
      <c r="BE45" s="738"/>
      <c r="BF45" s="738"/>
      <c r="BG45" s="738"/>
      <c r="BH45" s="738"/>
      <c r="BI45" s="761"/>
      <c r="BJ45" s="761"/>
      <c r="BK45" s="761"/>
      <c r="BL45" s="738"/>
      <c r="BM45" s="738"/>
      <c r="BN45" s="738"/>
      <c r="BO45" s="738"/>
      <c r="BP45" s="761"/>
      <c r="BQ45" s="761"/>
      <c r="BR45" s="761"/>
      <c r="BS45" s="738"/>
      <c r="BT45" s="738"/>
      <c r="BU45" s="738"/>
      <c r="BV45" s="738"/>
      <c r="BW45" s="738"/>
      <c r="BX45" s="738"/>
      <c r="BY45" s="738"/>
      <c r="BZ45" s="738"/>
      <c r="CA45" s="738"/>
      <c r="CB45" s="738"/>
      <c r="CC45" s="738"/>
      <c r="CD45" s="738"/>
      <c r="CE45" s="738"/>
      <c r="CF45" s="738"/>
      <c r="CG45" s="738"/>
      <c r="CH45" s="738"/>
      <c r="CI45" s="738"/>
    </row>
    <row r="46" spans="1:93" x14ac:dyDescent="0.25">
      <c r="A46" s="326" t="str">
        <f>Language!$G52</f>
        <v>Obrigações da Concessão</v>
      </c>
      <c r="B46" s="322">
        <v>11898</v>
      </c>
      <c r="C46" s="322">
        <v>12321</v>
      </c>
      <c r="D46" s="322">
        <v>0</v>
      </c>
      <c r="E46" s="321">
        <v>0</v>
      </c>
      <c r="F46" s="322">
        <v>0</v>
      </c>
      <c r="G46" s="322">
        <v>0</v>
      </c>
      <c r="H46" s="322">
        <v>0</v>
      </c>
      <c r="I46" s="321">
        <v>0</v>
      </c>
      <c r="J46" s="322">
        <v>0</v>
      </c>
      <c r="K46" s="322">
        <v>0</v>
      </c>
      <c r="L46" s="322">
        <v>0</v>
      </c>
      <c r="M46" s="321">
        <v>0</v>
      </c>
      <c r="N46" s="322">
        <v>0</v>
      </c>
      <c r="O46" s="322">
        <v>4200</v>
      </c>
      <c r="P46" s="322">
        <v>3200</v>
      </c>
      <c r="Q46" s="321">
        <v>0</v>
      </c>
      <c r="R46" s="322">
        <v>0</v>
      </c>
      <c r="S46" s="322">
        <v>0</v>
      </c>
      <c r="T46" s="322">
        <v>0</v>
      </c>
      <c r="U46" s="322">
        <v>0</v>
      </c>
      <c r="V46" s="322">
        <v>0</v>
      </c>
      <c r="W46" s="322">
        <v>0</v>
      </c>
      <c r="X46" s="321">
        <v>0</v>
      </c>
      <c r="Y46" s="322"/>
      <c r="Z46" s="322"/>
      <c r="AA46" s="322"/>
      <c r="AB46" s="322"/>
      <c r="AC46" s="322"/>
      <c r="AD46" s="322"/>
      <c r="AE46" s="321"/>
      <c r="AF46" s="322"/>
      <c r="AG46" s="322"/>
      <c r="AH46" s="322"/>
      <c r="AI46" s="322"/>
      <c r="AJ46" s="322"/>
      <c r="AK46" s="322"/>
      <c r="AL46" s="321"/>
      <c r="AM46" s="322"/>
      <c r="AN46" s="322"/>
      <c r="AO46" s="322"/>
      <c r="AP46" s="322"/>
      <c r="AQ46" s="322"/>
      <c r="AR46" s="322"/>
      <c r="AS46" s="321"/>
      <c r="AT46" s="322"/>
      <c r="AU46" s="322"/>
      <c r="AV46" s="728">
        <f t="shared" si="178"/>
        <v>0</v>
      </c>
      <c r="AW46" s="728">
        <f t="shared" si="178"/>
        <v>0</v>
      </c>
      <c r="AX46" s="322"/>
      <c r="AY46" s="322">
        <v>0</v>
      </c>
      <c r="AZ46" s="738">
        <v>0</v>
      </c>
      <c r="BA46" s="738">
        <v>0</v>
      </c>
      <c r="BB46" s="738">
        <f t="shared" si="179"/>
        <v>0</v>
      </c>
      <c r="BC46" s="738">
        <f t="shared" si="180"/>
        <v>0</v>
      </c>
      <c r="BD46" s="738">
        <f t="shared" si="181"/>
        <v>0</v>
      </c>
      <c r="BE46" s="738">
        <v>0</v>
      </c>
      <c r="BF46" s="738">
        <v>0</v>
      </c>
      <c r="BG46" s="738">
        <v>0</v>
      </c>
      <c r="BH46" s="738">
        <v>0</v>
      </c>
      <c r="BI46" s="761">
        <f t="shared" si="182"/>
        <v>0</v>
      </c>
      <c r="BJ46" s="761">
        <f t="shared" si="183"/>
        <v>0</v>
      </c>
      <c r="BK46" s="761">
        <f t="shared" si="184"/>
        <v>0</v>
      </c>
      <c r="BL46" s="738">
        <v>0</v>
      </c>
      <c r="BM46" s="738">
        <v>0</v>
      </c>
      <c r="BN46" s="738">
        <v>0</v>
      </c>
      <c r="BO46" s="738">
        <v>0</v>
      </c>
      <c r="BP46" s="761">
        <f t="shared" si="185"/>
        <v>0</v>
      </c>
      <c r="BQ46" s="761">
        <f t="shared" si="186"/>
        <v>0</v>
      </c>
      <c r="BR46" s="761">
        <f t="shared" si="187"/>
        <v>0</v>
      </c>
      <c r="BS46" s="738">
        <v>0</v>
      </c>
      <c r="BT46" s="738">
        <v>0</v>
      </c>
      <c r="BU46" s="738">
        <v>0</v>
      </c>
      <c r="BV46" s="738">
        <v>0</v>
      </c>
      <c r="BW46" s="738">
        <v>0</v>
      </c>
      <c r="BX46" s="738">
        <v>0</v>
      </c>
      <c r="BY46" s="738">
        <v>0</v>
      </c>
      <c r="BZ46" s="738">
        <v>0</v>
      </c>
      <c r="CA46" s="738">
        <v>0</v>
      </c>
      <c r="CB46" s="738">
        <v>0</v>
      </c>
      <c r="CC46" s="738">
        <v>0</v>
      </c>
      <c r="CD46" s="738">
        <v>0</v>
      </c>
      <c r="CE46" s="738">
        <v>0</v>
      </c>
      <c r="CF46" s="738">
        <v>0</v>
      </c>
      <c r="CG46" s="738">
        <v>0</v>
      </c>
      <c r="CH46" s="738">
        <v>0</v>
      </c>
      <c r="CI46" s="738">
        <v>0</v>
      </c>
    </row>
    <row r="47" spans="1:93" x14ac:dyDescent="0.25">
      <c r="A47" s="326" t="str">
        <f>Language!$G53</f>
        <v>Impostos, Taxas e Contribuições</v>
      </c>
      <c r="B47" s="322">
        <v>0</v>
      </c>
      <c r="C47" s="322">
        <v>0</v>
      </c>
      <c r="D47" s="322">
        <v>0</v>
      </c>
      <c r="E47" s="321">
        <v>0</v>
      </c>
      <c r="F47" s="322">
        <v>0</v>
      </c>
      <c r="G47" s="322">
        <v>0</v>
      </c>
      <c r="H47" s="322">
        <v>0</v>
      </c>
      <c r="I47" s="321">
        <v>0</v>
      </c>
      <c r="J47" s="322">
        <v>0</v>
      </c>
      <c r="K47" s="322">
        <v>0</v>
      </c>
      <c r="L47" s="322">
        <v>0</v>
      </c>
      <c r="M47" s="321">
        <v>0</v>
      </c>
      <c r="N47" s="322">
        <v>0</v>
      </c>
      <c r="O47" s="322">
        <v>0</v>
      </c>
      <c r="P47" s="322">
        <v>0</v>
      </c>
      <c r="Q47" s="321">
        <v>0</v>
      </c>
      <c r="R47" s="322">
        <v>0</v>
      </c>
      <c r="S47" s="322">
        <v>2754</v>
      </c>
      <c r="T47" s="322">
        <v>2574</v>
      </c>
      <c r="U47" s="322">
        <v>0</v>
      </c>
      <c r="V47" s="322">
        <v>2754</v>
      </c>
      <c r="W47" s="322">
        <v>2574</v>
      </c>
      <c r="X47" s="321">
        <v>0</v>
      </c>
      <c r="Y47" s="322"/>
      <c r="Z47" s="322"/>
      <c r="AA47" s="322"/>
      <c r="AB47" s="322"/>
      <c r="AC47" s="322"/>
      <c r="AD47" s="322"/>
      <c r="AE47" s="321"/>
      <c r="AF47" s="322"/>
      <c r="AG47" s="322"/>
      <c r="AH47" s="322"/>
      <c r="AI47" s="322"/>
      <c r="AJ47" s="322"/>
      <c r="AK47" s="322"/>
      <c r="AL47" s="321"/>
      <c r="AM47" s="322"/>
      <c r="AN47" s="322"/>
      <c r="AO47" s="322"/>
      <c r="AP47" s="322"/>
      <c r="AQ47" s="322"/>
      <c r="AR47" s="322"/>
      <c r="AS47" s="321"/>
      <c r="AT47" s="322"/>
      <c r="AU47" s="322"/>
      <c r="AV47" s="728">
        <f t="shared" si="178"/>
        <v>0</v>
      </c>
      <c r="AW47" s="728">
        <f t="shared" si="178"/>
        <v>0</v>
      </c>
      <c r="AX47" s="322"/>
      <c r="AY47" s="322">
        <v>0</v>
      </c>
      <c r="AZ47" s="738">
        <v>0</v>
      </c>
      <c r="BA47" s="738">
        <v>0</v>
      </c>
      <c r="BB47" s="738">
        <f t="shared" si="179"/>
        <v>0</v>
      </c>
      <c r="BC47" s="738">
        <f t="shared" si="180"/>
        <v>0</v>
      </c>
      <c r="BD47" s="738">
        <f t="shared" si="181"/>
        <v>0</v>
      </c>
      <c r="BE47" s="738">
        <v>0</v>
      </c>
      <c r="BF47" s="738">
        <v>0</v>
      </c>
      <c r="BG47" s="738">
        <v>0</v>
      </c>
      <c r="BH47" s="738">
        <v>0</v>
      </c>
      <c r="BI47" s="761">
        <f t="shared" si="182"/>
        <v>0</v>
      </c>
      <c r="BJ47" s="761">
        <f t="shared" si="183"/>
        <v>0</v>
      </c>
      <c r="BK47" s="761">
        <f t="shared" si="184"/>
        <v>0</v>
      </c>
      <c r="BL47" s="738">
        <v>0</v>
      </c>
      <c r="BM47" s="738">
        <v>0</v>
      </c>
      <c r="BN47" s="738">
        <v>0</v>
      </c>
      <c r="BO47" s="738">
        <v>0</v>
      </c>
      <c r="BP47" s="761">
        <f t="shared" si="185"/>
        <v>0</v>
      </c>
      <c r="BQ47" s="761">
        <f t="shared" si="186"/>
        <v>0</v>
      </c>
      <c r="BR47" s="761">
        <f t="shared" si="187"/>
        <v>0</v>
      </c>
      <c r="BS47" s="738">
        <v>0</v>
      </c>
      <c r="BT47" s="738">
        <v>0</v>
      </c>
      <c r="BU47" s="738">
        <v>0</v>
      </c>
      <c r="BV47" s="738">
        <v>0</v>
      </c>
      <c r="BW47" s="738">
        <v>0</v>
      </c>
      <c r="BX47" s="738">
        <v>0</v>
      </c>
      <c r="BY47" s="738">
        <v>0</v>
      </c>
      <c r="BZ47" s="738">
        <v>0</v>
      </c>
      <c r="CA47" s="738">
        <v>0</v>
      </c>
      <c r="CB47" s="738">
        <v>0</v>
      </c>
      <c r="CC47" s="738">
        <v>0</v>
      </c>
      <c r="CD47" s="738">
        <v>0</v>
      </c>
      <c r="CE47" s="738">
        <v>0</v>
      </c>
      <c r="CF47" s="738">
        <v>0</v>
      </c>
      <c r="CG47" s="738">
        <v>0</v>
      </c>
      <c r="CH47" s="738">
        <v>0</v>
      </c>
      <c r="CI47" s="738">
        <v>0</v>
      </c>
    </row>
    <row r="48" spans="1:93" x14ac:dyDescent="0.25">
      <c r="A48" s="326" t="str">
        <f>Language!$G54</f>
        <v>Imposto de Renda e Contribuição Social Diferidos</v>
      </c>
      <c r="B48" s="322">
        <v>46975</v>
      </c>
      <c r="C48" s="322">
        <v>45722</v>
      </c>
      <c r="D48" s="322">
        <v>44672</v>
      </c>
      <c r="E48" s="321">
        <v>46209</v>
      </c>
      <c r="F48" s="322">
        <v>45759</v>
      </c>
      <c r="G48" s="322">
        <v>45308</v>
      </c>
      <c r="H48" s="322">
        <v>44857</v>
      </c>
      <c r="I48" s="321">
        <v>44406</v>
      </c>
      <c r="J48" s="322">
        <v>43956</v>
      </c>
      <c r="K48" s="322">
        <v>43505</v>
      </c>
      <c r="L48" s="322">
        <v>43054</v>
      </c>
      <c r="M48" s="321">
        <v>44169</v>
      </c>
      <c r="N48" s="322">
        <v>42153</v>
      </c>
      <c r="O48" s="322">
        <v>41702</v>
      </c>
      <c r="P48" s="322">
        <v>41251</v>
      </c>
      <c r="Q48" s="321">
        <v>40800</v>
      </c>
      <c r="R48" s="322">
        <v>40349</v>
      </c>
      <c r="S48" s="322">
        <v>39899</v>
      </c>
      <c r="T48" s="322">
        <v>39448</v>
      </c>
      <c r="U48" s="322">
        <v>0</v>
      </c>
      <c r="V48" s="322">
        <v>39899</v>
      </c>
      <c r="W48" s="322">
        <v>39448</v>
      </c>
      <c r="X48" s="321">
        <v>0</v>
      </c>
      <c r="Y48" s="322"/>
      <c r="Z48" s="322"/>
      <c r="AA48" s="322"/>
      <c r="AB48" s="322"/>
      <c r="AC48" s="322"/>
      <c r="AD48" s="322"/>
      <c r="AE48" s="321"/>
      <c r="AF48" s="322"/>
      <c r="AG48" s="322"/>
      <c r="AH48" s="322"/>
      <c r="AI48" s="322"/>
      <c r="AJ48" s="322"/>
      <c r="AK48" s="322"/>
      <c r="AL48" s="321"/>
      <c r="AM48" s="322"/>
      <c r="AN48" s="322"/>
      <c r="AO48" s="322"/>
      <c r="AP48" s="322"/>
      <c r="AQ48" s="322"/>
      <c r="AR48" s="322"/>
      <c r="AS48" s="321"/>
      <c r="AT48" s="322"/>
      <c r="AU48" s="322"/>
      <c r="AV48" s="728">
        <f t="shared" si="178"/>
        <v>0</v>
      </c>
      <c r="AW48" s="728">
        <f t="shared" si="178"/>
        <v>0</v>
      </c>
      <c r="AX48" s="322"/>
      <c r="AY48" s="322">
        <v>0</v>
      </c>
      <c r="AZ48" s="738">
        <v>0</v>
      </c>
      <c r="BA48" s="738">
        <v>0</v>
      </c>
      <c r="BB48" s="738">
        <f t="shared" si="179"/>
        <v>0</v>
      </c>
      <c r="BC48" s="738">
        <f t="shared" si="180"/>
        <v>0</v>
      </c>
      <c r="BD48" s="738">
        <f t="shared" si="181"/>
        <v>0</v>
      </c>
      <c r="BE48" s="738">
        <v>0</v>
      </c>
      <c r="BF48" s="738">
        <v>0</v>
      </c>
      <c r="BG48" s="738">
        <v>0</v>
      </c>
      <c r="BH48" s="738">
        <v>0</v>
      </c>
      <c r="BI48" s="761">
        <f t="shared" si="182"/>
        <v>0</v>
      </c>
      <c r="BJ48" s="761">
        <f t="shared" si="183"/>
        <v>0</v>
      </c>
      <c r="BK48" s="761">
        <f t="shared" si="184"/>
        <v>0</v>
      </c>
      <c r="BL48" s="738">
        <v>0</v>
      </c>
      <c r="BM48" s="738">
        <v>0</v>
      </c>
      <c r="BN48" s="738">
        <v>0</v>
      </c>
      <c r="BO48" s="738">
        <v>0</v>
      </c>
      <c r="BP48" s="761">
        <f t="shared" si="185"/>
        <v>0</v>
      </c>
      <c r="BQ48" s="761">
        <f t="shared" si="186"/>
        <v>0</v>
      </c>
      <c r="BR48" s="761">
        <f t="shared" si="187"/>
        <v>0</v>
      </c>
      <c r="BS48" s="738">
        <v>0</v>
      </c>
      <c r="BT48" s="738">
        <v>0</v>
      </c>
      <c r="BU48" s="738">
        <v>0</v>
      </c>
      <c r="BV48" s="738">
        <v>0</v>
      </c>
      <c r="BW48" s="738">
        <v>0</v>
      </c>
      <c r="BX48" s="738">
        <v>0</v>
      </c>
      <c r="BY48" s="738">
        <v>0</v>
      </c>
      <c r="BZ48" s="738">
        <v>0</v>
      </c>
      <c r="CA48" s="738">
        <v>0</v>
      </c>
      <c r="CB48" s="738">
        <v>0</v>
      </c>
      <c r="CC48" s="738">
        <v>0</v>
      </c>
      <c r="CD48" s="738">
        <v>0</v>
      </c>
      <c r="CE48" s="738">
        <v>0</v>
      </c>
      <c r="CF48" s="738">
        <v>0</v>
      </c>
      <c r="CG48" s="738">
        <v>0</v>
      </c>
      <c r="CH48" s="738">
        <v>0</v>
      </c>
      <c r="CI48" s="738">
        <v>0</v>
      </c>
    </row>
    <row r="49" spans="1:93" x14ac:dyDescent="0.25">
      <c r="A49" s="326" t="str">
        <f>Language!$G55</f>
        <v>Receitas Diferidas, Líquidas</v>
      </c>
      <c r="B49" s="322">
        <v>0</v>
      </c>
      <c r="C49" s="322">
        <v>0</v>
      </c>
      <c r="D49" s="322">
        <v>0</v>
      </c>
      <c r="E49" s="321">
        <v>0</v>
      </c>
      <c r="F49" s="322">
        <v>0</v>
      </c>
      <c r="G49" s="322">
        <v>0</v>
      </c>
      <c r="H49" s="322">
        <v>0</v>
      </c>
      <c r="I49" s="321">
        <v>0</v>
      </c>
      <c r="J49" s="322">
        <v>0</v>
      </c>
      <c r="K49" s="322">
        <v>0</v>
      </c>
      <c r="L49" s="322">
        <v>0</v>
      </c>
      <c r="M49" s="321">
        <v>0</v>
      </c>
      <c r="N49" s="322">
        <v>0</v>
      </c>
      <c r="O49" s="322">
        <v>0</v>
      </c>
      <c r="P49" s="322">
        <v>0</v>
      </c>
      <c r="Q49" s="321">
        <v>0</v>
      </c>
      <c r="R49" s="322">
        <v>0</v>
      </c>
      <c r="S49" s="322">
        <v>0</v>
      </c>
      <c r="T49" s="322">
        <v>0</v>
      </c>
      <c r="U49" s="322">
        <v>0</v>
      </c>
      <c r="V49" s="322">
        <v>0</v>
      </c>
      <c r="W49" s="322">
        <v>0</v>
      </c>
      <c r="X49" s="321">
        <v>0</v>
      </c>
      <c r="Y49" s="322"/>
      <c r="Z49" s="322"/>
      <c r="AA49" s="322"/>
      <c r="AB49" s="322"/>
      <c r="AC49" s="322"/>
      <c r="AD49" s="322"/>
      <c r="AE49" s="321"/>
      <c r="AF49" s="322"/>
      <c r="AG49" s="322"/>
      <c r="AH49" s="322"/>
      <c r="AI49" s="322"/>
      <c r="AJ49" s="322"/>
      <c r="AK49" s="322"/>
      <c r="AL49" s="321"/>
      <c r="AM49" s="322"/>
      <c r="AN49" s="322"/>
      <c r="AO49" s="322"/>
      <c r="AP49" s="322"/>
      <c r="AQ49" s="322"/>
      <c r="AR49" s="322"/>
      <c r="AS49" s="321"/>
      <c r="AT49" s="322"/>
      <c r="AU49" s="322"/>
      <c r="AV49" s="728">
        <f t="shared" si="178"/>
        <v>0</v>
      </c>
      <c r="AW49" s="728">
        <f t="shared" si="178"/>
        <v>0</v>
      </c>
      <c r="AX49" s="322"/>
      <c r="AY49" s="322">
        <v>0</v>
      </c>
      <c r="AZ49" s="738">
        <v>0</v>
      </c>
      <c r="BA49" s="738">
        <v>0</v>
      </c>
      <c r="BB49" s="738">
        <f t="shared" si="179"/>
        <v>0</v>
      </c>
      <c r="BC49" s="738">
        <f t="shared" si="180"/>
        <v>0</v>
      </c>
      <c r="BD49" s="738">
        <f t="shared" si="181"/>
        <v>0</v>
      </c>
      <c r="BE49" s="738">
        <v>0</v>
      </c>
      <c r="BF49" s="738">
        <v>0</v>
      </c>
      <c r="BG49" s="738">
        <v>0</v>
      </c>
      <c r="BH49" s="738">
        <v>0</v>
      </c>
      <c r="BI49" s="761">
        <f t="shared" si="182"/>
        <v>0</v>
      </c>
      <c r="BJ49" s="761">
        <f t="shared" si="183"/>
        <v>0</v>
      </c>
      <c r="BK49" s="761">
        <f t="shared" si="184"/>
        <v>0</v>
      </c>
      <c r="BL49" s="738">
        <v>0</v>
      </c>
      <c r="BM49" s="738">
        <v>0</v>
      </c>
      <c r="BN49" s="738">
        <v>0</v>
      </c>
      <c r="BO49" s="738">
        <v>0</v>
      </c>
      <c r="BP49" s="761">
        <f t="shared" si="185"/>
        <v>0</v>
      </c>
      <c r="BQ49" s="761">
        <f t="shared" si="186"/>
        <v>0</v>
      </c>
      <c r="BR49" s="761">
        <f t="shared" si="187"/>
        <v>0</v>
      </c>
      <c r="BS49" s="738">
        <v>0</v>
      </c>
      <c r="BT49" s="738">
        <v>0</v>
      </c>
      <c r="BU49" s="738">
        <v>0</v>
      </c>
      <c r="BV49" s="738">
        <v>0</v>
      </c>
      <c r="BW49" s="738">
        <v>0</v>
      </c>
      <c r="BX49" s="738">
        <v>0</v>
      </c>
      <c r="BY49" s="738">
        <v>0</v>
      </c>
      <c r="BZ49" s="738">
        <v>0</v>
      </c>
      <c r="CA49" s="738">
        <v>0</v>
      </c>
      <c r="CB49" s="738">
        <v>0</v>
      </c>
      <c r="CC49" s="738">
        <v>0</v>
      </c>
      <c r="CD49" s="738">
        <v>0</v>
      </c>
      <c r="CE49" s="738">
        <v>0</v>
      </c>
      <c r="CF49" s="738">
        <v>0</v>
      </c>
      <c r="CG49" s="738">
        <v>0</v>
      </c>
      <c r="CH49" s="738">
        <v>0</v>
      </c>
      <c r="CI49" s="738">
        <v>0</v>
      </c>
    </row>
    <row r="50" spans="1:93" x14ac:dyDescent="0.25">
      <c r="A50" s="326" t="str">
        <f>Language!$G56</f>
        <v>Contas a pagar - partes relacionadas</v>
      </c>
      <c r="B50" s="322">
        <v>0</v>
      </c>
      <c r="C50" s="322">
        <v>0</v>
      </c>
      <c r="D50" s="322">
        <v>0</v>
      </c>
      <c r="E50" s="321">
        <v>0</v>
      </c>
      <c r="F50" s="322">
        <v>0</v>
      </c>
      <c r="G50" s="322">
        <v>0</v>
      </c>
      <c r="H50" s="322">
        <v>0</v>
      </c>
      <c r="I50" s="321">
        <v>21</v>
      </c>
      <c r="J50" s="322">
        <v>0</v>
      </c>
      <c r="K50" s="322">
        <v>0</v>
      </c>
      <c r="L50" s="322">
        <v>0</v>
      </c>
      <c r="M50" s="321">
        <v>0</v>
      </c>
      <c r="N50" s="322">
        <v>0</v>
      </c>
      <c r="O50" s="322">
        <v>0</v>
      </c>
      <c r="P50" s="322">
        <v>0</v>
      </c>
      <c r="Q50" s="321">
        <v>0</v>
      </c>
      <c r="R50" s="322">
        <v>81318</v>
      </c>
      <c r="S50" s="322">
        <v>80302</v>
      </c>
      <c r="T50" s="322">
        <v>0</v>
      </c>
      <c r="U50" s="322">
        <v>0</v>
      </c>
      <c r="V50" s="322">
        <v>80302</v>
      </c>
      <c r="W50" s="322">
        <v>0</v>
      </c>
      <c r="X50" s="321">
        <v>0</v>
      </c>
      <c r="Y50" s="322"/>
      <c r="Z50" s="322"/>
      <c r="AA50" s="322"/>
      <c r="AB50" s="322"/>
      <c r="AC50" s="322"/>
      <c r="AD50" s="322"/>
      <c r="AE50" s="321"/>
      <c r="AF50" s="322"/>
      <c r="AG50" s="322"/>
      <c r="AH50" s="322"/>
      <c r="AI50" s="322"/>
      <c r="AJ50" s="322"/>
      <c r="AK50" s="322"/>
      <c r="AL50" s="321"/>
      <c r="AM50" s="322"/>
      <c r="AN50" s="322"/>
      <c r="AO50" s="322"/>
      <c r="AP50" s="322"/>
      <c r="AQ50" s="322"/>
      <c r="AR50" s="322"/>
      <c r="AS50" s="321"/>
      <c r="AT50" s="322"/>
      <c r="AU50" s="322"/>
      <c r="AV50" s="728">
        <f t="shared" si="178"/>
        <v>0</v>
      </c>
      <c r="AW50" s="728">
        <f t="shared" si="178"/>
        <v>0</v>
      </c>
      <c r="AX50" s="322"/>
      <c r="AY50" s="322">
        <v>0</v>
      </c>
      <c r="AZ50" s="738">
        <v>0</v>
      </c>
      <c r="BA50" s="738">
        <v>0</v>
      </c>
      <c r="BB50" s="738">
        <f t="shared" si="179"/>
        <v>0</v>
      </c>
      <c r="BC50" s="738">
        <f t="shared" si="180"/>
        <v>0</v>
      </c>
      <c r="BD50" s="322">
        <f t="shared" si="181"/>
        <v>1704</v>
      </c>
      <c r="BE50" s="738">
        <v>0</v>
      </c>
      <c r="BF50" s="738">
        <v>0</v>
      </c>
      <c r="BG50" s="322">
        <v>1704</v>
      </c>
      <c r="BH50" s="322">
        <v>2</v>
      </c>
      <c r="BI50" s="761">
        <f t="shared" si="182"/>
        <v>1</v>
      </c>
      <c r="BJ50" s="761">
        <f t="shared" si="183"/>
        <v>0</v>
      </c>
      <c r="BK50" s="761">
        <f t="shared" si="184"/>
        <v>0</v>
      </c>
      <c r="BL50" s="322">
        <v>1</v>
      </c>
      <c r="BM50" s="322">
        <v>0</v>
      </c>
      <c r="BN50" s="322">
        <v>0</v>
      </c>
      <c r="BO50" s="322">
        <v>0</v>
      </c>
      <c r="BP50" s="761">
        <f t="shared" si="185"/>
        <v>0</v>
      </c>
      <c r="BQ50" s="761">
        <f t="shared" si="186"/>
        <v>0</v>
      </c>
      <c r="BR50" s="761">
        <f t="shared" si="187"/>
        <v>0</v>
      </c>
      <c r="BS50" s="322">
        <v>0</v>
      </c>
      <c r="BT50" s="322"/>
      <c r="BU50" s="322"/>
      <c r="BV50" s="322"/>
      <c r="BW50" s="322"/>
      <c r="BX50" s="322"/>
      <c r="BY50" s="322"/>
      <c r="BZ50" s="322"/>
      <c r="CA50" s="322"/>
      <c r="CB50" s="322"/>
      <c r="CC50" s="322"/>
      <c r="CD50" s="322"/>
      <c r="CE50" s="322"/>
      <c r="CF50" s="322"/>
      <c r="CG50" s="322"/>
      <c r="CH50" s="322"/>
      <c r="CI50" s="322"/>
    </row>
    <row r="51" spans="1:93" x14ac:dyDescent="0.25">
      <c r="A51" s="326" t="s">
        <v>747</v>
      </c>
      <c r="B51" s="322"/>
      <c r="C51" s="322"/>
      <c r="D51" s="322"/>
      <c r="E51" s="321"/>
      <c r="F51" s="322"/>
      <c r="G51" s="322"/>
      <c r="H51" s="322"/>
      <c r="I51" s="321"/>
      <c r="J51" s="322"/>
      <c r="K51" s="322"/>
      <c r="L51" s="322"/>
      <c r="M51" s="321"/>
      <c r="N51" s="322"/>
      <c r="O51" s="322"/>
      <c r="P51" s="322"/>
      <c r="Q51" s="321"/>
      <c r="R51" s="322"/>
      <c r="S51" s="322"/>
      <c r="T51" s="322"/>
      <c r="U51" s="322"/>
      <c r="V51" s="322"/>
      <c r="W51" s="322"/>
      <c r="X51" s="321"/>
      <c r="Y51" s="322"/>
      <c r="Z51" s="322"/>
      <c r="AA51" s="322"/>
      <c r="AB51" s="322"/>
      <c r="AC51" s="322"/>
      <c r="AD51" s="322"/>
      <c r="AE51" s="321"/>
      <c r="AF51" s="322"/>
      <c r="AG51" s="322"/>
      <c r="AH51" s="322"/>
      <c r="AI51" s="322"/>
      <c r="AJ51" s="322"/>
      <c r="AK51" s="322"/>
      <c r="AL51" s="321"/>
      <c r="AM51" s="322"/>
      <c r="AN51" s="322"/>
      <c r="AO51" s="322"/>
      <c r="AP51" s="322"/>
      <c r="AQ51" s="322"/>
      <c r="AR51" s="322"/>
      <c r="AS51" s="321"/>
      <c r="AT51" s="322"/>
      <c r="AU51" s="322"/>
      <c r="AV51" s="728"/>
      <c r="AW51" s="728"/>
      <c r="AX51" s="322"/>
      <c r="AY51" s="322"/>
      <c r="AZ51" s="738"/>
      <c r="BA51" s="738"/>
      <c r="BB51" s="738"/>
      <c r="BC51" s="738"/>
      <c r="BD51" s="322"/>
      <c r="BE51" s="738"/>
      <c r="BF51" s="738"/>
      <c r="BG51" s="322"/>
      <c r="BH51" s="322"/>
      <c r="BI51" s="761"/>
      <c r="BJ51" s="761"/>
      <c r="BK51" s="761"/>
      <c r="BL51" s="322"/>
      <c r="BM51" s="322"/>
      <c r="BN51" s="322"/>
      <c r="BO51" s="322"/>
      <c r="BP51" s="761"/>
      <c r="BQ51" s="761"/>
      <c r="BR51" s="761"/>
      <c r="BS51" s="322"/>
      <c r="BT51" s="322"/>
      <c r="BU51" s="322"/>
      <c r="BV51" s="322"/>
      <c r="BW51" s="322"/>
      <c r="BX51" s="322"/>
      <c r="BY51" s="322"/>
      <c r="BZ51" s="322"/>
      <c r="CA51" s="322"/>
      <c r="CB51" s="322"/>
      <c r="CC51" s="322"/>
      <c r="CD51" s="322"/>
      <c r="CE51" s="322"/>
      <c r="CF51" s="322"/>
      <c r="CG51" s="322"/>
      <c r="CH51" s="322"/>
      <c r="CI51" s="322"/>
    </row>
    <row r="52" spans="1:93" x14ac:dyDescent="0.25">
      <c r="A52" s="326" t="str">
        <f>Language!$G57</f>
        <v>Provisões para contingência</v>
      </c>
      <c r="B52" s="322">
        <v>0</v>
      </c>
      <c r="C52" s="322">
        <v>0</v>
      </c>
      <c r="D52" s="322">
        <v>0</v>
      </c>
      <c r="E52" s="321">
        <v>0</v>
      </c>
      <c r="F52" s="322">
        <v>0</v>
      </c>
      <c r="G52" s="322">
        <v>0</v>
      </c>
      <c r="H52" s="322">
        <v>0</v>
      </c>
      <c r="I52" s="321">
        <v>0</v>
      </c>
      <c r="J52" s="322">
        <v>0</v>
      </c>
      <c r="K52" s="322">
        <v>0</v>
      </c>
      <c r="L52" s="322">
        <v>0</v>
      </c>
      <c r="M52" s="321">
        <v>0</v>
      </c>
      <c r="N52" s="322">
        <v>0</v>
      </c>
      <c r="O52" s="322">
        <v>0</v>
      </c>
      <c r="P52" s="322">
        <v>0</v>
      </c>
      <c r="Q52" s="321">
        <v>8465</v>
      </c>
      <c r="R52" s="322">
        <v>8573</v>
      </c>
      <c r="S52" s="322">
        <v>8573</v>
      </c>
      <c r="T52" s="322">
        <v>22909</v>
      </c>
      <c r="U52" s="322">
        <v>0</v>
      </c>
      <c r="V52" s="322">
        <v>8573</v>
      </c>
      <c r="W52" s="322">
        <v>22909</v>
      </c>
      <c r="X52" s="321">
        <v>0</v>
      </c>
      <c r="Y52" s="322"/>
      <c r="Z52" s="322"/>
      <c r="AA52" s="322"/>
      <c r="AB52" s="322"/>
      <c r="AC52" s="322"/>
      <c r="AD52" s="322"/>
      <c r="AE52" s="321"/>
      <c r="AF52" s="322"/>
      <c r="AG52" s="322"/>
      <c r="AH52" s="322"/>
      <c r="AI52" s="322"/>
      <c r="AJ52" s="322"/>
      <c r="AK52" s="322"/>
      <c r="AL52" s="321"/>
      <c r="AM52" s="322"/>
      <c r="AN52" s="322"/>
      <c r="AO52" s="322"/>
      <c r="AP52" s="322"/>
      <c r="AQ52" s="322"/>
      <c r="AR52" s="322"/>
      <c r="AS52" s="321"/>
      <c r="AT52" s="322"/>
      <c r="AU52" s="322"/>
      <c r="AV52" s="728">
        <f t="shared" si="178"/>
        <v>0</v>
      </c>
      <c r="AW52" s="728">
        <f t="shared" si="178"/>
        <v>0</v>
      </c>
      <c r="AX52" s="322"/>
      <c r="AY52" s="322">
        <v>0</v>
      </c>
      <c r="AZ52" s="738">
        <v>0</v>
      </c>
      <c r="BA52" s="738">
        <v>0</v>
      </c>
      <c r="BB52" s="738">
        <f t="shared" si="179"/>
        <v>0</v>
      </c>
      <c r="BC52" s="738">
        <f t="shared" si="180"/>
        <v>0</v>
      </c>
      <c r="BD52" s="738">
        <f t="shared" si="181"/>
        <v>0</v>
      </c>
      <c r="BE52" s="738">
        <v>0</v>
      </c>
      <c r="BF52" s="738">
        <v>0</v>
      </c>
      <c r="BG52" s="738">
        <v>0</v>
      </c>
      <c r="BH52" s="738">
        <v>0</v>
      </c>
      <c r="BI52" s="761">
        <f t="shared" si="182"/>
        <v>0</v>
      </c>
      <c r="BJ52" s="761">
        <f t="shared" si="183"/>
        <v>0</v>
      </c>
      <c r="BK52" s="761">
        <f t="shared" si="184"/>
        <v>0</v>
      </c>
      <c r="BL52" s="738">
        <v>0</v>
      </c>
      <c r="BM52" s="738">
        <v>0</v>
      </c>
      <c r="BN52" s="738">
        <v>0</v>
      </c>
      <c r="BO52" s="738">
        <v>0</v>
      </c>
      <c r="BP52" s="761">
        <f t="shared" si="185"/>
        <v>0</v>
      </c>
      <c r="BQ52" s="761">
        <f t="shared" si="186"/>
        <v>0</v>
      </c>
      <c r="BR52" s="761">
        <f t="shared" si="187"/>
        <v>0</v>
      </c>
      <c r="BS52" s="738">
        <v>0</v>
      </c>
      <c r="BT52" s="738">
        <v>0</v>
      </c>
      <c r="BU52" s="738">
        <v>0</v>
      </c>
      <c r="BV52" s="738">
        <v>0</v>
      </c>
      <c r="BW52" s="738">
        <v>0</v>
      </c>
      <c r="BX52" s="738">
        <v>0</v>
      </c>
      <c r="BY52" s="738">
        <v>0</v>
      </c>
      <c r="BZ52" s="738">
        <v>0</v>
      </c>
      <c r="CA52" s="738">
        <v>0</v>
      </c>
      <c r="CB52" s="738">
        <v>0</v>
      </c>
      <c r="CC52" s="738">
        <v>0</v>
      </c>
      <c r="CD52" s="738">
        <v>0</v>
      </c>
      <c r="CE52" s="738">
        <v>0</v>
      </c>
      <c r="CF52" s="738">
        <v>0</v>
      </c>
      <c r="CG52" s="738">
        <v>0</v>
      </c>
      <c r="CH52" s="738">
        <v>0</v>
      </c>
      <c r="CI52" s="738">
        <v>0</v>
      </c>
    </row>
    <row r="53" spans="1:93" x14ac:dyDescent="0.25">
      <c r="A53" s="326" t="str">
        <f>Language!$G58</f>
        <v>Arrendamento Mercantil</v>
      </c>
      <c r="B53" s="322">
        <v>0</v>
      </c>
      <c r="C53" s="322">
        <v>0</v>
      </c>
      <c r="D53" s="322">
        <v>0</v>
      </c>
      <c r="E53" s="321">
        <v>0</v>
      </c>
      <c r="F53" s="322">
        <v>0</v>
      </c>
      <c r="G53" s="322">
        <v>0</v>
      </c>
      <c r="H53" s="322">
        <v>0</v>
      </c>
      <c r="I53" s="321">
        <v>0</v>
      </c>
      <c r="J53" s="322">
        <v>0</v>
      </c>
      <c r="K53" s="322">
        <v>0</v>
      </c>
      <c r="L53" s="322">
        <v>0</v>
      </c>
      <c r="M53" s="321">
        <v>86</v>
      </c>
      <c r="N53" s="322">
        <v>64</v>
      </c>
      <c r="O53" s="322">
        <v>44</v>
      </c>
      <c r="P53" s="322">
        <v>0</v>
      </c>
      <c r="Q53" s="321">
        <v>0</v>
      </c>
      <c r="R53" s="322">
        <v>0</v>
      </c>
      <c r="S53" s="322">
        <v>0</v>
      </c>
      <c r="T53" s="322">
        <v>0</v>
      </c>
      <c r="U53" s="322">
        <v>0</v>
      </c>
      <c r="V53" s="322">
        <v>0</v>
      </c>
      <c r="W53" s="322">
        <v>0</v>
      </c>
      <c r="X53" s="321">
        <v>0</v>
      </c>
      <c r="Y53" s="322"/>
      <c r="Z53" s="322"/>
      <c r="AA53" s="322"/>
      <c r="AB53" s="322"/>
      <c r="AC53" s="322"/>
      <c r="AD53" s="322"/>
      <c r="AE53" s="321"/>
      <c r="AF53" s="322"/>
      <c r="AG53" s="322"/>
      <c r="AH53" s="322"/>
      <c r="AI53" s="322"/>
      <c r="AJ53" s="322"/>
      <c r="AK53" s="322"/>
      <c r="AL53" s="321"/>
      <c r="AM53" s="322"/>
      <c r="AN53" s="322"/>
      <c r="AO53" s="322"/>
      <c r="AP53" s="322"/>
      <c r="AQ53" s="322"/>
      <c r="AR53" s="322"/>
      <c r="AS53" s="321"/>
      <c r="AT53" s="322"/>
      <c r="AU53" s="322"/>
      <c r="AV53" s="728">
        <f t="shared" si="178"/>
        <v>0</v>
      </c>
      <c r="AW53" s="728">
        <f t="shared" si="178"/>
        <v>0</v>
      </c>
      <c r="AX53" s="322"/>
      <c r="AY53" s="322">
        <v>0</v>
      </c>
      <c r="AZ53" s="738">
        <v>0</v>
      </c>
      <c r="BA53" s="322">
        <v>43</v>
      </c>
      <c r="BB53" s="738">
        <f t="shared" si="179"/>
        <v>0</v>
      </c>
      <c r="BC53" s="738">
        <f t="shared" si="180"/>
        <v>0</v>
      </c>
      <c r="BD53" s="738">
        <f t="shared" si="181"/>
        <v>0</v>
      </c>
      <c r="BE53" s="738">
        <v>0</v>
      </c>
      <c r="BF53" s="738">
        <v>0</v>
      </c>
      <c r="BG53" s="738">
        <v>0</v>
      </c>
      <c r="BH53" s="738">
        <v>0</v>
      </c>
      <c r="BI53" s="761">
        <f t="shared" si="182"/>
        <v>0</v>
      </c>
      <c r="BJ53" s="761">
        <f t="shared" si="183"/>
        <v>0</v>
      </c>
      <c r="BK53" s="761">
        <f t="shared" si="184"/>
        <v>0</v>
      </c>
      <c r="BL53" s="738">
        <v>0</v>
      </c>
      <c r="BM53" s="738">
        <v>0</v>
      </c>
      <c r="BN53" s="738">
        <v>0</v>
      </c>
      <c r="BO53" s="738">
        <v>0</v>
      </c>
      <c r="BP53" s="761">
        <f t="shared" si="185"/>
        <v>0</v>
      </c>
      <c r="BQ53" s="761">
        <f t="shared" si="186"/>
        <v>0</v>
      </c>
      <c r="BR53" s="761">
        <f t="shared" si="187"/>
        <v>0</v>
      </c>
      <c r="BS53" s="738">
        <v>0</v>
      </c>
      <c r="BT53" s="738">
        <v>0</v>
      </c>
      <c r="BU53" s="738">
        <v>0</v>
      </c>
      <c r="BV53" s="738">
        <v>0</v>
      </c>
      <c r="BW53" s="738">
        <v>0</v>
      </c>
      <c r="BX53" s="738">
        <v>0</v>
      </c>
      <c r="BY53" s="738">
        <v>0</v>
      </c>
      <c r="BZ53" s="738">
        <v>0</v>
      </c>
      <c r="CA53" s="738">
        <v>0</v>
      </c>
      <c r="CB53" s="738">
        <v>0</v>
      </c>
      <c r="CC53" s="738">
        <v>0</v>
      </c>
      <c r="CD53" s="738">
        <v>0</v>
      </c>
      <c r="CE53" s="738">
        <v>0</v>
      </c>
      <c r="CF53" s="738">
        <v>0</v>
      </c>
      <c r="CG53" s="738">
        <v>0</v>
      </c>
      <c r="CH53" s="738">
        <v>0</v>
      </c>
      <c r="CI53" s="738">
        <v>0</v>
      </c>
    </row>
    <row r="54" spans="1:93" x14ac:dyDescent="0.25">
      <c r="A54" s="326" t="str">
        <f>Language!$G59</f>
        <v>Contrato de aquisição de ativos</v>
      </c>
      <c r="B54" s="322">
        <v>0</v>
      </c>
      <c r="C54" s="322">
        <v>0</v>
      </c>
      <c r="D54" s="322">
        <v>0</v>
      </c>
      <c r="E54" s="321">
        <v>0</v>
      </c>
      <c r="F54" s="322">
        <v>0</v>
      </c>
      <c r="G54" s="322">
        <v>0</v>
      </c>
      <c r="H54" s="322">
        <v>0</v>
      </c>
      <c r="I54" s="321">
        <v>0</v>
      </c>
      <c r="J54" s="322">
        <v>0</v>
      </c>
      <c r="K54" s="322">
        <v>0</v>
      </c>
      <c r="L54" s="322">
        <v>0</v>
      </c>
      <c r="M54" s="321">
        <v>0</v>
      </c>
      <c r="N54" s="322">
        <v>0</v>
      </c>
      <c r="O54" s="322">
        <v>0</v>
      </c>
      <c r="P54" s="322">
        <v>0</v>
      </c>
      <c r="Q54" s="321">
        <v>0</v>
      </c>
      <c r="R54" s="322">
        <v>0</v>
      </c>
      <c r="S54" s="322">
        <v>0</v>
      </c>
      <c r="T54" s="322">
        <v>0</v>
      </c>
      <c r="U54" s="322">
        <v>0</v>
      </c>
      <c r="V54" s="322">
        <v>0</v>
      </c>
      <c r="W54" s="322">
        <v>0</v>
      </c>
      <c r="X54" s="321">
        <v>0</v>
      </c>
      <c r="Y54" s="322"/>
      <c r="Z54" s="322"/>
      <c r="AA54" s="322"/>
      <c r="AB54" s="322"/>
      <c r="AC54" s="322"/>
      <c r="AD54" s="322"/>
      <c r="AE54" s="321"/>
      <c r="AF54" s="322"/>
      <c r="AG54" s="322"/>
      <c r="AH54" s="322"/>
      <c r="AI54" s="322"/>
      <c r="AJ54" s="322"/>
      <c r="AK54" s="322"/>
      <c r="AL54" s="321"/>
      <c r="AM54" s="322"/>
      <c r="AN54" s="322"/>
      <c r="AO54" s="322"/>
      <c r="AP54" s="322"/>
      <c r="AQ54" s="322"/>
      <c r="AR54" s="322"/>
      <c r="AS54" s="321"/>
      <c r="AT54" s="322"/>
      <c r="AU54" s="322"/>
      <c r="AV54" s="728">
        <f t="shared" si="178"/>
        <v>0</v>
      </c>
      <c r="AW54" s="728">
        <f t="shared" si="178"/>
        <v>0</v>
      </c>
      <c r="AX54" s="322"/>
      <c r="AY54" s="322">
        <v>0</v>
      </c>
      <c r="AZ54" s="738">
        <v>0</v>
      </c>
      <c r="BA54" s="738">
        <v>0</v>
      </c>
      <c r="BB54" s="738">
        <f t="shared" si="179"/>
        <v>0</v>
      </c>
      <c r="BC54" s="738">
        <f t="shared" si="180"/>
        <v>0</v>
      </c>
      <c r="BD54" s="738">
        <f t="shared" si="181"/>
        <v>0</v>
      </c>
      <c r="BE54" s="738">
        <v>0</v>
      </c>
      <c r="BF54" s="738">
        <v>0</v>
      </c>
      <c r="BG54" s="738">
        <v>0</v>
      </c>
      <c r="BH54" s="738">
        <v>0</v>
      </c>
      <c r="BI54" s="761">
        <f t="shared" si="182"/>
        <v>0</v>
      </c>
      <c r="BJ54" s="761">
        <f t="shared" si="183"/>
        <v>0</v>
      </c>
      <c r="BK54" s="761">
        <f t="shared" si="184"/>
        <v>0</v>
      </c>
      <c r="BL54" s="738">
        <v>0</v>
      </c>
      <c r="BM54" s="738">
        <v>0</v>
      </c>
      <c r="BN54" s="738">
        <v>0</v>
      </c>
      <c r="BO54" s="738">
        <v>0</v>
      </c>
      <c r="BP54" s="761">
        <f t="shared" si="185"/>
        <v>0</v>
      </c>
      <c r="BQ54" s="761">
        <f t="shared" si="186"/>
        <v>0</v>
      </c>
      <c r="BR54" s="761">
        <f t="shared" si="187"/>
        <v>0</v>
      </c>
      <c r="BS54" s="738">
        <v>0</v>
      </c>
      <c r="BT54" s="738">
        <v>0</v>
      </c>
      <c r="BU54" s="738">
        <v>0</v>
      </c>
      <c r="BV54" s="738">
        <v>0</v>
      </c>
      <c r="BW54" s="738">
        <v>0</v>
      </c>
      <c r="BX54" s="738">
        <v>0</v>
      </c>
      <c r="BY54" s="738">
        <v>0</v>
      </c>
      <c r="BZ54" s="738">
        <v>0</v>
      </c>
      <c r="CA54" s="738">
        <v>0</v>
      </c>
      <c r="CB54" s="738">
        <v>0</v>
      </c>
      <c r="CC54" s="738">
        <v>0</v>
      </c>
      <c r="CD54" s="738">
        <v>0</v>
      </c>
      <c r="CE54" s="738">
        <v>0</v>
      </c>
      <c r="CF54" s="738">
        <v>0</v>
      </c>
      <c r="CG54" s="738">
        <v>0</v>
      </c>
      <c r="CH54" s="738">
        <v>0</v>
      </c>
      <c r="CI54" s="738">
        <v>0</v>
      </c>
    </row>
    <row r="55" spans="1:93" x14ac:dyDescent="0.25">
      <c r="A55" s="326" t="str">
        <f>Language!$G60</f>
        <v>Outras Obrigações</v>
      </c>
      <c r="B55" s="322">
        <v>0</v>
      </c>
      <c r="C55" s="322">
        <v>122</v>
      </c>
      <c r="D55" s="322">
        <v>12520</v>
      </c>
      <c r="E55" s="321">
        <v>5214</v>
      </c>
      <c r="F55" s="322">
        <v>3013</v>
      </c>
      <c r="G55" s="322">
        <v>1736</v>
      </c>
      <c r="H55" s="322">
        <v>880</v>
      </c>
      <c r="I55" s="321">
        <v>28</v>
      </c>
      <c r="J55" s="322">
        <v>12</v>
      </c>
      <c r="K55" s="322">
        <v>0</v>
      </c>
      <c r="L55" s="322">
        <v>0</v>
      </c>
      <c r="M55" s="321">
        <v>5200</v>
      </c>
      <c r="N55" s="322">
        <v>4201</v>
      </c>
      <c r="O55" s="322">
        <v>0</v>
      </c>
      <c r="P55" s="322">
        <v>21</v>
      </c>
      <c r="Q55" s="321">
        <v>2200</v>
      </c>
      <c r="R55" s="322">
        <v>33102</v>
      </c>
      <c r="S55" s="322">
        <v>40596</v>
      </c>
      <c r="T55" s="322">
        <v>2200</v>
      </c>
      <c r="U55" s="322">
        <v>0</v>
      </c>
      <c r="V55" s="322">
        <v>40596</v>
      </c>
      <c r="W55" s="322">
        <v>2200</v>
      </c>
      <c r="X55" s="321">
        <v>0</v>
      </c>
      <c r="Y55" s="322"/>
      <c r="Z55" s="322">
        <f t="shared" si="22"/>
        <v>3048</v>
      </c>
      <c r="AA55" s="322">
        <f t="shared" si="23"/>
        <v>6943</v>
      </c>
      <c r="AB55" s="322">
        <f t="shared" si="24"/>
        <v>10598</v>
      </c>
      <c r="AC55" s="322">
        <v>3048</v>
      </c>
      <c r="AD55" s="322">
        <v>6943</v>
      </c>
      <c r="AE55" s="321">
        <v>10598</v>
      </c>
      <c r="AF55" s="322">
        <v>10378</v>
      </c>
      <c r="AG55" s="322">
        <f t="shared" si="25"/>
        <v>14079</v>
      </c>
      <c r="AH55" s="322">
        <f t="shared" si="3"/>
        <v>14696</v>
      </c>
      <c r="AI55" s="322">
        <f t="shared" si="4"/>
        <v>15926</v>
      </c>
      <c r="AJ55" s="322">
        <v>14079</v>
      </c>
      <c r="AK55" s="322">
        <v>14696</v>
      </c>
      <c r="AL55" s="321">
        <v>15926</v>
      </c>
      <c r="AM55" s="322">
        <v>15797</v>
      </c>
      <c r="AN55" s="322">
        <f t="shared" si="26"/>
        <v>15666</v>
      </c>
      <c r="AO55" s="322">
        <f t="shared" si="26"/>
        <v>15536</v>
      </c>
      <c r="AP55" s="322">
        <f t="shared" si="26"/>
        <v>15406</v>
      </c>
      <c r="AQ55" s="322">
        <v>15666</v>
      </c>
      <c r="AR55" s="322">
        <v>15536</v>
      </c>
      <c r="AS55" s="321">
        <v>15406</v>
      </c>
      <c r="AT55" s="322">
        <v>15461</v>
      </c>
      <c r="AU55" s="322">
        <f>AX55</f>
        <v>15146</v>
      </c>
      <c r="AV55" s="728">
        <f t="shared" si="178"/>
        <v>15016</v>
      </c>
      <c r="AW55" s="728">
        <f t="shared" si="178"/>
        <v>14886</v>
      </c>
      <c r="AX55" s="322">
        <v>15146</v>
      </c>
      <c r="AY55" s="322">
        <v>15016</v>
      </c>
      <c r="AZ55" s="322">
        <v>14886</v>
      </c>
      <c r="BA55" s="322">
        <v>14756</v>
      </c>
      <c r="BB55" s="322">
        <f t="shared" si="179"/>
        <v>14626</v>
      </c>
      <c r="BC55" s="322">
        <f t="shared" si="180"/>
        <v>14496</v>
      </c>
      <c r="BD55" s="322">
        <f t="shared" si="181"/>
        <v>14366</v>
      </c>
      <c r="BE55" s="322">
        <v>14626</v>
      </c>
      <c r="BF55" s="322">
        <v>14496</v>
      </c>
      <c r="BG55" s="322">
        <v>14366</v>
      </c>
      <c r="BH55" s="322">
        <v>14236</v>
      </c>
      <c r="BI55" s="761">
        <f t="shared" si="182"/>
        <v>14111</v>
      </c>
      <c r="BJ55" s="761">
        <f t="shared" si="183"/>
        <v>13986</v>
      </c>
      <c r="BK55" s="761">
        <f t="shared" si="184"/>
        <v>13856</v>
      </c>
      <c r="BL55" s="322">
        <v>14111</v>
      </c>
      <c r="BM55" s="322">
        <v>13986</v>
      </c>
      <c r="BN55" s="322">
        <v>13856</v>
      </c>
      <c r="BO55" s="322">
        <v>13726</v>
      </c>
      <c r="BP55" s="761">
        <f t="shared" si="185"/>
        <v>13584</v>
      </c>
      <c r="BQ55" s="761">
        <f t="shared" si="186"/>
        <v>13456</v>
      </c>
      <c r="BR55" s="761">
        <f t="shared" si="187"/>
        <v>24793</v>
      </c>
      <c r="BS55" s="322">
        <v>13584</v>
      </c>
      <c r="BT55" s="322">
        <v>13456</v>
      </c>
      <c r="BU55" s="322">
        <v>24793</v>
      </c>
      <c r="BV55" s="322">
        <v>13290</v>
      </c>
      <c r="BW55" s="322">
        <f>BZ55</f>
        <v>13068</v>
      </c>
      <c r="BX55" s="322">
        <f>CA55</f>
        <v>12937</v>
      </c>
      <c r="BY55" s="322">
        <f>CB55</f>
        <v>12808</v>
      </c>
      <c r="BZ55" s="322">
        <v>13068</v>
      </c>
      <c r="CA55" s="322">
        <v>12937</v>
      </c>
      <c r="CB55" s="322">
        <v>12808</v>
      </c>
      <c r="CC55" s="322">
        <v>12679</v>
      </c>
      <c r="CD55" s="322">
        <f>CG55</f>
        <v>12547</v>
      </c>
      <c r="CE55" s="322">
        <f>CH55</f>
        <v>12416</v>
      </c>
      <c r="CF55" s="322">
        <f>CI55</f>
        <v>12286</v>
      </c>
      <c r="CG55" s="322">
        <v>12547</v>
      </c>
      <c r="CH55" s="322">
        <v>12416</v>
      </c>
      <c r="CI55" s="322">
        <v>12286</v>
      </c>
      <c r="CJ55" s="310">
        <v>12156</v>
      </c>
      <c r="CK55" s="310">
        <f>CN55</f>
        <v>12026</v>
      </c>
      <c r="CN55" s="310">
        <v>12026</v>
      </c>
    </row>
    <row r="56" spans="1:93" s="377" customFormat="1" ht="13" x14ac:dyDescent="0.3">
      <c r="A56" s="323" t="str">
        <f>Language!$G61</f>
        <v>Patrimônio Líquido</v>
      </c>
      <c r="B56" s="323">
        <f t="shared" ref="B56:K56" si="188">SUM(B57:B66)</f>
        <v>327565</v>
      </c>
      <c r="C56" s="323">
        <f t="shared" si="188"/>
        <v>399042</v>
      </c>
      <c r="D56" s="323">
        <f t="shared" si="188"/>
        <v>445321</v>
      </c>
      <c r="E56" s="324">
        <f t="shared" si="188"/>
        <v>444659</v>
      </c>
      <c r="F56" s="323">
        <f t="shared" si="188"/>
        <v>449158</v>
      </c>
      <c r="G56" s="323">
        <f t="shared" si="188"/>
        <v>507316</v>
      </c>
      <c r="H56" s="323">
        <f t="shared" si="188"/>
        <v>511882</v>
      </c>
      <c r="I56" s="324">
        <f t="shared" si="188"/>
        <v>576311</v>
      </c>
      <c r="J56" s="323">
        <f t="shared" si="188"/>
        <v>625470</v>
      </c>
      <c r="K56" s="323">
        <f t="shared" si="188"/>
        <v>721006</v>
      </c>
      <c r="L56" s="323">
        <f t="shared" ref="L56:P56" si="189">SUM(L57:L66)</f>
        <v>813144</v>
      </c>
      <c r="M56" s="324">
        <f t="shared" si="189"/>
        <v>842035</v>
      </c>
      <c r="N56" s="323">
        <f t="shared" si="189"/>
        <v>898105</v>
      </c>
      <c r="O56" s="323">
        <f t="shared" si="189"/>
        <v>819134</v>
      </c>
      <c r="P56" s="323">
        <f t="shared" si="189"/>
        <v>793169</v>
      </c>
      <c r="Q56" s="324">
        <f t="shared" ref="Q56" si="190">SUM(Q57:Q66)</f>
        <v>709059</v>
      </c>
      <c r="R56" s="324">
        <v>662062</v>
      </c>
      <c r="S56" s="324">
        <v>662333</v>
      </c>
      <c r="T56" s="323">
        <v>785292</v>
      </c>
      <c r="U56" s="323">
        <v>20939</v>
      </c>
      <c r="V56" s="324">
        <v>662333</v>
      </c>
      <c r="W56" s="324">
        <v>785292</v>
      </c>
      <c r="X56" s="324">
        <v>20939</v>
      </c>
      <c r="Y56" s="324">
        <f>SUM(Y57:Y67)</f>
        <v>23580</v>
      </c>
      <c r="Z56" s="324">
        <f t="shared" si="22"/>
        <v>6685</v>
      </c>
      <c r="AA56" s="323">
        <f t="shared" si="23"/>
        <v>7094</v>
      </c>
      <c r="AB56" s="323">
        <f t="shared" si="24"/>
        <v>-2465</v>
      </c>
      <c r="AC56" s="324">
        <f>SUM(AC57:AC67)</f>
        <v>6685</v>
      </c>
      <c r="AD56" s="324">
        <f>SUM(AD57:AD67)</f>
        <v>7094</v>
      </c>
      <c r="AE56" s="324">
        <f>SUM(AE57:AE67)</f>
        <v>-2465</v>
      </c>
      <c r="AF56" s="324">
        <f>SUM(AF57:AF67)</f>
        <v>-967</v>
      </c>
      <c r="AG56" s="324">
        <f t="shared" si="25"/>
        <v>1207</v>
      </c>
      <c r="AH56" s="323">
        <f t="shared" si="3"/>
        <v>3002</v>
      </c>
      <c r="AI56" s="323">
        <f t="shared" si="4"/>
        <v>4537</v>
      </c>
      <c r="AJ56" s="324">
        <f>SUM(AJ57:AJ67)</f>
        <v>1207</v>
      </c>
      <c r="AK56" s="324">
        <f>SUM(AK57:AK67)</f>
        <v>3002</v>
      </c>
      <c r="AL56" s="324">
        <f>SUM(AL57:AL67)</f>
        <v>4537</v>
      </c>
      <c r="AM56" s="324">
        <f>SUM(AM57:AM67)</f>
        <v>6347</v>
      </c>
      <c r="AN56" s="324">
        <f t="shared" si="26"/>
        <v>7793</v>
      </c>
      <c r="AO56" s="324">
        <f t="shared" si="26"/>
        <v>15415</v>
      </c>
      <c r="AP56" s="324">
        <f t="shared" si="26"/>
        <v>17442</v>
      </c>
      <c r="AQ56" s="324">
        <f t="shared" ref="AQ56:BA56" si="191">SUM(AQ57:AQ67)</f>
        <v>7793</v>
      </c>
      <c r="AR56" s="323">
        <f t="shared" si="191"/>
        <v>15415</v>
      </c>
      <c r="AS56" s="324">
        <f t="shared" si="191"/>
        <v>17442</v>
      </c>
      <c r="AT56" s="324">
        <f t="shared" si="191"/>
        <v>24600</v>
      </c>
      <c r="AU56" s="324">
        <f t="shared" si="191"/>
        <v>64113</v>
      </c>
      <c r="AV56" s="324">
        <f t="shared" si="191"/>
        <v>25851</v>
      </c>
      <c r="AW56" s="324">
        <f t="shared" si="191"/>
        <v>25261</v>
      </c>
      <c r="AX56" s="324">
        <f t="shared" si="191"/>
        <v>64113</v>
      </c>
      <c r="AY56" s="324">
        <f t="shared" si="191"/>
        <v>25851</v>
      </c>
      <c r="AZ56" s="324">
        <f t="shared" si="191"/>
        <v>25261</v>
      </c>
      <c r="BA56" s="324">
        <f t="shared" si="191"/>
        <v>32863</v>
      </c>
      <c r="BB56" s="324">
        <f t="shared" ref="BB56:BD56" si="192">SUM(BB57:BB67)</f>
        <v>33098</v>
      </c>
      <c r="BC56" s="324">
        <f t="shared" si="192"/>
        <v>29720</v>
      </c>
      <c r="BD56" s="324">
        <f t="shared" si="192"/>
        <v>31668</v>
      </c>
      <c r="BE56" s="324">
        <f>SUM(BE57:BE67)</f>
        <v>33098</v>
      </c>
      <c r="BF56" s="324">
        <f>SUM(BF57:BF67)</f>
        <v>29720</v>
      </c>
      <c r="BG56" s="324">
        <f>SUM(BG57:BG67)</f>
        <v>31668</v>
      </c>
      <c r="BH56" s="324">
        <f>SUM(BH57:BH67)</f>
        <v>33240</v>
      </c>
      <c r="BI56" s="324">
        <f t="shared" ref="BI56:BL56" si="193">SUM(BI57:BI67)</f>
        <v>29073</v>
      </c>
      <c r="BJ56" s="324">
        <f t="shared" si="193"/>
        <v>35239</v>
      </c>
      <c r="BK56" s="324">
        <f t="shared" si="193"/>
        <v>26472</v>
      </c>
      <c r="BL56" s="324">
        <f t="shared" si="193"/>
        <v>29073</v>
      </c>
      <c r="BM56" s="324">
        <f t="shared" ref="BM56:BN56" si="194">SUM(BM57:BM67)</f>
        <v>35239</v>
      </c>
      <c r="BN56" s="324">
        <f t="shared" si="194"/>
        <v>26539</v>
      </c>
      <c r="BO56" s="324">
        <f t="shared" ref="BO56:BS56" si="195">SUM(BO57:BO67)</f>
        <v>35990</v>
      </c>
      <c r="BP56" s="324">
        <f t="shared" si="195"/>
        <v>45383</v>
      </c>
      <c r="BQ56" s="324">
        <f t="shared" si="195"/>
        <v>30755</v>
      </c>
      <c r="BR56" s="324">
        <f t="shared" si="195"/>
        <v>30153</v>
      </c>
      <c r="BS56" s="324">
        <f t="shared" si="195"/>
        <v>45383</v>
      </c>
      <c r="BT56" s="324">
        <f t="shared" ref="BT56:BU56" si="196">SUM(BT57:BT67)</f>
        <v>30755</v>
      </c>
      <c r="BU56" s="324">
        <f t="shared" si="196"/>
        <v>30153</v>
      </c>
      <c r="BV56" s="324">
        <f t="shared" ref="BV56:BY56" si="197">SUM(BV57:BV67)</f>
        <v>41809</v>
      </c>
      <c r="BW56" s="324">
        <f t="shared" si="197"/>
        <v>22724</v>
      </c>
      <c r="BX56" s="324">
        <f t="shared" si="197"/>
        <v>34388</v>
      </c>
      <c r="BY56" s="324">
        <f t="shared" si="197"/>
        <v>33392</v>
      </c>
      <c r="BZ56" s="324">
        <f t="shared" ref="BZ56:CA56" si="198">SUM(BZ57:BZ67)</f>
        <v>22724</v>
      </c>
      <c r="CA56" s="324">
        <f t="shared" si="198"/>
        <v>34388</v>
      </c>
      <c r="CB56" s="324">
        <f t="shared" ref="CB56:CC56" si="199">SUM(CB57:CB67)</f>
        <v>33392</v>
      </c>
      <c r="CC56" s="324">
        <f t="shared" si="199"/>
        <v>44098</v>
      </c>
      <c r="CD56" s="324">
        <f t="shared" ref="CD56" si="200">SUM(CD57:CD67)</f>
        <v>54951</v>
      </c>
      <c r="CE56" s="324">
        <f>SUM(CE57:CE67)</f>
        <v>33096</v>
      </c>
      <c r="CF56" s="324">
        <f t="shared" ref="CF56:CG56" si="201">SUM(CF57:CF67)</f>
        <v>32948</v>
      </c>
      <c r="CG56" s="324">
        <f t="shared" si="201"/>
        <v>54951</v>
      </c>
      <c r="CH56" s="324">
        <f t="shared" ref="CH56:CI56" si="202">SUM(CH57:CH67)</f>
        <v>33096</v>
      </c>
      <c r="CI56" s="324">
        <f t="shared" si="202"/>
        <v>32948</v>
      </c>
      <c r="CJ56" s="324">
        <v>44588</v>
      </c>
      <c r="CK56" s="324">
        <f t="shared" ref="CK56:CO56" si="203">SUM(CK57:CK67)</f>
        <v>22842</v>
      </c>
      <c r="CL56" s="324">
        <f t="shared" si="203"/>
        <v>0</v>
      </c>
      <c r="CM56" s="324">
        <f t="shared" si="203"/>
        <v>0</v>
      </c>
      <c r="CN56" s="324">
        <f t="shared" si="203"/>
        <v>22842</v>
      </c>
      <c r="CO56" s="324">
        <f t="shared" si="203"/>
        <v>0</v>
      </c>
    </row>
    <row r="57" spans="1:93" x14ac:dyDescent="0.25">
      <c r="A57" s="326" t="str">
        <f>Language!$G62</f>
        <v>Capital Social</v>
      </c>
      <c r="B57" s="322">
        <v>130004</v>
      </c>
      <c r="C57" s="322">
        <v>240414</v>
      </c>
      <c r="D57" s="322">
        <v>350002</v>
      </c>
      <c r="E57" s="321">
        <v>350002</v>
      </c>
      <c r="F57" s="322">
        <v>350002</v>
      </c>
      <c r="G57" s="322">
        <v>350002</v>
      </c>
      <c r="H57" s="322">
        <v>430002</v>
      </c>
      <c r="I57" s="321">
        <v>431001</v>
      </c>
      <c r="J57" s="322">
        <v>431001</v>
      </c>
      <c r="K57" s="322">
        <v>431001</v>
      </c>
      <c r="L57" s="322">
        <v>431001</v>
      </c>
      <c r="M57" s="321">
        <v>431001</v>
      </c>
      <c r="N57" s="322">
        <v>431001</v>
      </c>
      <c r="O57" s="322">
        <v>432708</v>
      </c>
      <c r="P57" s="322">
        <v>431001</v>
      </c>
      <c r="Q57" s="321">
        <v>436881</v>
      </c>
      <c r="R57" s="322">
        <v>362554</v>
      </c>
      <c r="S57" s="322">
        <v>362829</v>
      </c>
      <c r="T57" s="322">
        <v>557970</v>
      </c>
      <c r="U57" s="322">
        <v>3229</v>
      </c>
      <c r="V57" s="322">
        <v>362829</v>
      </c>
      <c r="W57" s="322">
        <v>557970</v>
      </c>
      <c r="X57" s="321">
        <v>3229</v>
      </c>
      <c r="Y57" s="322">
        <v>7391</v>
      </c>
      <c r="Z57" s="322">
        <f t="shared" si="22"/>
        <v>1</v>
      </c>
      <c r="AA57" s="322">
        <f t="shared" si="23"/>
        <v>1043</v>
      </c>
      <c r="AB57" s="322">
        <f t="shared" si="24"/>
        <v>67</v>
      </c>
      <c r="AC57" s="322">
        <v>1</v>
      </c>
      <c r="AD57" s="322">
        <v>1043</v>
      </c>
      <c r="AE57" s="321">
        <v>67</v>
      </c>
      <c r="AF57" s="322">
        <v>67</v>
      </c>
      <c r="AG57" s="322">
        <f t="shared" si="25"/>
        <v>67</v>
      </c>
      <c r="AH57" s="322">
        <f t="shared" si="3"/>
        <v>67</v>
      </c>
      <c r="AI57" s="322">
        <f t="shared" si="4"/>
        <v>67</v>
      </c>
      <c r="AJ57" s="322">
        <v>67</v>
      </c>
      <c r="AK57" s="322">
        <v>67</v>
      </c>
      <c r="AL57" s="321">
        <v>67</v>
      </c>
      <c r="AM57" s="322">
        <v>67</v>
      </c>
      <c r="AN57" s="322">
        <f t="shared" si="26"/>
        <v>67</v>
      </c>
      <c r="AO57" s="322">
        <f t="shared" si="26"/>
        <v>67</v>
      </c>
      <c r="AP57" s="322">
        <f t="shared" si="26"/>
        <v>67</v>
      </c>
      <c r="AQ57" s="322">
        <v>67</v>
      </c>
      <c r="AR57" s="322">
        <v>67</v>
      </c>
      <c r="AS57" s="321">
        <v>67</v>
      </c>
      <c r="AT57" s="322">
        <v>67</v>
      </c>
      <c r="AU57" s="322">
        <f>AX57</f>
        <v>15939</v>
      </c>
      <c r="AV57" s="322">
        <f>AY57</f>
        <v>67</v>
      </c>
      <c r="AW57" s="322">
        <f>AZ57</f>
        <v>67</v>
      </c>
      <c r="AX57" s="322">
        <v>15939</v>
      </c>
      <c r="AY57" s="322">
        <v>67</v>
      </c>
      <c r="AZ57" s="322">
        <v>67</v>
      </c>
      <c r="BA57" s="322">
        <v>67</v>
      </c>
      <c r="BB57" s="322">
        <f>BE57</f>
        <v>67</v>
      </c>
      <c r="BC57" s="322">
        <f>BF57</f>
        <v>67</v>
      </c>
      <c r="BD57" s="322">
        <f>BG57</f>
        <v>67</v>
      </c>
      <c r="BE57" s="322">
        <v>67</v>
      </c>
      <c r="BF57" s="322">
        <v>67</v>
      </c>
      <c r="BG57" s="322">
        <v>67</v>
      </c>
      <c r="BH57" s="322">
        <v>67</v>
      </c>
      <c r="BI57" s="322">
        <f>BL57</f>
        <v>67</v>
      </c>
      <c r="BJ57" s="322">
        <f>BM57</f>
        <v>67</v>
      </c>
      <c r="BK57" s="322"/>
      <c r="BL57" s="322">
        <v>67</v>
      </c>
      <c r="BM57" s="322">
        <v>67</v>
      </c>
      <c r="BN57" s="322">
        <v>67</v>
      </c>
      <c r="BO57" s="322">
        <v>67</v>
      </c>
      <c r="BP57" s="322">
        <f>BS57</f>
        <v>92</v>
      </c>
      <c r="BQ57" s="322">
        <f>BT57</f>
        <v>92</v>
      </c>
      <c r="BR57" s="322">
        <f>BU57</f>
        <v>92</v>
      </c>
      <c r="BS57" s="322">
        <v>92</v>
      </c>
      <c r="BT57" s="322">
        <v>92</v>
      </c>
      <c r="BU57" s="322">
        <v>92</v>
      </c>
      <c r="BV57" s="322">
        <v>92</v>
      </c>
      <c r="BW57" s="322">
        <f>BZ57</f>
        <v>92</v>
      </c>
      <c r="BX57" s="322">
        <f>CA57</f>
        <v>92</v>
      </c>
      <c r="BY57" s="322">
        <f>CB57</f>
        <v>92</v>
      </c>
      <c r="BZ57" s="322">
        <v>92</v>
      </c>
      <c r="CA57" s="322">
        <v>92</v>
      </c>
      <c r="CB57" s="322">
        <v>92</v>
      </c>
      <c r="CC57" s="322">
        <v>92</v>
      </c>
      <c r="CD57" s="322">
        <f>CG57</f>
        <v>92</v>
      </c>
      <c r="CE57" s="322">
        <f>CH57</f>
        <v>92</v>
      </c>
      <c r="CF57" s="322">
        <f>CI57</f>
        <v>92</v>
      </c>
      <c r="CG57" s="322">
        <v>92</v>
      </c>
      <c r="CH57" s="322">
        <v>92</v>
      </c>
      <c r="CI57" s="322">
        <v>92</v>
      </c>
      <c r="CJ57" s="322">
        <v>92</v>
      </c>
      <c r="CK57" s="322">
        <f>CN57</f>
        <v>94</v>
      </c>
      <c r="CL57" s="322"/>
      <c r="CM57" s="322"/>
      <c r="CN57" s="322">
        <v>94</v>
      </c>
      <c r="CO57" s="322"/>
    </row>
    <row r="58" spans="1:93" x14ac:dyDescent="0.25">
      <c r="A58" s="326" t="str">
        <f>Language!$G63</f>
        <v>Capital a Integralizar</v>
      </c>
      <c r="B58" s="322">
        <v>0</v>
      </c>
      <c r="C58" s="322">
        <v>0</v>
      </c>
      <c r="D58" s="322">
        <v>-35188</v>
      </c>
      <c r="E58" s="321">
        <v>-35177</v>
      </c>
      <c r="F58" s="322">
        <v>-35177</v>
      </c>
      <c r="G58" s="322">
        <v>33824</v>
      </c>
      <c r="H58" s="322">
        <v>-46176</v>
      </c>
      <c r="I58" s="321">
        <v>0</v>
      </c>
      <c r="J58" s="322">
        <v>0</v>
      </c>
      <c r="K58" s="322">
        <v>0</v>
      </c>
      <c r="L58" s="322">
        <v>0</v>
      </c>
      <c r="M58" s="321">
        <v>0</v>
      </c>
      <c r="N58" s="322">
        <v>0</v>
      </c>
      <c r="O58" s="322">
        <v>0</v>
      </c>
      <c r="P58" s="322">
        <v>0</v>
      </c>
      <c r="Q58" s="321">
        <v>0</v>
      </c>
      <c r="R58" s="322">
        <v>0</v>
      </c>
      <c r="S58" s="322">
        <v>0</v>
      </c>
      <c r="T58" s="322">
        <v>0</v>
      </c>
      <c r="U58" s="322">
        <v>0</v>
      </c>
      <c r="V58" s="322">
        <v>0</v>
      </c>
      <c r="W58" s="322">
        <v>0</v>
      </c>
      <c r="X58" s="321">
        <v>0</v>
      </c>
      <c r="Y58" s="322"/>
      <c r="Z58" s="322"/>
      <c r="AA58" s="322"/>
      <c r="AB58" s="322"/>
      <c r="AC58" s="322"/>
      <c r="AD58" s="322"/>
      <c r="AE58" s="321"/>
      <c r="AF58" s="322"/>
      <c r="AG58" s="322"/>
      <c r="AH58" s="322"/>
      <c r="AI58" s="322"/>
      <c r="AJ58" s="322"/>
      <c r="AK58" s="322"/>
      <c r="AL58" s="321"/>
      <c r="AM58" s="322"/>
      <c r="AN58" s="322"/>
      <c r="AO58" s="322"/>
      <c r="AP58" s="322"/>
      <c r="AQ58" s="322"/>
      <c r="AR58" s="322"/>
      <c r="AS58" s="321"/>
      <c r="AT58" s="322"/>
      <c r="AU58" s="322"/>
      <c r="AV58" s="322">
        <f t="shared" ref="AV58:AW66" si="204">AY58</f>
        <v>0</v>
      </c>
      <c r="AW58" s="322">
        <f t="shared" si="204"/>
        <v>0</v>
      </c>
      <c r="AX58" s="322"/>
      <c r="AY58" s="322">
        <v>0</v>
      </c>
      <c r="AZ58" s="738">
        <v>0</v>
      </c>
      <c r="BA58" s="738">
        <v>0</v>
      </c>
      <c r="BB58" s="322">
        <f t="shared" ref="BB58:BB66" si="205">BE58</f>
        <v>0</v>
      </c>
      <c r="BC58" s="322">
        <f t="shared" ref="BC58:BC66" si="206">BF58</f>
        <v>0</v>
      </c>
      <c r="BD58" s="322">
        <f t="shared" ref="BD58:BD66" si="207">BG58</f>
        <v>0</v>
      </c>
      <c r="BE58" s="738">
        <v>0</v>
      </c>
      <c r="BF58" s="738">
        <v>0</v>
      </c>
      <c r="BG58" s="738">
        <v>0</v>
      </c>
      <c r="BH58" s="738">
        <v>0</v>
      </c>
      <c r="BI58" s="322">
        <f t="shared" ref="BI58:BI66" si="208">BL58</f>
        <v>0</v>
      </c>
      <c r="BJ58" s="322">
        <f t="shared" ref="BJ58:BJ66" si="209">BM58</f>
        <v>0</v>
      </c>
      <c r="BK58" s="738">
        <f>BN58</f>
        <v>0</v>
      </c>
      <c r="BL58" s="738">
        <v>0</v>
      </c>
      <c r="BM58" s="738">
        <v>0</v>
      </c>
      <c r="BN58" s="738">
        <v>0</v>
      </c>
      <c r="BO58" s="738">
        <v>0</v>
      </c>
      <c r="BP58" s="322">
        <f t="shared" ref="BP58:BP66" si="210">BS58</f>
        <v>0</v>
      </c>
      <c r="BQ58" s="322">
        <f t="shared" ref="BQ58:BQ66" si="211">BT58</f>
        <v>0</v>
      </c>
      <c r="BR58" s="322">
        <f t="shared" ref="BR58:BR66" si="212">BU58</f>
        <v>0</v>
      </c>
      <c r="BS58" s="738">
        <v>0</v>
      </c>
      <c r="BT58" s="738">
        <v>0</v>
      </c>
      <c r="BU58" s="738">
        <v>0</v>
      </c>
      <c r="BV58" s="738">
        <v>0</v>
      </c>
      <c r="BW58" s="322">
        <f t="shared" ref="BW58:BW66" si="213">BZ58</f>
        <v>0</v>
      </c>
      <c r="BX58" s="322">
        <f t="shared" ref="BX58:BX66" si="214">CA58</f>
        <v>0</v>
      </c>
      <c r="BY58" s="322">
        <f t="shared" ref="BY58:BY66" si="215">CB58</f>
        <v>0</v>
      </c>
      <c r="BZ58" s="738">
        <v>0</v>
      </c>
      <c r="CA58" s="738">
        <v>0</v>
      </c>
      <c r="CB58" s="738">
        <v>0</v>
      </c>
      <c r="CC58" s="738">
        <v>0</v>
      </c>
      <c r="CD58" s="322">
        <f t="shared" ref="CD58:CD66" si="216">CG58</f>
        <v>0</v>
      </c>
      <c r="CE58" s="322">
        <f t="shared" ref="CE58:CE66" si="217">CH58</f>
        <v>0</v>
      </c>
      <c r="CF58" s="322">
        <f t="shared" ref="CF58:CF66" si="218">CI58</f>
        <v>0</v>
      </c>
      <c r="CG58" s="738">
        <v>0</v>
      </c>
      <c r="CH58" s="738">
        <v>0</v>
      </c>
      <c r="CI58" s="738">
        <v>0</v>
      </c>
      <c r="CJ58" s="738">
        <v>0</v>
      </c>
      <c r="CK58" s="322">
        <f t="shared" ref="CK58:CK66" si="219">CN58</f>
        <v>0</v>
      </c>
      <c r="CL58" s="738"/>
      <c r="CM58" s="738"/>
      <c r="CN58" s="738">
        <v>0</v>
      </c>
      <c r="CO58" s="738"/>
    </row>
    <row r="59" spans="1:93" x14ac:dyDescent="0.25">
      <c r="A59" s="326" t="str">
        <f>Language!$G64</f>
        <v>Reservas de Capital</v>
      </c>
      <c r="B59" s="322">
        <v>0</v>
      </c>
      <c r="C59" s="322">
        <v>0</v>
      </c>
      <c r="D59" s="322">
        <v>0</v>
      </c>
      <c r="E59" s="321">
        <v>0</v>
      </c>
      <c r="F59" s="322">
        <v>0</v>
      </c>
      <c r="G59" s="322">
        <v>0</v>
      </c>
      <c r="H59" s="322">
        <v>0</v>
      </c>
      <c r="I59" s="321">
        <v>0</v>
      </c>
      <c r="J59" s="322">
        <v>0</v>
      </c>
      <c r="K59" s="322">
        <v>0</v>
      </c>
      <c r="L59" s="322">
        <v>0</v>
      </c>
      <c r="M59" s="321">
        <v>0</v>
      </c>
      <c r="N59" s="322">
        <v>0</v>
      </c>
      <c r="O59" s="322">
        <v>0</v>
      </c>
      <c r="P59" s="322">
        <v>0</v>
      </c>
      <c r="Q59" s="321">
        <v>0</v>
      </c>
      <c r="R59" s="322">
        <v>0</v>
      </c>
      <c r="S59" s="322">
        <v>0</v>
      </c>
      <c r="T59" s="322">
        <v>0</v>
      </c>
      <c r="U59" s="322">
        <v>0</v>
      </c>
      <c r="V59" s="322">
        <v>0</v>
      </c>
      <c r="W59" s="322">
        <v>0</v>
      </c>
      <c r="X59" s="321">
        <v>0</v>
      </c>
      <c r="Y59" s="322"/>
      <c r="Z59" s="322"/>
      <c r="AA59" s="322"/>
      <c r="AB59" s="322"/>
      <c r="AC59" s="322"/>
      <c r="AD59" s="322"/>
      <c r="AE59" s="321"/>
      <c r="AF59" s="322"/>
      <c r="AG59" s="322"/>
      <c r="AH59" s="322"/>
      <c r="AI59" s="322"/>
      <c r="AJ59" s="322"/>
      <c r="AK59" s="322"/>
      <c r="AL59" s="321"/>
      <c r="AM59" s="322"/>
      <c r="AN59" s="322"/>
      <c r="AO59" s="322"/>
      <c r="AP59" s="322"/>
      <c r="AQ59" s="322"/>
      <c r="AR59" s="322"/>
      <c r="AS59" s="321"/>
      <c r="AT59" s="322"/>
      <c r="AU59" s="322"/>
      <c r="AV59" s="322">
        <f t="shared" si="204"/>
        <v>0</v>
      </c>
      <c r="AW59" s="322">
        <f t="shared" si="204"/>
        <v>0</v>
      </c>
      <c r="AX59" s="322"/>
      <c r="AY59" s="322">
        <v>0</v>
      </c>
      <c r="AZ59" s="738">
        <v>0</v>
      </c>
      <c r="BA59" s="738">
        <v>0</v>
      </c>
      <c r="BB59" s="322">
        <f t="shared" si="205"/>
        <v>0</v>
      </c>
      <c r="BC59" s="322">
        <f t="shared" si="206"/>
        <v>0</v>
      </c>
      <c r="BD59" s="322">
        <f t="shared" si="207"/>
        <v>0</v>
      </c>
      <c r="BE59" s="738">
        <v>0</v>
      </c>
      <c r="BF59" s="738">
        <v>0</v>
      </c>
      <c r="BG59" s="738">
        <v>0</v>
      </c>
      <c r="BH59" s="738">
        <v>0</v>
      </c>
      <c r="BI59" s="322">
        <f t="shared" si="208"/>
        <v>0</v>
      </c>
      <c r="BJ59" s="322">
        <f t="shared" si="209"/>
        <v>0</v>
      </c>
      <c r="BK59" s="738">
        <f t="shared" ref="BK59:BK66" si="220">BN59</f>
        <v>0</v>
      </c>
      <c r="BL59" s="738">
        <v>0</v>
      </c>
      <c r="BM59" s="738">
        <v>0</v>
      </c>
      <c r="BN59" s="738">
        <v>0</v>
      </c>
      <c r="BO59" s="738">
        <v>0</v>
      </c>
      <c r="BP59" s="322">
        <f t="shared" si="210"/>
        <v>0</v>
      </c>
      <c r="BQ59" s="322">
        <f t="shared" si="211"/>
        <v>0</v>
      </c>
      <c r="BR59" s="322">
        <f t="shared" si="212"/>
        <v>0</v>
      </c>
      <c r="BS59" s="738">
        <v>0</v>
      </c>
      <c r="BT59" s="738">
        <v>0</v>
      </c>
      <c r="BU59" s="738">
        <v>0</v>
      </c>
      <c r="BV59" s="738">
        <v>0</v>
      </c>
      <c r="BW59" s="322">
        <f t="shared" si="213"/>
        <v>0</v>
      </c>
      <c r="BX59" s="322">
        <f t="shared" si="214"/>
        <v>0</v>
      </c>
      <c r="BY59" s="322">
        <f t="shared" si="215"/>
        <v>0</v>
      </c>
      <c r="BZ59" s="738">
        <v>0</v>
      </c>
      <c r="CA59" s="738">
        <v>0</v>
      </c>
      <c r="CB59" s="738">
        <v>0</v>
      </c>
      <c r="CC59" s="738">
        <v>0</v>
      </c>
      <c r="CD59" s="322">
        <f t="shared" si="216"/>
        <v>0</v>
      </c>
      <c r="CE59" s="322">
        <f t="shared" si="217"/>
        <v>0</v>
      </c>
      <c r="CF59" s="322">
        <f t="shared" si="218"/>
        <v>0</v>
      </c>
      <c r="CG59" s="738">
        <v>0</v>
      </c>
      <c r="CH59" s="738">
        <v>0</v>
      </c>
      <c r="CI59" s="738">
        <v>0</v>
      </c>
      <c r="CJ59" s="738">
        <v>0</v>
      </c>
      <c r="CK59" s="322">
        <f t="shared" si="219"/>
        <v>0</v>
      </c>
      <c r="CL59" s="738"/>
      <c r="CM59" s="738"/>
      <c r="CN59" s="738">
        <v>0</v>
      </c>
      <c r="CO59" s="738"/>
    </row>
    <row r="60" spans="1:93" x14ac:dyDescent="0.25">
      <c r="A60" s="326" t="str">
        <f>Language!$G65</f>
        <v>Reserva de reavaliação, liquida</v>
      </c>
      <c r="B60" s="322">
        <v>0</v>
      </c>
      <c r="C60" s="322">
        <v>0</v>
      </c>
      <c r="D60" s="322">
        <v>0</v>
      </c>
      <c r="E60" s="321">
        <v>0</v>
      </c>
      <c r="F60" s="322">
        <v>0</v>
      </c>
      <c r="G60" s="322">
        <v>0</v>
      </c>
      <c r="H60" s="322">
        <v>0</v>
      </c>
      <c r="I60" s="321">
        <v>0</v>
      </c>
      <c r="J60" s="322">
        <v>0</v>
      </c>
      <c r="K60" s="322">
        <v>0</v>
      </c>
      <c r="L60" s="322">
        <v>0</v>
      </c>
      <c r="M60" s="321">
        <v>0</v>
      </c>
      <c r="N60" s="322">
        <v>0</v>
      </c>
      <c r="O60" s="322">
        <v>0</v>
      </c>
      <c r="P60" s="322">
        <v>0</v>
      </c>
      <c r="Q60" s="321">
        <v>0</v>
      </c>
      <c r="R60" s="322">
        <v>0</v>
      </c>
      <c r="S60" s="322">
        <v>0</v>
      </c>
      <c r="T60" s="322">
        <v>0</v>
      </c>
      <c r="U60" s="322">
        <v>0</v>
      </c>
      <c r="V60" s="322">
        <v>0</v>
      </c>
      <c r="W60" s="322">
        <v>0</v>
      </c>
      <c r="X60" s="321">
        <v>0</v>
      </c>
      <c r="Y60" s="322"/>
      <c r="Z60" s="322"/>
      <c r="AA60" s="322"/>
      <c r="AB60" s="322"/>
      <c r="AC60" s="322"/>
      <c r="AD60" s="322"/>
      <c r="AE60" s="321"/>
      <c r="AF60" s="322"/>
      <c r="AG60" s="322"/>
      <c r="AH60" s="322"/>
      <c r="AI60" s="322"/>
      <c r="AJ60" s="322"/>
      <c r="AK60" s="322"/>
      <c r="AL60" s="321"/>
      <c r="AM60" s="322"/>
      <c r="AN60" s="322"/>
      <c r="AO60" s="322"/>
      <c r="AP60" s="322"/>
      <c r="AQ60" s="322"/>
      <c r="AR60" s="322"/>
      <c r="AS60" s="321"/>
      <c r="AT60" s="322"/>
      <c r="AU60" s="322"/>
      <c r="AV60" s="322">
        <f t="shared" si="204"/>
        <v>0</v>
      </c>
      <c r="AW60" s="322">
        <f t="shared" si="204"/>
        <v>0</v>
      </c>
      <c r="AX60" s="322"/>
      <c r="AY60" s="322">
        <v>0</v>
      </c>
      <c r="AZ60" s="738">
        <v>0</v>
      </c>
      <c r="BA60" s="738">
        <v>0</v>
      </c>
      <c r="BB60" s="322">
        <f t="shared" si="205"/>
        <v>0</v>
      </c>
      <c r="BC60" s="322">
        <f t="shared" si="206"/>
        <v>0</v>
      </c>
      <c r="BD60" s="322">
        <f t="shared" si="207"/>
        <v>0</v>
      </c>
      <c r="BE60" s="738">
        <v>0</v>
      </c>
      <c r="BF60" s="738">
        <v>0</v>
      </c>
      <c r="BG60" s="738">
        <v>0</v>
      </c>
      <c r="BH60" s="738">
        <v>0</v>
      </c>
      <c r="BI60" s="322">
        <f t="shared" si="208"/>
        <v>0</v>
      </c>
      <c r="BJ60" s="322">
        <f t="shared" si="209"/>
        <v>0</v>
      </c>
      <c r="BK60" s="738">
        <f t="shared" si="220"/>
        <v>0</v>
      </c>
      <c r="BL60" s="738">
        <v>0</v>
      </c>
      <c r="BM60" s="738">
        <v>0</v>
      </c>
      <c r="BN60" s="738">
        <v>0</v>
      </c>
      <c r="BO60" s="738">
        <v>0</v>
      </c>
      <c r="BP60" s="322">
        <f t="shared" si="210"/>
        <v>0</v>
      </c>
      <c r="BQ60" s="322">
        <f t="shared" si="211"/>
        <v>0</v>
      </c>
      <c r="BR60" s="322">
        <f t="shared" si="212"/>
        <v>0</v>
      </c>
      <c r="BS60" s="738">
        <v>0</v>
      </c>
      <c r="BT60" s="738">
        <v>0</v>
      </c>
      <c r="BU60" s="738">
        <v>0</v>
      </c>
      <c r="BV60" s="738">
        <v>0</v>
      </c>
      <c r="BW60" s="322">
        <f t="shared" si="213"/>
        <v>0</v>
      </c>
      <c r="BX60" s="322">
        <f t="shared" si="214"/>
        <v>0</v>
      </c>
      <c r="BY60" s="322">
        <f t="shared" si="215"/>
        <v>0</v>
      </c>
      <c r="BZ60" s="738">
        <v>0</v>
      </c>
      <c r="CA60" s="738">
        <v>0</v>
      </c>
      <c r="CB60" s="738">
        <v>0</v>
      </c>
      <c r="CC60" s="738">
        <v>0</v>
      </c>
      <c r="CD60" s="322">
        <f t="shared" si="216"/>
        <v>0</v>
      </c>
      <c r="CE60" s="322">
        <f t="shared" si="217"/>
        <v>0</v>
      </c>
      <c r="CF60" s="322">
        <f t="shared" si="218"/>
        <v>0</v>
      </c>
      <c r="CG60" s="738">
        <v>0</v>
      </c>
      <c r="CH60" s="738">
        <v>0</v>
      </c>
      <c r="CI60" s="738">
        <v>0</v>
      </c>
      <c r="CJ60" s="738">
        <v>0</v>
      </c>
      <c r="CK60" s="322">
        <f t="shared" si="219"/>
        <v>0</v>
      </c>
      <c r="CL60" s="738"/>
      <c r="CM60" s="738"/>
      <c r="CN60" s="738">
        <v>0</v>
      </c>
      <c r="CO60" s="738"/>
    </row>
    <row r="61" spans="1:93" x14ac:dyDescent="0.25">
      <c r="A61" s="326" t="str">
        <f>Language!$G66</f>
        <v>Ajuste de avaliação Patrimonial, líquida</v>
      </c>
      <c r="B61" s="322">
        <v>92327</v>
      </c>
      <c r="C61" s="322">
        <v>91452</v>
      </c>
      <c r="D61" s="322">
        <v>90576</v>
      </c>
      <c r="E61" s="321">
        <v>89701</v>
      </c>
      <c r="F61" s="322">
        <v>88826</v>
      </c>
      <c r="G61" s="322">
        <v>87951</v>
      </c>
      <c r="H61" s="322">
        <v>0</v>
      </c>
      <c r="I61" s="321">
        <v>86201</v>
      </c>
      <c r="J61" s="322">
        <v>85326</v>
      </c>
      <c r="K61" s="322">
        <v>84451</v>
      </c>
      <c r="L61" s="322">
        <v>83575</v>
      </c>
      <c r="M61" s="321">
        <v>82701</v>
      </c>
      <c r="N61" s="322">
        <v>81826</v>
      </c>
      <c r="O61" s="322">
        <v>80950</v>
      </c>
      <c r="P61" s="322">
        <v>80075</v>
      </c>
      <c r="Q61" s="321">
        <v>79201</v>
      </c>
      <c r="R61" s="322">
        <v>78325</v>
      </c>
      <c r="S61" s="322">
        <v>77450</v>
      </c>
      <c r="T61" s="322">
        <v>76575</v>
      </c>
      <c r="U61" s="322">
        <v>0</v>
      </c>
      <c r="V61" s="322">
        <v>77450</v>
      </c>
      <c r="W61" s="322">
        <v>76575</v>
      </c>
      <c r="X61" s="321">
        <v>0</v>
      </c>
      <c r="Y61" s="322"/>
      <c r="Z61" s="322"/>
      <c r="AA61" s="322"/>
      <c r="AB61" s="322"/>
      <c r="AC61" s="322"/>
      <c r="AD61" s="322"/>
      <c r="AE61" s="321"/>
      <c r="AF61" s="322"/>
      <c r="AG61" s="322"/>
      <c r="AH61" s="322"/>
      <c r="AI61" s="322"/>
      <c r="AJ61" s="322"/>
      <c r="AK61" s="322"/>
      <c r="AL61" s="321"/>
      <c r="AM61" s="322"/>
      <c r="AN61" s="322"/>
      <c r="AO61" s="322"/>
      <c r="AP61" s="322"/>
      <c r="AQ61" s="322"/>
      <c r="AR61" s="322"/>
      <c r="AS61" s="321"/>
      <c r="AT61" s="322"/>
      <c r="AU61" s="322"/>
      <c r="AV61" s="322">
        <f t="shared" si="204"/>
        <v>0</v>
      </c>
      <c r="AW61" s="322">
        <f t="shared" si="204"/>
        <v>0</v>
      </c>
      <c r="AX61" s="322"/>
      <c r="AY61" s="322">
        <v>0</v>
      </c>
      <c r="AZ61" s="738">
        <v>0</v>
      </c>
      <c r="BA61" s="738">
        <v>0</v>
      </c>
      <c r="BB61" s="322">
        <f t="shared" si="205"/>
        <v>0</v>
      </c>
      <c r="BC61" s="322">
        <f t="shared" si="206"/>
        <v>0</v>
      </c>
      <c r="BD61" s="322">
        <f t="shared" si="207"/>
        <v>0</v>
      </c>
      <c r="BE61" s="738">
        <v>0</v>
      </c>
      <c r="BF61" s="738">
        <v>0</v>
      </c>
      <c r="BG61" s="738">
        <v>0</v>
      </c>
      <c r="BH61" s="738">
        <v>0</v>
      </c>
      <c r="BI61" s="322">
        <f t="shared" si="208"/>
        <v>0</v>
      </c>
      <c r="BJ61" s="322">
        <f t="shared" si="209"/>
        <v>0</v>
      </c>
      <c r="BK61" s="738">
        <f t="shared" si="220"/>
        <v>0</v>
      </c>
      <c r="BL61" s="738">
        <v>0</v>
      </c>
      <c r="BM61" s="738">
        <v>0</v>
      </c>
      <c r="BN61" s="738">
        <v>0</v>
      </c>
      <c r="BO61" s="738">
        <v>0</v>
      </c>
      <c r="BP61" s="322">
        <f t="shared" si="210"/>
        <v>0</v>
      </c>
      <c r="BQ61" s="322">
        <f t="shared" si="211"/>
        <v>0</v>
      </c>
      <c r="BR61" s="322">
        <f t="shared" si="212"/>
        <v>0</v>
      </c>
      <c r="BS61" s="738">
        <v>0</v>
      </c>
      <c r="BT61" s="738">
        <v>0</v>
      </c>
      <c r="BU61" s="738">
        <v>0</v>
      </c>
      <c r="BV61" s="738">
        <v>0</v>
      </c>
      <c r="BW61" s="322">
        <f t="shared" si="213"/>
        <v>0</v>
      </c>
      <c r="BX61" s="322">
        <f t="shared" si="214"/>
        <v>0</v>
      </c>
      <c r="BY61" s="322">
        <f t="shared" si="215"/>
        <v>0</v>
      </c>
      <c r="BZ61" s="738">
        <v>0</v>
      </c>
      <c r="CA61" s="738">
        <v>0</v>
      </c>
      <c r="CB61" s="738">
        <v>0</v>
      </c>
      <c r="CC61" s="738">
        <v>0</v>
      </c>
      <c r="CD61" s="322">
        <f t="shared" si="216"/>
        <v>0</v>
      </c>
      <c r="CE61" s="322">
        <f t="shared" si="217"/>
        <v>0</v>
      </c>
      <c r="CF61" s="322">
        <f t="shared" si="218"/>
        <v>0</v>
      </c>
      <c r="CG61" s="738">
        <v>0</v>
      </c>
      <c r="CH61" s="738">
        <v>0</v>
      </c>
      <c r="CI61" s="738">
        <v>0</v>
      </c>
      <c r="CJ61" s="738">
        <v>0</v>
      </c>
      <c r="CK61" s="322">
        <f t="shared" si="219"/>
        <v>0</v>
      </c>
      <c r="CL61" s="738"/>
      <c r="CM61" s="738"/>
      <c r="CN61" s="738">
        <v>0</v>
      </c>
      <c r="CO61" s="738"/>
    </row>
    <row r="62" spans="1:93" x14ac:dyDescent="0.25">
      <c r="A62" s="326" t="str">
        <f>Language!$G67</f>
        <v>Ágio em transações de capital</v>
      </c>
      <c r="B62" s="322">
        <v>0</v>
      </c>
      <c r="C62" s="322">
        <v>0</v>
      </c>
      <c r="D62" s="322">
        <v>0</v>
      </c>
      <c r="E62" s="321">
        <v>0</v>
      </c>
      <c r="F62" s="322">
        <v>0</v>
      </c>
      <c r="G62" s="322">
        <v>0</v>
      </c>
      <c r="H62" s="322">
        <v>87076</v>
      </c>
      <c r="I62" s="321">
        <v>0</v>
      </c>
      <c r="J62" s="322">
        <v>0</v>
      </c>
      <c r="K62" s="322">
        <v>0</v>
      </c>
      <c r="L62" s="322">
        <v>0</v>
      </c>
      <c r="M62" s="321">
        <v>0</v>
      </c>
      <c r="N62" s="322">
        <v>0</v>
      </c>
      <c r="O62" s="322">
        <v>0</v>
      </c>
      <c r="P62" s="322">
        <v>0</v>
      </c>
      <c r="Q62" s="321">
        <v>0</v>
      </c>
      <c r="R62" s="322">
        <v>0</v>
      </c>
      <c r="S62" s="322">
        <v>0</v>
      </c>
      <c r="T62" s="322">
        <v>0</v>
      </c>
      <c r="U62" s="322">
        <v>0</v>
      </c>
      <c r="V62" s="322">
        <v>0</v>
      </c>
      <c r="W62" s="322">
        <v>0</v>
      </c>
      <c r="X62" s="321">
        <v>0</v>
      </c>
      <c r="Y62" s="322"/>
      <c r="Z62" s="322"/>
      <c r="AA62" s="322"/>
      <c r="AB62" s="322"/>
      <c r="AC62" s="322"/>
      <c r="AD62" s="322"/>
      <c r="AE62" s="321"/>
      <c r="AF62" s="322"/>
      <c r="AG62" s="322"/>
      <c r="AH62" s="322"/>
      <c r="AI62" s="322"/>
      <c r="AJ62" s="322"/>
      <c r="AK62" s="322"/>
      <c r="AL62" s="321"/>
      <c r="AM62" s="322"/>
      <c r="AN62" s="322"/>
      <c r="AO62" s="322"/>
      <c r="AP62" s="322"/>
      <c r="AQ62" s="322"/>
      <c r="AR62" s="322"/>
      <c r="AS62" s="321"/>
      <c r="AT62" s="322"/>
      <c r="AU62" s="322"/>
      <c r="AV62" s="322">
        <f t="shared" si="204"/>
        <v>0</v>
      </c>
      <c r="AW62" s="322">
        <f t="shared" si="204"/>
        <v>0</v>
      </c>
      <c r="AX62" s="322"/>
      <c r="AY62" s="322">
        <v>0</v>
      </c>
      <c r="AZ62" s="738">
        <v>0</v>
      </c>
      <c r="BA62" s="738">
        <v>0</v>
      </c>
      <c r="BB62" s="322">
        <f t="shared" si="205"/>
        <v>0</v>
      </c>
      <c r="BC62" s="322">
        <f t="shared" si="206"/>
        <v>0</v>
      </c>
      <c r="BD62" s="322">
        <f t="shared" si="207"/>
        <v>0</v>
      </c>
      <c r="BE62" s="738">
        <v>0</v>
      </c>
      <c r="BF62" s="738">
        <v>0</v>
      </c>
      <c r="BG62" s="738">
        <v>0</v>
      </c>
      <c r="BH62" s="738">
        <v>0</v>
      </c>
      <c r="BI62" s="322">
        <f t="shared" si="208"/>
        <v>0</v>
      </c>
      <c r="BJ62" s="322">
        <f t="shared" si="209"/>
        <v>0</v>
      </c>
      <c r="BK62" s="738">
        <f t="shared" si="220"/>
        <v>0</v>
      </c>
      <c r="BL62" s="738">
        <v>0</v>
      </c>
      <c r="BM62" s="738">
        <v>0</v>
      </c>
      <c r="BN62" s="738">
        <v>0</v>
      </c>
      <c r="BO62" s="738">
        <v>0</v>
      </c>
      <c r="BP62" s="322">
        <f t="shared" si="210"/>
        <v>0</v>
      </c>
      <c r="BQ62" s="322">
        <f t="shared" si="211"/>
        <v>0</v>
      </c>
      <c r="BR62" s="322">
        <f t="shared" si="212"/>
        <v>0</v>
      </c>
      <c r="BS62" s="738">
        <v>0</v>
      </c>
      <c r="BT62" s="738">
        <v>0</v>
      </c>
      <c r="BU62" s="738">
        <v>0</v>
      </c>
      <c r="BV62" s="738">
        <v>0</v>
      </c>
      <c r="BW62" s="322">
        <f t="shared" si="213"/>
        <v>0</v>
      </c>
      <c r="BX62" s="322">
        <f t="shared" si="214"/>
        <v>0</v>
      </c>
      <c r="BY62" s="322">
        <f t="shared" si="215"/>
        <v>0</v>
      </c>
      <c r="BZ62" s="738">
        <v>0</v>
      </c>
      <c r="CA62" s="738">
        <v>0</v>
      </c>
      <c r="CB62" s="738">
        <v>0</v>
      </c>
      <c r="CC62" s="738">
        <v>0</v>
      </c>
      <c r="CD62" s="322">
        <f t="shared" si="216"/>
        <v>0</v>
      </c>
      <c r="CE62" s="322">
        <f t="shared" si="217"/>
        <v>0</v>
      </c>
      <c r="CF62" s="322">
        <f t="shared" si="218"/>
        <v>0</v>
      </c>
      <c r="CG62" s="738">
        <v>0</v>
      </c>
      <c r="CH62" s="738">
        <v>0</v>
      </c>
      <c r="CI62" s="738">
        <v>0</v>
      </c>
      <c r="CJ62" s="738">
        <v>0</v>
      </c>
      <c r="CK62" s="322">
        <f t="shared" si="219"/>
        <v>0</v>
      </c>
      <c r="CL62" s="738"/>
      <c r="CM62" s="738"/>
      <c r="CN62" s="738">
        <v>0</v>
      </c>
      <c r="CO62" s="738"/>
    </row>
    <row r="63" spans="1:93" x14ac:dyDescent="0.25">
      <c r="A63" s="326" t="str">
        <f>Language!$G68</f>
        <v>Reservas de Lucros</v>
      </c>
      <c r="B63" s="322">
        <v>2307</v>
      </c>
      <c r="C63" s="322">
        <v>4499</v>
      </c>
      <c r="D63" s="322">
        <v>7726</v>
      </c>
      <c r="E63" s="321">
        <v>10415</v>
      </c>
      <c r="F63" s="322">
        <v>14813</v>
      </c>
      <c r="G63" s="322">
        <v>20905</v>
      </c>
      <c r="H63" s="322">
        <v>25676</v>
      </c>
      <c r="I63" s="321">
        <v>20234</v>
      </c>
      <c r="J63" s="322">
        <v>20234</v>
      </c>
      <c r="K63" s="322">
        <v>20234</v>
      </c>
      <c r="L63" s="322">
        <v>28320</v>
      </c>
      <c r="M63" s="321">
        <v>47555</v>
      </c>
      <c r="N63" s="322">
        <v>61841</v>
      </c>
      <c r="O63" s="322">
        <v>58815</v>
      </c>
      <c r="P63" s="322">
        <v>53833</v>
      </c>
      <c r="Q63" s="321">
        <v>141961</v>
      </c>
      <c r="R63" s="322">
        <v>172860</v>
      </c>
      <c r="S63" s="322">
        <v>158800</v>
      </c>
      <c r="T63" s="322">
        <v>141651</v>
      </c>
      <c r="U63" s="322">
        <v>8426</v>
      </c>
      <c r="V63" s="322">
        <v>158800</v>
      </c>
      <c r="W63" s="322">
        <v>141651</v>
      </c>
      <c r="X63" s="321">
        <v>8426</v>
      </c>
      <c r="Y63" s="322"/>
      <c r="Z63" s="322"/>
      <c r="AA63" s="322"/>
      <c r="AB63" s="322"/>
      <c r="AC63" s="322"/>
      <c r="AD63" s="322"/>
      <c r="AE63" s="321"/>
      <c r="AF63" s="322"/>
      <c r="AG63" s="322"/>
      <c r="AH63" s="322"/>
      <c r="AI63" s="322">
        <f t="shared" si="4"/>
        <v>4457</v>
      </c>
      <c r="AJ63" s="322"/>
      <c r="AK63" s="322"/>
      <c r="AL63" s="321">
        <v>4457</v>
      </c>
      <c r="AM63" s="322">
        <v>4457</v>
      </c>
      <c r="AN63" s="322">
        <f t="shared" si="26"/>
        <v>4470</v>
      </c>
      <c r="AO63" s="322">
        <f t="shared" si="26"/>
        <v>4470</v>
      </c>
      <c r="AP63" s="322">
        <f t="shared" si="26"/>
        <v>156</v>
      </c>
      <c r="AQ63" s="322">
        <v>4470</v>
      </c>
      <c r="AR63" s="322">
        <v>4470</v>
      </c>
      <c r="AS63" s="321">
        <v>156</v>
      </c>
      <c r="AT63" s="322">
        <v>17362</v>
      </c>
      <c r="AU63" s="322">
        <f>AX63</f>
        <v>17384</v>
      </c>
      <c r="AV63" s="322">
        <f t="shared" si="204"/>
        <v>2658</v>
      </c>
      <c r="AW63" s="322">
        <f t="shared" si="204"/>
        <v>0</v>
      </c>
      <c r="AX63" s="322">
        <v>17384</v>
      </c>
      <c r="AY63" s="322">
        <v>2658</v>
      </c>
      <c r="AZ63" s="738">
        <v>0</v>
      </c>
      <c r="BA63" s="738">
        <v>0</v>
      </c>
      <c r="BB63" s="322">
        <f t="shared" si="205"/>
        <v>0</v>
      </c>
      <c r="BC63" s="322">
        <f t="shared" si="206"/>
        <v>0</v>
      </c>
      <c r="BD63" s="322">
        <f t="shared" si="207"/>
        <v>0</v>
      </c>
      <c r="BE63" s="738">
        <v>0</v>
      </c>
      <c r="BF63" s="738">
        <v>0</v>
      </c>
      <c r="BG63" s="738">
        <v>0</v>
      </c>
      <c r="BH63" s="738">
        <v>0</v>
      </c>
      <c r="BI63" s="322">
        <f t="shared" si="208"/>
        <v>24632</v>
      </c>
      <c r="BJ63" s="322">
        <f t="shared" si="209"/>
        <v>8603</v>
      </c>
      <c r="BK63" s="738">
        <f t="shared" si="220"/>
        <v>0</v>
      </c>
      <c r="BL63" s="322">
        <v>24632</v>
      </c>
      <c r="BM63" s="322">
        <v>8603</v>
      </c>
      <c r="BN63" s="322">
        <v>0</v>
      </c>
      <c r="BO63" s="322">
        <v>26437</v>
      </c>
      <c r="BP63" s="322">
        <f t="shared" si="210"/>
        <v>26437</v>
      </c>
      <c r="BQ63" s="322">
        <f t="shared" si="211"/>
        <v>0</v>
      </c>
      <c r="BR63" s="322">
        <f t="shared" si="212"/>
        <v>30042</v>
      </c>
      <c r="BS63" s="322">
        <v>26437</v>
      </c>
      <c r="BT63" s="322">
        <v>0</v>
      </c>
      <c r="BU63" s="322">
        <v>30042</v>
      </c>
      <c r="BV63" s="322">
        <v>0</v>
      </c>
      <c r="BW63" s="322">
        <f t="shared" si="213"/>
        <v>0</v>
      </c>
      <c r="BX63" s="322">
        <f t="shared" si="214"/>
        <v>0</v>
      </c>
      <c r="BY63" s="322">
        <f t="shared" si="215"/>
        <v>0</v>
      </c>
      <c r="BZ63" s="322">
        <v>0</v>
      </c>
      <c r="CA63" s="322">
        <v>0</v>
      </c>
      <c r="CB63" s="322">
        <v>0</v>
      </c>
      <c r="CC63" s="322">
        <v>0</v>
      </c>
      <c r="CD63" s="322">
        <f t="shared" si="216"/>
        <v>0</v>
      </c>
      <c r="CE63" s="322">
        <f t="shared" si="217"/>
        <v>0</v>
      </c>
      <c r="CF63" s="322">
        <f t="shared" si="218"/>
        <v>0</v>
      </c>
      <c r="CG63" s="322">
        <v>0</v>
      </c>
      <c r="CH63" s="322">
        <v>0</v>
      </c>
      <c r="CI63" s="322">
        <v>0</v>
      </c>
      <c r="CJ63" s="322">
        <v>0</v>
      </c>
      <c r="CK63" s="322">
        <f t="shared" si="219"/>
        <v>0</v>
      </c>
      <c r="CL63" s="322"/>
      <c r="CM63" s="322"/>
      <c r="CN63" s="322">
        <v>0</v>
      </c>
      <c r="CO63" s="322"/>
    </row>
    <row r="64" spans="1:93" x14ac:dyDescent="0.25">
      <c r="A64" s="326" t="str">
        <f>Language!$G69</f>
        <v>Lucro e prejuizos acumulados</v>
      </c>
      <c r="B64" s="322">
        <v>-823</v>
      </c>
      <c r="C64" s="322">
        <v>-1781</v>
      </c>
      <c r="D64" s="322">
        <v>-3226</v>
      </c>
      <c r="E64" s="321">
        <v>-719</v>
      </c>
      <c r="F64" s="322">
        <v>-376</v>
      </c>
      <c r="G64" s="322">
        <v>-730</v>
      </c>
      <c r="H64" s="322">
        <v>-693</v>
      </c>
      <c r="I64" s="321">
        <v>-1453</v>
      </c>
      <c r="J64" s="322">
        <v>8081</v>
      </c>
      <c r="K64" s="322">
        <v>11522</v>
      </c>
      <c r="L64" s="322">
        <v>7542</v>
      </c>
      <c r="M64" s="321">
        <v>6407</v>
      </c>
      <c r="N64" s="322">
        <v>171993</v>
      </c>
      <c r="O64" s="322">
        <v>165589</v>
      </c>
      <c r="P64" s="322">
        <v>153172</v>
      </c>
      <c r="Q64" s="321">
        <v>6599</v>
      </c>
      <c r="R64" s="322">
        <v>-2126</v>
      </c>
      <c r="S64" s="322">
        <v>-1887</v>
      </c>
      <c r="T64" s="322">
        <v>-2017</v>
      </c>
      <c r="U64" s="322">
        <v>8318</v>
      </c>
      <c r="V64" s="322">
        <v>-1887</v>
      </c>
      <c r="W64" s="322">
        <v>-2017</v>
      </c>
      <c r="X64" s="321">
        <v>8318</v>
      </c>
      <c r="Y64" s="322">
        <v>15223</v>
      </c>
      <c r="Z64" s="322">
        <f t="shared" si="22"/>
        <v>5642</v>
      </c>
      <c r="AA64" s="322">
        <f t="shared" si="23"/>
        <v>5808</v>
      </c>
      <c r="AB64" s="322">
        <f t="shared" si="24"/>
        <v>-2532</v>
      </c>
      <c r="AC64" s="322">
        <v>5642</v>
      </c>
      <c r="AD64" s="322">
        <v>5808</v>
      </c>
      <c r="AE64" s="321">
        <v>-2532</v>
      </c>
      <c r="AF64" s="322">
        <v>-1034</v>
      </c>
      <c r="AG64" s="322">
        <f t="shared" si="25"/>
        <v>1140</v>
      </c>
      <c r="AH64" s="322">
        <f t="shared" si="3"/>
        <v>2935</v>
      </c>
      <c r="AI64" s="322"/>
      <c r="AJ64" s="322">
        <v>1140</v>
      </c>
      <c r="AK64" s="322">
        <v>2935</v>
      </c>
      <c r="AL64" s="321"/>
      <c r="AM64" s="322">
        <v>1810</v>
      </c>
      <c r="AN64" s="322">
        <f t="shared" si="26"/>
        <v>3256</v>
      </c>
      <c r="AO64" s="322">
        <f t="shared" si="26"/>
        <v>10878</v>
      </c>
      <c r="AP64" s="322">
        <f t="shared" si="26"/>
        <v>17206</v>
      </c>
      <c r="AQ64" s="322">
        <v>3256</v>
      </c>
      <c r="AR64" s="322">
        <v>10878</v>
      </c>
      <c r="AS64" s="321">
        <v>17206</v>
      </c>
      <c r="AT64" s="322">
        <v>7155</v>
      </c>
      <c r="AU64" s="322">
        <f>AX64</f>
        <v>29327</v>
      </c>
      <c r="AV64" s="322">
        <f t="shared" si="204"/>
        <v>23113</v>
      </c>
      <c r="AW64" s="322">
        <f t="shared" si="204"/>
        <v>25181</v>
      </c>
      <c r="AX64" s="322">
        <v>29327</v>
      </c>
      <c r="AY64" s="322">
        <v>23113</v>
      </c>
      <c r="AZ64" s="322">
        <v>25181</v>
      </c>
      <c r="BA64" s="322">
        <v>32783</v>
      </c>
      <c r="BB64" s="322">
        <f t="shared" si="205"/>
        <v>33018</v>
      </c>
      <c r="BC64" s="322">
        <f t="shared" si="206"/>
        <v>29640</v>
      </c>
      <c r="BD64" s="322">
        <f t="shared" si="207"/>
        <v>31588</v>
      </c>
      <c r="BE64" s="322">
        <v>33018</v>
      </c>
      <c r="BF64" s="322">
        <v>29640</v>
      </c>
      <c r="BG64" s="322">
        <v>31588</v>
      </c>
      <c r="BH64" s="322">
        <v>33160</v>
      </c>
      <c r="BI64" s="322">
        <f t="shared" si="208"/>
        <v>4349</v>
      </c>
      <c r="BJ64" s="322">
        <f t="shared" si="209"/>
        <v>26534</v>
      </c>
      <c r="BK64" s="322">
        <f t="shared" si="220"/>
        <v>26437</v>
      </c>
      <c r="BL64" s="322">
        <v>4349</v>
      </c>
      <c r="BM64" s="322">
        <v>26534</v>
      </c>
      <c r="BN64" s="322">
        <v>26437</v>
      </c>
      <c r="BO64" s="322">
        <v>9448</v>
      </c>
      <c r="BP64" s="322">
        <f t="shared" si="210"/>
        <v>18840</v>
      </c>
      <c r="BQ64" s="322">
        <f t="shared" si="211"/>
        <v>30649</v>
      </c>
      <c r="BR64" s="322">
        <f t="shared" si="212"/>
        <v>0</v>
      </c>
      <c r="BS64" s="322">
        <v>18840</v>
      </c>
      <c r="BT64" s="322">
        <v>30649</v>
      </c>
      <c r="BU64" s="322">
        <v>0</v>
      </c>
      <c r="BV64" s="322">
        <v>41698</v>
      </c>
      <c r="BW64" s="322">
        <f t="shared" si="213"/>
        <v>22613</v>
      </c>
      <c r="BX64" s="322">
        <f t="shared" si="214"/>
        <v>34278</v>
      </c>
      <c r="BY64" s="322">
        <f t="shared" si="215"/>
        <v>33281</v>
      </c>
      <c r="BZ64" s="322">
        <v>22613</v>
      </c>
      <c r="CA64" s="322">
        <v>34278</v>
      </c>
      <c r="CB64" s="322">
        <v>33281</v>
      </c>
      <c r="CC64" s="322">
        <v>43987</v>
      </c>
      <c r="CD64" s="322">
        <f t="shared" si="216"/>
        <v>54840</v>
      </c>
      <c r="CE64" s="322">
        <f t="shared" si="217"/>
        <v>32984</v>
      </c>
      <c r="CF64" s="322">
        <f t="shared" si="218"/>
        <v>32836</v>
      </c>
      <c r="CG64" s="322">
        <v>54840</v>
      </c>
      <c r="CH64" s="322">
        <v>32984</v>
      </c>
      <c r="CI64" s="322">
        <v>32836</v>
      </c>
      <c r="CJ64" s="322">
        <v>42499</v>
      </c>
      <c r="CK64" s="322">
        <f t="shared" si="219"/>
        <v>20150</v>
      </c>
      <c r="CL64" s="322"/>
      <c r="CM64" s="322"/>
      <c r="CN64" s="322">
        <v>20150</v>
      </c>
      <c r="CO64" s="322"/>
    </row>
    <row r="65" spans="1:93" x14ac:dyDescent="0.25">
      <c r="A65" s="326" t="str">
        <f>Language!$G70</f>
        <v>Adiantamentos para futuro aumento de capital  - AFAC</v>
      </c>
      <c r="B65" s="322">
        <v>103750</v>
      </c>
      <c r="C65" s="322">
        <v>64458</v>
      </c>
      <c r="D65" s="322">
        <v>35431</v>
      </c>
      <c r="E65" s="321">
        <v>30437</v>
      </c>
      <c r="F65" s="322">
        <v>30426</v>
      </c>
      <c r="G65" s="322">
        <v>15364</v>
      </c>
      <c r="H65" s="322">
        <v>15353</v>
      </c>
      <c r="I65" s="321">
        <v>40328</v>
      </c>
      <c r="J65" s="322">
        <v>80828</v>
      </c>
      <c r="K65" s="322">
        <v>173798</v>
      </c>
      <c r="L65" s="322">
        <v>262706</v>
      </c>
      <c r="M65" s="321">
        <v>274371</v>
      </c>
      <c r="N65" s="322">
        <v>151444</v>
      </c>
      <c r="O65" s="322">
        <v>79614</v>
      </c>
      <c r="P65" s="322">
        <v>73630</v>
      </c>
      <c r="Q65" s="321">
        <v>36421</v>
      </c>
      <c r="R65" s="322">
        <v>42453</v>
      </c>
      <c r="S65" s="322">
        <v>57145</v>
      </c>
      <c r="T65" s="322">
        <v>0</v>
      </c>
      <c r="U65" s="322">
        <v>966</v>
      </c>
      <c r="V65" s="322">
        <v>57145</v>
      </c>
      <c r="W65" s="322">
        <v>0</v>
      </c>
      <c r="X65" s="321">
        <v>966</v>
      </c>
      <c r="Y65" s="322">
        <v>966</v>
      </c>
      <c r="Z65" s="322">
        <f t="shared" si="22"/>
        <v>1042</v>
      </c>
      <c r="AA65" s="322">
        <f t="shared" si="23"/>
        <v>243</v>
      </c>
      <c r="AB65" s="322"/>
      <c r="AC65" s="322">
        <v>1042</v>
      </c>
      <c r="AD65" s="322">
        <v>243</v>
      </c>
      <c r="AE65" s="321"/>
      <c r="AF65" s="322"/>
      <c r="AG65" s="322"/>
      <c r="AH65" s="322"/>
      <c r="AI65" s="322"/>
      <c r="AJ65" s="322"/>
      <c r="AK65" s="322"/>
      <c r="AL65" s="321"/>
      <c r="AM65" s="322"/>
      <c r="AN65" s="322"/>
      <c r="AO65" s="322"/>
      <c r="AP65" s="322"/>
      <c r="AQ65" s="322"/>
      <c r="AR65" s="322"/>
      <c r="AS65" s="321"/>
      <c r="AT65" s="322">
        <v>3</v>
      </c>
      <c r="AU65" s="322">
        <f>AX65</f>
        <v>13</v>
      </c>
      <c r="AV65" s="322">
        <f t="shared" si="204"/>
        <v>0</v>
      </c>
      <c r="AW65" s="322">
        <f t="shared" si="204"/>
        <v>0</v>
      </c>
      <c r="AX65" s="322">
        <v>13</v>
      </c>
      <c r="AY65" s="322">
        <v>0</v>
      </c>
      <c r="AZ65" s="738">
        <v>0</v>
      </c>
      <c r="BA65" s="738">
        <v>0</v>
      </c>
      <c r="BB65" s="322">
        <f t="shared" si="205"/>
        <v>0</v>
      </c>
      <c r="BC65" s="322">
        <f t="shared" si="206"/>
        <v>0</v>
      </c>
      <c r="BD65" s="322">
        <f t="shared" si="207"/>
        <v>0</v>
      </c>
      <c r="BE65" s="738">
        <v>0</v>
      </c>
      <c r="BF65" s="738">
        <v>0</v>
      </c>
      <c r="BG65" s="738"/>
      <c r="BH65" s="738"/>
      <c r="BI65" s="322">
        <f t="shared" si="208"/>
        <v>12</v>
      </c>
      <c r="BJ65" s="322">
        <f t="shared" si="209"/>
        <v>22</v>
      </c>
      <c r="BK65" s="322">
        <f t="shared" si="220"/>
        <v>22</v>
      </c>
      <c r="BL65" s="322">
        <v>12</v>
      </c>
      <c r="BM65" s="322">
        <v>22</v>
      </c>
      <c r="BN65" s="322">
        <v>22</v>
      </c>
      <c r="BO65" s="322">
        <v>25</v>
      </c>
      <c r="BP65" s="322">
        <f t="shared" si="210"/>
        <v>1</v>
      </c>
      <c r="BQ65" s="322">
        <f t="shared" si="211"/>
        <v>1</v>
      </c>
      <c r="BR65" s="322">
        <f t="shared" si="212"/>
        <v>1</v>
      </c>
      <c r="BS65" s="322">
        <v>1</v>
      </c>
      <c r="BT65" s="322">
        <v>1</v>
      </c>
      <c r="BU65" s="322">
        <v>1</v>
      </c>
      <c r="BV65" s="322">
        <v>1</v>
      </c>
      <c r="BW65" s="322">
        <f t="shared" si="213"/>
        <v>1</v>
      </c>
      <c r="BX65" s="322">
        <f t="shared" si="214"/>
        <v>0</v>
      </c>
      <c r="BY65" s="322">
        <f t="shared" si="215"/>
        <v>1</v>
      </c>
      <c r="BZ65" s="322">
        <v>1</v>
      </c>
      <c r="CA65" s="322">
        <v>0</v>
      </c>
      <c r="CB65" s="322">
        <v>1</v>
      </c>
      <c r="CC65" s="322">
        <v>1</v>
      </c>
      <c r="CD65" s="322">
        <f t="shared" si="216"/>
        <v>1</v>
      </c>
      <c r="CE65" s="322">
        <f t="shared" si="217"/>
        <v>2</v>
      </c>
      <c r="CF65" s="322">
        <f t="shared" si="218"/>
        <v>2</v>
      </c>
      <c r="CG65" s="322">
        <v>1</v>
      </c>
      <c r="CH65" s="322">
        <v>2</v>
      </c>
      <c r="CI65" s="322">
        <v>2</v>
      </c>
      <c r="CJ65" s="322">
        <v>1979</v>
      </c>
      <c r="CK65" s="322">
        <f t="shared" si="219"/>
        <v>2580</v>
      </c>
      <c r="CL65" s="322"/>
      <c r="CM65" s="322"/>
      <c r="CN65" s="322">
        <v>2580</v>
      </c>
      <c r="CO65" s="322"/>
    </row>
    <row r="66" spans="1:93" x14ac:dyDescent="0.25">
      <c r="A66" s="326" t="str">
        <f>Language!$G71</f>
        <v>Reservas Legal</v>
      </c>
      <c r="B66" s="322">
        <v>0</v>
      </c>
      <c r="C66" s="322">
        <v>0</v>
      </c>
      <c r="D66" s="322">
        <v>0</v>
      </c>
      <c r="E66" s="321">
        <v>0</v>
      </c>
      <c r="F66" s="322">
        <v>644</v>
      </c>
      <c r="G66" s="322">
        <v>0</v>
      </c>
      <c r="H66" s="322">
        <v>644</v>
      </c>
      <c r="I66" s="321">
        <v>0</v>
      </c>
      <c r="J66" s="322">
        <v>0</v>
      </c>
      <c r="K66" s="322">
        <v>0</v>
      </c>
      <c r="L66" s="322">
        <v>0</v>
      </c>
      <c r="M66" s="321">
        <v>0</v>
      </c>
      <c r="N66" s="322">
        <v>0</v>
      </c>
      <c r="O66" s="322">
        <v>1458</v>
      </c>
      <c r="P66" s="322">
        <v>1458</v>
      </c>
      <c r="Q66" s="321">
        <v>7996</v>
      </c>
      <c r="R66" s="322">
        <v>7996</v>
      </c>
      <c r="S66" s="322">
        <v>7996</v>
      </c>
      <c r="T66" s="322">
        <v>11113</v>
      </c>
      <c r="U66" s="322">
        <v>0</v>
      </c>
      <c r="V66" s="322">
        <v>7996</v>
      </c>
      <c r="W66" s="322">
        <v>11113</v>
      </c>
      <c r="X66" s="321">
        <v>0</v>
      </c>
      <c r="Y66" s="322"/>
      <c r="Z66" s="322"/>
      <c r="AA66" s="322"/>
      <c r="AB66" s="322"/>
      <c r="AC66" s="322"/>
      <c r="AD66" s="322"/>
      <c r="AE66" s="321"/>
      <c r="AF66" s="322"/>
      <c r="AG66" s="322"/>
      <c r="AH66" s="322"/>
      <c r="AI66" s="322">
        <f t="shared" si="4"/>
        <v>13</v>
      </c>
      <c r="AJ66" s="322"/>
      <c r="AK66" s="322"/>
      <c r="AL66" s="321">
        <v>13</v>
      </c>
      <c r="AM66" s="322">
        <v>13</v>
      </c>
      <c r="AN66" s="322"/>
      <c r="AO66" s="322"/>
      <c r="AP66" s="322">
        <f>AS66</f>
        <v>13</v>
      </c>
      <c r="AQ66" s="322"/>
      <c r="AR66" s="322"/>
      <c r="AS66" s="321">
        <v>13</v>
      </c>
      <c r="AT66" s="322">
        <v>13</v>
      </c>
      <c r="AU66" s="322">
        <f>AX66</f>
        <v>1450</v>
      </c>
      <c r="AV66" s="322">
        <f t="shared" si="204"/>
        <v>13</v>
      </c>
      <c r="AW66" s="322">
        <f t="shared" si="204"/>
        <v>13</v>
      </c>
      <c r="AX66" s="322">
        <v>1450</v>
      </c>
      <c r="AY66" s="322">
        <v>13</v>
      </c>
      <c r="AZ66" s="322">
        <v>13</v>
      </c>
      <c r="BA66" s="322">
        <v>13</v>
      </c>
      <c r="BB66" s="322">
        <f t="shared" si="205"/>
        <v>13</v>
      </c>
      <c r="BC66" s="322">
        <f t="shared" si="206"/>
        <v>13</v>
      </c>
      <c r="BD66" s="322">
        <f t="shared" si="207"/>
        <v>13</v>
      </c>
      <c r="BE66" s="322">
        <v>13</v>
      </c>
      <c r="BF66" s="322">
        <v>13</v>
      </c>
      <c r="BG66" s="322">
        <v>13</v>
      </c>
      <c r="BH66" s="322">
        <v>13</v>
      </c>
      <c r="BI66" s="322">
        <f t="shared" si="208"/>
        <v>13</v>
      </c>
      <c r="BJ66" s="322">
        <f t="shared" si="209"/>
        <v>13</v>
      </c>
      <c r="BK66" s="322">
        <f t="shared" si="220"/>
        <v>13</v>
      </c>
      <c r="BL66" s="322">
        <v>13</v>
      </c>
      <c r="BM66" s="322">
        <v>13</v>
      </c>
      <c r="BN66" s="322">
        <v>13</v>
      </c>
      <c r="BO66" s="322">
        <v>13</v>
      </c>
      <c r="BP66" s="322">
        <f t="shared" si="210"/>
        <v>13</v>
      </c>
      <c r="BQ66" s="322">
        <f t="shared" si="211"/>
        <v>13</v>
      </c>
      <c r="BR66" s="322">
        <f t="shared" si="212"/>
        <v>18</v>
      </c>
      <c r="BS66" s="322">
        <v>13</v>
      </c>
      <c r="BT66" s="322">
        <v>13</v>
      </c>
      <c r="BU66" s="322">
        <v>18</v>
      </c>
      <c r="BV66" s="322">
        <v>18</v>
      </c>
      <c r="BW66" s="322">
        <f t="shared" si="213"/>
        <v>18</v>
      </c>
      <c r="BX66" s="322">
        <f t="shared" si="214"/>
        <v>18</v>
      </c>
      <c r="BY66" s="322">
        <f t="shared" si="215"/>
        <v>18</v>
      </c>
      <c r="BZ66" s="322">
        <v>18</v>
      </c>
      <c r="CA66" s="322">
        <v>18</v>
      </c>
      <c r="CB66" s="322">
        <v>18</v>
      </c>
      <c r="CC66" s="322">
        <v>18</v>
      </c>
      <c r="CD66" s="322">
        <f t="shared" si="216"/>
        <v>18</v>
      </c>
      <c r="CE66" s="322">
        <f t="shared" si="217"/>
        <v>18</v>
      </c>
      <c r="CF66" s="322">
        <f t="shared" si="218"/>
        <v>18</v>
      </c>
      <c r="CG66" s="322">
        <v>18</v>
      </c>
      <c r="CH66" s="322">
        <v>18</v>
      </c>
      <c r="CI66" s="322">
        <v>18</v>
      </c>
      <c r="CJ66" s="322">
        <v>18</v>
      </c>
      <c r="CK66" s="322">
        <f t="shared" si="219"/>
        <v>18</v>
      </c>
      <c r="CL66" s="322"/>
      <c r="CM66" s="322"/>
      <c r="CN66" s="322">
        <v>18</v>
      </c>
      <c r="CO66" s="322"/>
    </row>
    <row r="67" spans="1:93" s="377" customFormat="1" ht="13" x14ac:dyDescent="0.3">
      <c r="A67" s="327" t="str">
        <f>Language!$G72</f>
        <v>Participações de Acionistas Não Controladores</v>
      </c>
      <c r="B67" s="328">
        <v>0</v>
      </c>
      <c r="C67" s="328">
        <v>0</v>
      </c>
      <c r="D67" s="328">
        <v>0</v>
      </c>
      <c r="E67" s="329">
        <v>0</v>
      </c>
      <c r="F67" s="328">
        <v>0</v>
      </c>
      <c r="G67" s="328">
        <v>0</v>
      </c>
      <c r="H67" s="328">
        <v>0</v>
      </c>
      <c r="I67" s="329">
        <v>0</v>
      </c>
      <c r="J67" s="328">
        <v>0</v>
      </c>
      <c r="K67" s="328">
        <v>0</v>
      </c>
      <c r="L67" s="328">
        <v>0</v>
      </c>
      <c r="M67" s="329">
        <v>0</v>
      </c>
      <c r="N67" s="328">
        <v>0</v>
      </c>
      <c r="O67" s="328">
        <v>0</v>
      </c>
      <c r="P67" s="328">
        <v>0</v>
      </c>
      <c r="Q67" s="329">
        <v>0</v>
      </c>
      <c r="R67" s="328">
        <v>0</v>
      </c>
      <c r="S67" s="328">
        <v>0</v>
      </c>
      <c r="T67" s="328">
        <v>0</v>
      </c>
      <c r="U67" s="328">
        <v>0</v>
      </c>
      <c r="V67" s="328">
        <v>0</v>
      </c>
      <c r="W67" s="328">
        <v>0</v>
      </c>
      <c r="X67" s="329">
        <v>0</v>
      </c>
      <c r="Y67" s="328"/>
      <c r="Z67" s="328"/>
      <c r="AA67" s="328"/>
      <c r="AB67" s="328"/>
      <c r="AC67" s="328"/>
      <c r="AD67" s="328"/>
      <c r="AE67" s="329"/>
      <c r="AF67" s="328"/>
      <c r="AG67" s="328"/>
      <c r="AH67" s="328"/>
      <c r="AI67" s="328"/>
      <c r="AJ67" s="328"/>
      <c r="AK67" s="328"/>
      <c r="AL67" s="329"/>
      <c r="AM67" s="328"/>
      <c r="AN67" s="328"/>
      <c r="AO67" s="328"/>
      <c r="AP67" s="328"/>
      <c r="AQ67" s="328"/>
      <c r="AR67" s="328"/>
      <c r="AS67" s="329"/>
      <c r="AT67" s="328"/>
      <c r="AU67" s="328"/>
      <c r="AV67" s="328"/>
      <c r="AW67" s="328"/>
      <c r="AX67" s="328"/>
      <c r="AY67" s="328"/>
      <c r="AZ67" s="328"/>
      <c r="BA67" s="328"/>
      <c r="BB67" s="328"/>
      <c r="BC67" s="328"/>
      <c r="BD67" s="328"/>
      <c r="BE67" s="328"/>
      <c r="BF67" s="328"/>
      <c r="BG67" s="328"/>
      <c r="BH67" s="328"/>
      <c r="BI67" s="328"/>
      <c r="BJ67" s="328"/>
      <c r="BK67" s="328"/>
      <c r="BL67" s="328"/>
      <c r="BM67" s="328"/>
      <c r="BN67" s="328"/>
      <c r="BO67" s="328"/>
      <c r="BP67" s="328"/>
      <c r="BQ67" s="328"/>
      <c r="BR67" s="328"/>
      <c r="BS67" s="328"/>
      <c r="BT67" s="328"/>
      <c r="BU67" s="328"/>
      <c r="BV67" s="328"/>
      <c r="BW67" s="328"/>
      <c r="BX67" s="328"/>
      <c r="BY67" s="328"/>
      <c r="BZ67" s="328"/>
      <c r="CA67" s="328"/>
      <c r="CB67" s="328"/>
      <c r="CC67" s="328"/>
      <c r="CD67" s="328"/>
      <c r="CE67" s="328"/>
      <c r="CF67" s="328"/>
      <c r="CG67" s="328"/>
      <c r="CH67" s="328"/>
      <c r="CI67" s="328"/>
      <c r="CJ67" s="328"/>
      <c r="CK67" s="328"/>
      <c r="CL67" s="328"/>
      <c r="CM67" s="328"/>
      <c r="CN67" s="328"/>
      <c r="CO67" s="328"/>
    </row>
    <row r="68" spans="1:93" x14ac:dyDescent="0.25">
      <c r="M68" s="330"/>
      <c r="N68" s="330"/>
      <c r="O68" s="330"/>
      <c r="P68" s="330"/>
      <c r="Q68" s="330"/>
      <c r="R68" s="330"/>
      <c r="S68" s="330"/>
      <c r="T68" s="330"/>
      <c r="U68" s="330"/>
      <c r="V68" s="330"/>
      <c r="W68" s="330"/>
      <c r="X68" s="330"/>
      <c r="Y68" s="330"/>
      <c r="Z68" s="330"/>
      <c r="AA68" s="330"/>
      <c r="AB68" s="330"/>
      <c r="AC68" s="330"/>
      <c r="AD68" s="330"/>
      <c r="AE68" s="330"/>
      <c r="AF68" s="330"/>
      <c r="AG68" s="330"/>
      <c r="AH68" s="330"/>
      <c r="AI68" s="330"/>
      <c r="AJ68" s="330"/>
      <c r="AK68" s="330"/>
      <c r="AL68" s="330"/>
      <c r="AM68" s="330"/>
      <c r="AN68" s="330"/>
      <c r="AO68" s="330"/>
      <c r="AP68" s="330"/>
      <c r="AQ68" s="330"/>
      <c r="AR68" s="330"/>
      <c r="AS68" s="330"/>
      <c r="AT68" s="330"/>
      <c r="AU68" s="330"/>
      <c r="AV68" s="330"/>
      <c r="AW68" s="330"/>
      <c r="AX68" s="330"/>
      <c r="AY68" s="330"/>
      <c r="AZ68" s="330"/>
      <c r="BA68" s="330"/>
      <c r="BB68" s="330"/>
      <c r="BC68" s="330"/>
      <c r="BD68" s="330"/>
      <c r="BE68" s="330"/>
    </row>
    <row r="69" spans="1:93" x14ac:dyDescent="0.25">
      <c r="M69" s="311"/>
      <c r="N69" s="311"/>
      <c r="O69" s="311"/>
      <c r="P69" s="311"/>
      <c r="Q69" s="311"/>
      <c r="R69" s="311"/>
      <c r="S69" s="311"/>
      <c r="T69" s="311"/>
      <c r="U69" s="311"/>
      <c r="V69" s="311"/>
      <c r="W69" s="311"/>
      <c r="X69" s="311"/>
      <c r="Y69" s="311"/>
      <c r="Z69" s="311"/>
      <c r="AA69" s="311"/>
      <c r="AB69" s="311"/>
      <c r="AC69" s="311"/>
      <c r="AD69" s="311"/>
      <c r="AE69" s="311"/>
      <c r="AF69" s="311"/>
      <c r="AG69" s="311"/>
      <c r="AH69" s="311"/>
      <c r="AI69" s="311"/>
      <c r="AJ69" s="311"/>
      <c r="AK69" s="311"/>
      <c r="AL69" s="311"/>
      <c r="AM69" s="311"/>
      <c r="AN69" s="311"/>
      <c r="AO69" s="311"/>
      <c r="AP69" s="311"/>
      <c r="AQ69" s="311"/>
      <c r="AR69" s="311"/>
      <c r="AS69" s="311"/>
      <c r="AT69" s="311"/>
      <c r="AU69" s="311"/>
      <c r="AV69" s="311"/>
      <c r="AW69" s="311"/>
      <c r="AX69" s="311"/>
      <c r="AY69" s="311"/>
      <c r="AZ69" s="311"/>
      <c r="BA69" s="311"/>
      <c r="BB69" s="311"/>
      <c r="BC69" s="311"/>
      <c r="BD69" s="311"/>
      <c r="BE69" s="311"/>
    </row>
    <row r="70" spans="1:93" s="377" customFormat="1" ht="13" x14ac:dyDescent="0.3">
      <c r="A70" s="314" t="str">
        <f>Language!$G75</f>
        <v>DRE</v>
      </c>
      <c r="B70" s="331" t="str">
        <f t="shared" ref="B70:Q70" si="221">B5</f>
        <v>1T11</v>
      </c>
      <c r="C70" s="331" t="str">
        <f t="shared" si="221"/>
        <v>2T11</v>
      </c>
      <c r="D70" s="331" t="str">
        <f t="shared" si="221"/>
        <v>3T11</v>
      </c>
      <c r="E70" s="332" t="str">
        <f t="shared" si="221"/>
        <v>4T11</v>
      </c>
      <c r="F70" s="331" t="str">
        <f t="shared" si="221"/>
        <v>1T12</v>
      </c>
      <c r="G70" s="331" t="str">
        <f t="shared" si="221"/>
        <v>2T12</v>
      </c>
      <c r="H70" s="331" t="str">
        <f t="shared" si="221"/>
        <v>3T12</v>
      </c>
      <c r="I70" s="332" t="str">
        <f t="shared" si="221"/>
        <v>4T12</v>
      </c>
      <c r="J70" s="331" t="str">
        <f t="shared" si="221"/>
        <v>1T13</v>
      </c>
      <c r="K70" s="331" t="str">
        <f t="shared" si="221"/>
        <v>2T13</v>
      </c>
      <c r="L70" s="331" t="str">
        <f t="shared" si="221"/>
        <v>3T13</v>
      </c>
      <c r="M70" s="332" t="str">
        <f t="shared" si="221"/>
        <v>4T13</v>
      </c>
      <c r="N70" s="331" t="str">
        <f t="shared" si="221"/>
        <v>1T14</v>
      </c>
      <c r="O70" s="331" t="str">
        <f t="shared" si="221"/>
        <v>2T14</v>
      </c>
      <c r="P70" s="331" t="str">
        <f t="shared" si="221"/>
        <v>3T14</v>
      </c>
      <c r="Q70" s="332" t="str">
        <f t="shared" si="221"/>
        <v>4T14</v>
      </c>
      <c r="R70" s="331" t="s">
        <v>241</v>
      </c>
      <c r="S70" s="331" t="s">
        <v>242</v>
      </c>
      <c r="T70" s="331" t="s">
        <v>243</v>
      </c>
      <c r="U70" s="331" t="s">
        <v>244</v>
      </c>
      <c r="V70" s="331" t="s">
        <v>638</v>
      </c>
      <c r="W70" s="331" t="s">
        <v>635</v>
      </c>
      <c r="X70" s="332" t="s">
        <v>636</v>
      </c>
      <c r="Y70" s="331" t="str">
        <f>Y5</f>
        <v>1T16</v>
      </c>
      <c r="Z70" s="331" t="str">
        <f>Z5</f>
        <v>2T16</v>
      </c>
      <c r="AA70" s="331" t="str">
        <f>AA5</f>
        <v>3T16</v>
      </c>
      <c r="AB70" s="331" t="s">
        <v>248</v>
      </c>
      <c r="AC70" s="331" t="str">
        <f t="shared" ref="AC70:AQ70" si="222">AC5</f>
        <v>6M16</v>
      </c>
      <c r="AD70" s="331" t="str">
        <f t="shared" si="222"/>
        <v>9M16</v>
      </c>
      <c r="AE70" s="332" t="str">
        <f t="shared" si="222"/>
        <v>12M16</v>
      </c>
      <c r="AF70" s="331" t="str">
        <f t="shared" si="222"/>
        <v>1T17</v>
      </c>
      <c r="AG70" s="331" t="str">
        <f t="shared" si="222"/>
        <v>2T17</v>
      </c>
      <c r="AH70" s="331" t="str">
        <f t="shared" si="222"/>
        <v>3T17</v>
      </c>
      <c r="AI70" s="331" t="str">
        <f t="shared" si="222"/>
        <v>4T17</v>
      </c>
      <c r="AJ70" s="331" t="str">
        <f t="shared" si="222"/>
        <v>6M17</v>
      </c>
      <c r="AK70" s="331" t="str">
        <f t="shared" si="222"/>
        <v>9M17</v>
      </c>
      <c r="AL70" s="332" t="str">
        <f t="shared" si="222"/>
        <v>12M17</v>
      </c>
      <c r="AM70" s="331" t="str">
        <f t="shared" si="222"/>
        <v>1T18</v>
      </c>
      <c r="AN70" s="331" t="str">
        <f t="shared" si="222"/>
        <v>2T18</v>
      </c>
      <c r="AO70" s="331" t="str">
        <f t="shared" ref="AO70:AP70" si="223">AO5</f>
        <v>3T18</v>
      </c>
      <c r="AP70" s="331" t="str">
        <f t="shared" si="223"/>
        <v>4T18</v>
      </c>
      <c r="AQ70" s="331" t="str">
        <f t="shared" si="222"/>
        <v>6M18</v>
      </c>
      <c r="AR70" s="331" t="str">
        <f t="shared" ref="AR70:AS70" si="224">AR5</f>
        <v>9M18</v>
      </c>
      <c r="AS70" s="332" t="str">
        <f t="shared" si="224"/>
        <v>12M18</v>
      </c>
      <c r="AT70" s="331" t="str">
        <f t="shared" ref="AT70" si="225">AT5</f>
        <v>1T19</v>
      </c>
      <c r="AU70" s="331" t="s">
        <v>258</v>
      </c>
      <c r="AV70" s="331" t="str">
        <f t="shared" ref="AV70:AW70" si="226">AV5</f>
        <v>3T19</v>
      </c>
      <c r="AW70" s="331" t="str">
        <f t="shared" si="226"/>
        <v>4T19</v>
      </c>
      <c r="AX70" s="331" t="s">
        <v>688</v>
      </c>
      <c r="AY70" s="331" t="str">
        <f t="shared" ref="AY70:AZ70" si="227">AY5</f>
        <v>9M19</v>
      </c>
      <c r="AZ70" s="331" t="str">
        <f t="shared" si="227"/>
        <v>12M19</v>
      </c>
      <c r="BA70" s="331" t="str">
        <f t="shared" ref="BA70:BD70" si="228">BA5</f>
        <v>1T20</v>
      </c>
      <c r="BB70" s="331" t="str">
        <f t="shared" si="228"/>
        <v>2T20</v>
      </c>
      <c r="BC70" s="331" t="str">
        <f t="shared" si="228"/>
        <v>3T20</v>
      </c>
      <c r="BD70" s="331" t="str">
        <f t="shared" si="228"/>
        <v>4T20</v>
      </c>
      <c r="BE70" s="331" t="str">
        <f t="shared" ref="BE70:BF70" si="229">BE5</f>
        <v>6M20</v>
      </c>
      <c r="BF70" s="331" t="str">
        <f t="shared" si="229"/>
        <v>9M20</v>
      </c>
      <c r="BG70" s="331" t="str">
        <f t="shared" ref="BG70:BH70" si="230">BG5</f>
        <v>12M20</v>
      </c>
      <c r="BH70" s="331" t="str">
        <f t="shared" si="230"/>
        <v>1T21</v>
      </c>
      <c r="BI70" s="331" t="str">
        <f t="shared" ref="BI70:BL70" si="231">BI5</f>
        <v>2T21</v>
      </c>
      <c r="BJ70" s="331" t="str">
        <f t="shared" si="231"/>
        <v>3T21</v>
      </c>
      <c r="BK70" s="331" t="str">
        <f t="shared" si="231"/>
        <v>4T21</v>
      </c>
      <c r="BL70" s="331" t="str">
        <f t="shared" si="231"/>
        <v>6M21</v>
      </c>
      <c r="BM70" s="331" t="str">
        <f t="shared" ref="BM70:BN70" si="232">BM5</f>
        <v>9M21</v>
      </c>
      <c r="BN70" s="331" t="str">
        <f t="shared" si="232"/>
        <v>12M21</v>
      </c>
      <c r="BO70" s="331" t="str">
        <f t="shared" ref="BO70:BS70" si="233">BO5</f>
        <v>1T22</v>
      </c>
      <c r="BP70" s="331" t="str">
        <f t="shared" si="233"/>
        <v>2T22</v>
      </c>
      <c r="BQ70" s="331" t="str">
        <f t="shared" si="233"/>
        <v>3T22</v>
      </c>
      <c r="BR70" s="331" t="str">
        <f t="shared" si="233"/>
        <v>4T22</v>
      </c>
      <c r="BS70" s="331" t="str">
        <f t="shared" si="233"/>
        <v>6M22</v>
      </c>
      <c r="BT70" s="331" t="str">
        <f t="shared" ref="BT70:BU70" si="234">BT5</f>
        <v>9M22</v>
      </c>
      <c r="BU70" s="331" t="str">
        <f t="shared" si="234"/>
        <v>12M22</v>
      </c>
      <c r="BV70" s="331" t="str">
        <f t="shared" ref="BV70:BZ70" si="235">BV5</f>
        <v>1T23</v>
      </c>
      <c r="BW70" s="331" t="str">
        <f t="shared" si="235"/>
        <v>2T23</v>
      </c>
      <c r="BX70" s="331" t="str">
        <f t="shared" si="235"/>
        <v>3T23</v>
      </c>
      <c r="BY70" s="331" t="str">
        <f t="shared" si="235"/>
        <v>4T23</v>
      </c>
      <c r="BZ70" s="331" t="str">
        <f t="shared" si="235"/>
        <v>6M23</v>
      </c>
      <c r="CA70" s="331" t="str">
        <f t="shared" ref="CA70:CB70" si="236">CA5</f>
        <v>9M23</v>
      </c>
      <c r="CB70" s="331" t="str">
        <f t="shared" si="236"/>
        <v>12M23</v>
      </c>
      <c r="CC70" s="331" t="str">
        <f t="shared" ref="CC70:CD70" si="237">CC5</f>
        <v>1T24</v>
      </c>
      <c r="CD70" s="331" t="str">
        <f t="shared" si="237"/>
        <v>2T24</v>
      </c>
      <c r="CE70" s="331" t="str">
        <f t="shared" ref="CE70:CG70" si="238">CE5</f>
        <v>3T24</v>
      </c>
      <c r="CF70" s="331" t="str">
        <f t="shared" si="238"/>
        <v>4T24</v>
      </c>
      <c r="CG70" s="331" t="str">
        <f t="shared" si="238"/>
        <v>6M24</v>
      </c>
      <c r="CH70" s="331" t="str">
        <f t="shared" ref="CH70:CI70" si="239">CH5</f>
        <v>9M24</v>
      </c>
      <c r="CI70" s="331" t="str">
        <f t="shared" si="239"/>
        <v>12M24</v>
      </c>
      <c r="CJ70" s="331" t="s">
        <v>763</v>
      </c>
      <c r="CK70" s="331" t="str">
        <f t="shared" ref="CK70:CO70" si="240">CK5</f>
        <v>2T25</v>
      </c>
      <c r="CL70" s="331" t="str">
        <f t="shared" si="240"/>
        <v>3T25</v>
      </c>
      <c r="CM70" s="331" t="str">
        <f t="shared" si="240"/>
        <v>4T25</v>
      </c>
      <c r="CN70" s="331" t="str">
        <f t="shared" si="240"/>
        <v>6M25</v>
      </c>
      <c r="CO70" s="331" t="str">
        <f t="shared" si="240"/>
        <v>9M25</v>
      </c>
    </row>
    <row r="71" spans="1:93" ht="13" x14ac:dyDescent="0.3">
      <c r="A71" s="333" t="str">
        <f>Language!$G76</f>
        <v>Receita Bruta</v>
      </c>
      <c r="B71" s="333">
        <f t="shared" ref="B71:Q71" si="241">SUM(B72,B73,B75,B74,B76)</f>
        <v>24024</v>
      </c>
      <c r="C71" s="333">
        <f t="shared" si="241"/>
        <v>24250</v>
      </c>
      <c r="D71" s="333">
        <f t="shared" si="241"/>
        <v>26072</v>
      </c>
      <c r="E71" s="334">
        <f t="shared" si="241"/>
        <v>27180</v>
      </c>
      <c r="F71" s="333">
        <f t="shared" si="241"/>
        <v>28038</v>
      </c>
      <c r="G71" s="333">
        <f t="shared" si="241"/>
        <v>30277</v>
      </c>
      <c r="H71" s="333">
        <f t="shared" si="241"/>
        <v>28826</v>
      </c>
      <c r="I71" s="334">
        <f t="shared" si="241"/>
        <v>27924</v>
      </c>
      <c r="J71" s="333">
        <f t="shared" si="241"/>
        <v>42656</v>
      </c>
      <c r="K71" s="333">
        <f t="shared" si="241"/>
        <v>29696</v>
      </c>
      <c r="L71" s="333">
        <f t="shared" si="241"/>
        <v>32660</v>
      </c>
      <c r="M71" s="334">
        <f t="shared" si="241"/>
        <v>70401.997943999988</v>
      </c>
      <c r="N71" s="333">
        <f t="shared" si="241"/>
        <v>256773</v>
      </c>
      <c r="O71" s="333">
        <f t="shared" si="241"/>
        <v>54523</v>
      </c>
      <c r="P71" s="333">
        <f t="shared" si="241"/>
        <v>49197.902534548019</v>
      </c>
      <c r="Q71" s="334">
        <f t="shared" si="241"/>
        <v>57174.097465451981</v>
      </c>
      <c r="R71" s="333">
        <v>134983</v>
      </c>
      <c r="S71" s="333">
        <v>63230</v>
      </c>
      <c r="T71" s="333">
        <v>68304</v>
      </c>
      <c r="U71" s="333">
        <v>50141</v>
      </c>
      <c r="V71" s="333">
        <v>198213</v>
      </c>
      <c r="W71" s="333">
        <v>266517</v>
      </c>
      <c r="X71" s="334">
        <v>316658</v>
      </c>
      <c r="Y71" s="333">
        <f t="shared" ref="Y71:Z71" si="242">SUM(Y72,Y73,Y75,Y74,Y76)</f>
        <v>15867</v>
      </c>
      <c r="Z71" s="333">
        <f t="shared" si="242"/>
        <v>14407</v>
      </c>
      <c r="AA71" s="333">
        <f t="shared" ref="AA71:AB71" si="243">SUM(AA72,AA73,AA75,AA74,AA76)</f>
        <v>16586</v>
      </c>
      <c r="AB71" s="333">
        <f t="shared" si="243"/>
        <v>17073</v>
      </c>
      <c r="AC71" s="333">
        <f t="shared" ref="AC71:AD71" si="244">SUM(AC72,AC73,AC75,AC74,AC76)</f>
        <v>30274</v>
      </c>
      <c r="AD71" s="333">
        <f t="shared" si="244"/>
        <v>46860</v>
      </c>
      <c r="AE71" s="334">
        <f t="shared" ref="AE71:AJ71" si="245">SUM(AE72,AE73,AE75,AE74,AE76)</f>
        <v>63933</v>
      </c>
      <c r="AF71" s="333">
        <f t="shared" si="245"/>
        <v>16771</v>
      </c>
      <c r="AG71" s="333">
        <f t="shared" si="245"/>
        <v>16196</v>
      </c>
      <c r="AH71" s="333">
        <f t="shared" si="245"/>
        <v>18385</v>
      </c>
      <c r="AI71" s="333">
        <f t="shared" si="245"/>
        <v>33820</v>
      </c>
      <c r="AJ71" s="333">
        <f t="shared" si="245"/>
        <v>32967</v>
      </c>
      <c r="AK71" s="333">
        <f t="shared" ref="AK71" si="246">SUM(AK72,AK73,AK75,AK74,AK76)</f>
        <v>51352</v>
      </c>
      <c r="AL71" s="334">
        <f>SUM(AL72,AL73,AL75,AL74)-AL76</f>
        <v>72316</v>
      </c>
      <c r="AM71" s="333">
        <f>SUM(AM72,AM73,AM75,AM74)-AM76</f>
        <v>18708</v>
      </c>
      <c r="AN71" s="333">
        <f>AQ71-AM71</f>
        <v>18347</v>
      </c>
      <c r="AO71" s="333">
        <f>AR71-AQ71</f>
        <v>27711</v>
      </c>
      <c r="AP71" s="333">
        <f>AS71-AR71</f>
        <v>28459.722999999998</v>
      </c>
      <c r="AQ71" s="333">
        <f t="shared" ref="AQ71:BA71" si="247">SUM(AQ72,AQ73,AQ75,AQ74)-AQ76</f>
        <v>37055</v>
      </c>
      <c r="AR71" s="333">
        <f t="shared" si="247"/>
        <v>64766</v>
      </c>
      <c r="AS71" s="334">
        <f t="shared" si="247"/>
        <v>93225.722999999998</v>
      </c>
      <c r="AT71" s="333">
        <f t="shared" si="247"/>
        <v>28008.45</v>
      </c>
      <c r="AU71" s="333">
        <f t="shared" si="247"/>
        <v>27190.45</v>
      </c>
      <c r="AV71" s="333">
        <f t="shared" si="247"/>
        <v>31187.1</v>
      </c>
      <c r="AW71" s="333">
        <f t="shared" si="247"/>
        <v>31636</v>
      </c>
      <c r="AX71" s="333">
        <f t="shared" si="247"/>
        <v>55198.9</v>
      </c>
      <c r="AY71" s="361">
        <f t="shared" si="247"/>
        <v>86386</v>
      </c>
      <c r="AZ71" s="333">
        <f t="shared" si="247"/>
        <v>118022</v>
      </c>
      <c r="BA71" s="333">
        <f t="shared" si="247"/>
        <v>31534</v>
      </c>
      <c r="BB71" s="333">
        <f t="shared" ref="BB71:BD71" si="248">SUM(BB72,BB73,BB75,BB74)-BB76</f>
        <v>30202</v>
      </c>
      <c r="BC71" s="333">
        <f t="shared" si="248"/>
        <v>35228</v>
      </c>
      <c r="BD71" s="333">
        <f t="shared" si="248"/>
        <v>33987</v>
      </c>
      <c r="BE71" s="333">
        <f>SUM(BE72,BE73,BE75,BE74)-BE76</f>
        <v>61736</v>
      </c>
      <c r="BF71" s="361">
        <f>SUM(BF72,BF73,BF75,BF74)-BF76</f>
        <v>96964</v>
      </c>
      <c r="BG71" s="361">
        <f>SUM(BG72,BG73,BG75,BG74)-BG76</f>
        <v>130951</v>
      </c>
      <c r="BH71" s="361">
        <f>SUM(BH72,BH73,BH75,BH74)-BH76</f>
        <v>33154</v>
      </c>
      <c r="BI71" s="361">
        <f t="shared" ref="BI71:BL71" si="249">SUM(BI72,BI73,BI75,BI74)-BI76</f>
        <v>33142</v>
      </c>
      <c r="BJ71" s="361">
        <f t="shared" si="249"/>
        <v>34631</v>
      </c>
      <c r="BK71" s="361">
        <f t="shared" si="249"/>
        <v>34309</v>
      </c>
      <c r="BL71" s="361">
        <f t="shared" si="249"/>
        <v>66296</v>
      </c>
      <c r="BM71" s="361">
        <f t="shared" ref="BM71:BN71" si="250">SUM(BM72,BM73,BM75,BM74)-BM76</f>
        <v>100927</v>
      </c>
      <c r="BN71" s="361">
        <f t="shared" si="250"/>
        <v>135236</v>
      </c>
      <c r="BO71" s="361">
        <f t="shared" ref="BO71:BS71" si="251">SUM(BO72,BO73,BO75,BO74)-BO76</f>
        <v>33683</v>
      </c>
      <c r="BP71" s="361">
        <f t="shared" si="251"/>
        <v>33894</v>
      </c>
      <c r="BQ71" s="361">
        <f t="shared" si="251"/>
        <v>38820</v>
      </c>
      <c r="BR71" s="361">
        <f t="shared" si="251"/>
        <v>38836</v>
      </c>
      <c r="BS71" s="361">
        <f t="shared" si="251"/>
        <v>67577</v>
      </c>
      <c r="BT71" s="361">
        <f t="shared" ref="BT71:BU71" si="252">SUM(BT72,BT73,BT75,BT74)-BT76</f>
        <v>106397</v>
      </c>
      <c r="BU71" s="361">
        <f t="shared" si="252"/>
        <v>145233</v>
      </c>
      <c r="BV71" s="361">
        <f t="shared" ref="BV71:BZ71" si="253">SUM(BV72,BV73,BV75,BV74)-BV76</f>
        <v>40760</v>
      </c>
      <c r="BW71" s="361">
        <f t="shared" si="253"/>
        <v>39376</v>
      </c>
      <c r="BX71" s="361">
        <f t="shared" si="253"/>
        <v>40198</v>
      </c>
      <c r="BY71" s="361">
        <f t="shared" si="253"/>
        <v>41222</v>
      </c>
      <c r="BZ71" s="361">
        <f t="shared" si="253"/>
        <v>80136</v>
      </c>
      <c r="CA71" s="361">
        <f t="shared" ref="CA71:CB71" si="254">SUM(CA72,CA73,CA75,CA74)-CA76</f>
        <v>120334</v>
      </c>
      <c r="CB71" s="361">
        <f t="shared" si="254"/>
        <v>161556</v>
      </c>
      <c r="CC71" s="361">
        <f t="shared" ref="CC71:CD71" si="255">SUM(CC72,CC73,CC75,CC74)-CC76</f>
        <v>40666</v>
      </c>
      <c r="CD71" s="361">
        <f t="shared" si="255"/>
        <v>39655</v>
      </c>
      <c r="CE71" s="361">
        <f t="shared" ref="CE71:CG71" si="256">SUM(CE72,CE73,CE75,CE74)-CE76</f>
        <v>39802</v>
      </c>
      <c r="CF71" s="361">
        <f t="shared" si="256"/>
        <v>40167</v>
      </c>
      <c r="CG71" s="361">
        <f t="shared" si="256"/>
        <v>80321</v>
      </c>
      <c r="CH71" s="361">
        <f t="shared" ref="CH71:CI71" si="257">SUM(CH72,CH73,CH75,CH74)-CH76</f>
        <v>120123</v>
      </c>
      <c r="CI71" s="361">
        <f t="shared" si="257"/>
        <v>160290</v>
      </c>
      <c r="CJ71" s="361">
        <v>41202</v>
      </c>
      <c r="CK71" s="361">
        <f t="shared" ref="CK71:CO71" si="258">SUM(CK72,CK73,CK75,CK74)-CK76</f>
        <v>40356</v>
      </c>
      <c r="CL71" s="361">
        <f t="shared" si="258"/>
        <v>0</v>
      </c>
      <c r="CM71" s="361">
        <f t="shared" si="258"/>
        <v>0</v>
      </c>
      <c r="CN71" s="361">
        <f t="shared" si="258"/>
        <v>81558</v>
      </c>
      <c r="CO71" s="361">
        <f t="shared" si="258"/>
        <v>0</v>
      </c>
    </row>
    <row r="72" spans="1:93" x14ac:dyDescent="0.25">
      <c r="A72" s="335" t="str">
        <f>Language!$G77</f>
        <v>Rio Verde</v>
      </c>
      <c r="B72" s="336">
        <v>24024</v>
      </c>
      <c r="C72" s="336">
        <v>24250</v>
      </c>
      <c r="D72" s="336">
        <v>26072</v>
      </c>
      <c r="E72" s="337">
        <v>27180</v>
      </c>
      <c r="F72" s="336">
        <v>28038</v>
      </c>
      <c r="G72" s="336">
        <v>30277</v>
      </c>
      <c r="H72" s="336">
        <v>28826</v>
      </c>
      <c r="I72" s="337">
        <v>27924</v>
      </c>
      <c r="J72" s="336">
        <v>28912</v>
      </c>
      <c r="K72" s="336">
        <v>29696</v>
      </c>
      <c r="L72" s="336">
        <v>31290.245620000002</v>
      </c>
      <c r="M72" s="337">
        <v>33798.972323999988</v>
      </c>
      <c r="N72" s="336">
        <v>33929</v>
      </c>
      <c r="O72" s="336">
        <f>31069+1</f>
        <v>31070</v>
      </c>
      <c r="P72" s="336">
        <v>32230.792870000005</v>
      </c>
      <c r="Q72" s="337">
        <v>32246.207129999995</v>
      </c>
      <c r="R72" s="336">
        <v>31646</v>
      </c>
      <c r="S72" s="336">
        <v>32427</v>
      </c>
      <c r="T72" s="336">
        <v>35805</v>
      </c>
      <c r="U72" s="336">
        <v>22305</v>
      </c>
      <c r="V72" s="336">
        <v>64073</v>
      </c>
      <c r="W72" s="336">
        <v>99878</v>
      </c>
      <c r="X72" s="337">
        <v>122183</v>
      </c>
      <c r="Y72" s="336">
        <v>0</v>
      </c>
      <c r="Z72" s="336">
        <f>AC72-Y72</f>
        <v>0</v>
      </c>
      <c r="AA72" s="336">
        <f>AD72-Z72-Y72</f>
        <v>0</v>
      </c>
      <c r="AB72" s="336">
        <f t="shared" ref="AB72:AB136" si="259">AE72-Y72-Z72-AA72</f>
        <v>0</v>
      </c>
      <c r="AC72" s="336">
        <v>0</v>
      </c>
      <c r="AD72" s="336">
        <v>0</v>
      </c>
      <c r="AE72" s="337">
        <v>0</v>
      </c>
      <c r="AF72" s="336">
        <v>0</v>
      </c>
      <c r="AG72" s="336">
        <f>AJ72-AF72</f>
        <v>0</v>
      </c>
      <c r="AH72" s="336">
        <f>AK72-AG72-AF72</f>
        <v>0</v>
      </c>
      <c r="AI72" s="336">
        <f t="shared" ref="AI72:AI76" si="260">AL72-AF72-AG72-AH72</f>
        <v>0</v>
      </c>
      <c r="AJ72" s="336">
        <v>0</v>
      </c>
      <c r="AK72" s="336">
        <v>0</v>
      </c>
      <c r="AL72" s="337">
        <v>0</v>
      </c>
      <c r="AM72" s="336">
        <v>0</v>
      </c>
      <c r="AN72" s="336">
        <f t="shared" ref="AN72:AN135" si="261">AQ72-AM72</f>
        <v>0</v>
      </c>
      <c r="AO72" s="336">
        <f t="shared" ref="AO72:AP135" si="262">AR72-AQ72</f>
        <v>0</v>
      </c>
      <c r="AP72" s="336">
        <f t="shared" si="262"/>
        <v>0</v>
      </c>
      <c r="AQ72" s="336">
        <v>0</v>
      </c>
      <c r="AR72" s="336"/>
      <c r="AS72" s="337"/>
      <c r="AT72" s="336"/>
      <c r="AU72" s="336"/>
      <c r="AV72" s="336"/>
      <c r="AW72" s="336"/>
      <c r="AX72" s="336"/>
      <c r="AY72" s="336"/>
      <c r="AZ72" s="336"/>
      <c r="BA72" s="336"/>
      <c r="BB72" s="336"/>
      <c r="BC72" s="336"/>
      <c r="BD72" s="336"/>
      <c r="BE72" s="336"/>
      <c r="BF72" s="336"/>
      <c r="BG72" s="336"/>
      <c r="BH72" s="336"/>
      <c r="BI72" s="336"/>
      <c r="BJ72" s="336"/>
      <c r="BK72" s="336"/>
      <c r="BL72" s="336"/>
      <c r="BM72" s="336"/>
      <c r="BN72" s="336"/>
      <c r="BO72" s="336"/>
      <c r="BP72" s="336"/>
      <c r="BQ72" s="336"/>
      <c r="BR72" s="336"/>
      <c r="BS72" s="336"/>
      <c r="BT72" s="336"/>
      <c r="BU72" s="336"/>
      <c r="BV72" s="336"/>
      <c r="BW72" s="336"/>
      <c r="BX72" s="336"/>
      <c r="BY72" s="336"/>
      <c r="BZ72" s="336"/>
      <c r="CA72" s="336"/>
      <c r="CB72" s="336"/>
      <c r="CC72" s="336"/>
      <c r="CD72" s="336"/>
      <c r="CE72" s="336"/>
      <c r="CF72" s="336"/>
      <c r="CG72" s="336"/>
      <c r="CH72" s="336"/>
      <c r="CI72" s="336"/>
      <c r="CJ72" s="336"/>
      <c r="CK72" s="336"/>
      <c r="CL72" s="336"/>
      <c r="CM72" s="336"/>
      <c r="CN72" s="336"/>
      <c r="CO72" s="336"/>
    </row>
    <row r="73" spans="1:93" x14ac:dyDescent="0.25">
      <c r="A73" s="335" t="str">
        <f>Language!$G78</f>
        <v>Rio Canoas</v>
      </c>
      <c r="B73" s="336">
        <v>0</v>
      </c>
      <c r="C73" s="336">
        <v>0</v>
      </c>
      <c r="D73" s="336">
        <v>0</v>
      </c>
      <c r="E73" s="337">
        <v>0</v>
      </c>
      <c r="F73" s="336">
        <v>0</v>
      </c>
      <c r="G73" s="336">
        <v>0</v>
      </c>
      <c r="H73" s="336">
        <v>0</v>
      </c>
      <c r="I73" s="337">
        <v>0</v>
      </c>
      <c r="J73" s="336">
        <v>0</v>
      </c>
      <c r="K73" s="336">
        <v>0</v>
      </c>
      <c r="L73" s="336">
        <v>1369.7543799999985</v>
      </c>
      <c r="M73" s="337">
        <v>34958.02562</v>
      </c>
      <c r="N73" s="336">
        <v>222844</v>
      </c>
      <c r="O73" s="336">
        <f>23334+119</f>
        <v>23453</v>
      </c>
      <c r="P73" s="336">
        <v>16966.97086567001</v>
      </c>
      <c r="Q73" s="337">
        <v>14028.02913432999</v>
      </c>
      <c r="R73" s="336">
        <v>90681</v>
      </c>
      <c r="S73" s="336">
        <v>18596</v>
      </c>
      <c r="T73" s="336">
        <v>18638</v>
      </c>
      <c r="U73" s="336">
        <v>13878</v>
      </c>
      <c r="V73" s="336">
        <v>109277</v>
      </c>
      <c r="W73" s="336">
        <v>127915</v>
      </c>
      <c r="X73" s="337">
        <v>141793</v>
      </c>
      <c r="Y73" s="336">
        <v>0</v>
      </c>
      <c r="Z73" s="336">
        <f t="shared" ref="Z73:Z136" si="263">AC73-Y73</f>
        <v>0</v>
      </c>
      <c r="AA73" s="336">
        <f>AD73-Z73-Y73</f>
        <v>0</v>
      </c>
      <c r="AB73" s="336">
        <f t="shared" si="259"/>
        <v>0</v>
      </c>
      <c r="AC73" s="336">
        <v>0</v>
      </c>
      <c r="AD73" s="336">
        <v>0</v>
      </c>
      <c r="AE73" s="337">
        <v>0</v>
      </c>
      <c r="AF73" s="336">
        <v>0</v>
      </c>
      <c r="AG73" s="336">
        <f>AJ73-AF73</f>
        <v>0</v>
      </c>
      <c r="AH73" s="336">
        <f>AK73-AG73-AF73</f>
        <v>0</v>
      </c>
      <c r="AI73" s="336">
        <f t="shared" si="260"/>
        <v>0</v>
      </c>
      <c r="AJ73" s="336">
        <v>0</v>
      </c>
      <c r="AK73" s="336">
        <v>0</v>
      </c>
      <c r="AL73" s="337">
        <v>0</v>
      </c>
      <c r="AM73" s="336">
        <v>0</v>
      </c>
      <c r="AN73" s="336">
        <f t="shared" si="261"/>
        <v>0</v>
      </c>
      <c r="AO73" s="336">
        <f t="shared" si="262"/>
        <v>0</v>
      </c>
      <c r="AP73" s="336">
        <f t="shared" si="262"/>
        <v>0</v>
      </c>
      <c r="AQ73" s="336">
        <v>0</v>
      </c>
      <c r="AR73" s="336"/>
      <c r="AS73" s="337"/>
      <c r="AT73" s="336"/>
      <c r="AU73" s="336"/>
      <c r="AV73" s="336"/>
      <c r="AW73" s="336"/>
      <c r="AX73" s="336"/>
      <c r="AY73" s="336"/>
      <c r="AZ73" s="336"/>
      <c r="BA73" s="336"/>
      <c r="BB73" s="336"/>
      <c r="BC73" s="336"/>
      <c r="BD73" s="336"/>
      <c r="BE73" s="336"/>
      <c r="BF73" s="336"/>
      <c r="BG73" s="336"/>
      <c r="BH73" s="336"/>
      <c r="BI73" s="336"/>
      <c r="BJ73" s="336"/>
      <c r="BK73" s="336"/>
      <c r="BL73" s="336"/>
      <c r="BM73" s="336"/>
      <c r="BN73" s="336"/>
      <c r="BO73" s="336"/>
      <c r="BP73" s="336"/>
      <c r="BQ73" s="336"/>
      <c r="BR73" s="336"/>
      <c r="BS73" s="336"/>
      <c r="BT73" s="336"/>
      <c r="BU73" s="336"/>
      <c r="BV73" s="336"/>
      <c r="BW73" s="336"/>
      <c r="BX73" s="336"/>
      <c r="BY73" s="336"/>
      <c r="BZ73" s="336"/>
      <c r="CA73" s="336"/>
      <c r="CB73" s="336"/>
      <c r="CC73" s="336"/>
      <c r="CD73" s="336"/>
      <c r="CE73" s="336"/>
      <c r="CF73" s="336"/>
      <c r="CG73" s="336"/>
      <c r="CH73" s="336"/>
      <c r="CI73" s="336"/>
      <c r="CJ73" s="336"/>
      <c r="CK73" s="336"/>
      <c r="CL73" s="336"/>
      <c r="CM73" s="336"/>
      <c r="CN73" s="336"/>
      <c r="CO73" s="336"/>
    </row>
    <row r="74" spans="1:93" x14ac:dyDescent="0.25">
      <c r="A74" s="335" t="str">
        <f>Language!$G79</f>
        <v>Tijoá</v>
      </c>
      <c r="B74" s="336">
        <v>0</v>
      </c>
      <c r="C74" s="336">
        <v>0</v>
      </c>
      <c r="D74" s="336">
        <v>0</v>
      </c>
      <c r="E74" s="337">
        <v>0</v>
      </c>
      <c r="F74" s="336">
        <v>0</v>
      </c>
      <c r="G74" s="336">
        <v>0</v>
      </c>
      <c r="H74" s="336">
        <v>0</v>
      </c>
      <c r="I74" s="337">
        <v>0</v>
      </c>
      <c r="J74" s="336">
        <v>0</v>
      </c>
      <c r="K74" s="336">
        <v>0</v>
      </c>
      <c r="L74" s="336">
        <v>0</v>
      </c>
      <c r="M74" s="337">
        <v>0</v>
      </c>
      <c r="N74" s="336">
        <v>0</v>
      </c>
      <c r="O74" s="336">
        <v>0</v>
      </c>
      <c r="P74" s="336">
        <v>0</v>
      </c>
      <c r="Q74" s="337">
        <v>0</v>
      </c>
      <c r="R74" s="336">
        <v>12232</v>
      </c>
      <c r="S74" s="336">
        <v>11807</v>
      </c>
      <c r="T74" s="336">
        <v>13322</v>
      </c>
      <c r="U74" s="336">
        <v>13477</v>
      </c>
      <c r="V74" s="336">
        <v>24039</v>
      </c>
      <c r="W74" s="336">
        <v>37361</v>
      </c>
      <c r="X74" s="337">
        <v>50838</v>
      </c>
      <c r="Y74" s="336">
        <v>15867</v>
      </c>
      <c r="Z74" s="336">
        <f t="shared" si="263"/>
        <v>14407</v>
      </c>
      <c r="AA74" s="336">
        <f>AD74-Z74-Y74</f>
        <v>15246</v>
      </c>
      <c r="AB74" s="336">
        <f t="shared" si="259"/>
        <v>16600</v>
      </c>
      <c r="AC74" s="336">
        <v>30274</v>
      </c>
      <c r="AD74" s="336">
        <v>45520</v>
      </c>
      <c r="AE74" s="337">
        <v>62120</v>
      </c>
      <c r="AF74" s="336">
        <v>16285</v>
      </c>
      <c r="AG74" s="336">
        <f>AJ74-AF74</f>
        <v>15710</v>
      </c>
      <c r="AH74" s="336">
        <f>AK74-AG74-AF74</f>
        <v>17671</v>
      </c>
      <c r="AI74" s="336">
        <f t="shared" si="260"/>
        <v>17354</v>
      </c>
      <c r="AJ74" s="336">
        <v>31995</v>
      </c>
      <c r="AK74" s="336">
        <v>49666</v>
      </c>
      <c r="AL74" s="337">
        <v>67020</v>
      </c>
      <c r="AM74" s="336">
        <v>17712</v>
      </c>
      <c r="AN74" s="336">
        <f t="shared" si="261"/>
        <v>17596</v>
      </c>
      <c r="AO74" s="336">
        <f t="shared" si="262"/>
        <v>26975</v>
      </c>
      <c r="AP74" s="336">
        <f t="shared" si="262"/>
        <v>27723</v>
      </c>
      <c r="AQ74" s="336">
        <v>35308</v>
      </c>
      <c r="AR74" s="336">
        <v>62283</v>
      </c>
      <c r="AS74" s="337">
        <v>90006</v>
      </c>
      <c r="AT74" s="336">
        <v>27260</v>
      </c>
      <c r="AU74" s="336">
        <f>AX74-AT74</f>
        <v>26443</v>
      </c>
      <c r="AV74" s="336">
        <f>AY74-AX74</f>
        <v>30439</v>
      </c>
      <c r="AW74" s="336">
        <f>AZ74-AY74</f>
        <v>31085</v>
      </c>
      <c r="AX74" s="336">
        <v>53703</v>
      </c>
      <c r="AY74" s="336">
        <v>84142</v>
      </c>
      <c r="AZ74" s="336">
        <v>115227</v>
      </c>
      <c r="BA74" s="336">
        <v>31475</v>
      </c>
      <c r="BB74" s="336">
        <f>BE74-BA74</f>
        <v>30203</v>
      </c>
      <c r="BC74" s="336">
        <f>BF74-BE74</f>
        <v>35228</v>
      </c>
      <c r="BD74" s="336">
        <f>BG74-BF74</f>
        <v>33987</v>
      </c>
      <c r="BE74" s="336">
        <v>61678</v>
      </c>
      <c r="BF74" s="336">
        <v>96906</v>
      </c>
      <c r="BG74" s="336">
        <v>130893</v>
      </c>
      <c r="BH74" s="336">
        <v>33154</v>
      </c>
      <c r="BI74" s="336">
        <f>BL74-BH74</f>
        <v>33142</v>
      </c>
      <c r="BJ74" s="336">
        <f>BM74-BL74</f>
        <v>34631</v>
      </c>
      <c r="BK74" s="336">
        <f>BN74-BM74</f>
        <v>34309</v>
      </c>
      <c r="BL74" s="383">
        <v>66296</v>
      </c>
      <c r="BM74" s="383">
        <v>100927</v>
      </c>
      <c r="BN74" s="383">
        <v>135236</v>
      </c>
      <c r="BO74" s="383">
        <v>33683</v>
      </c>
      <c r="BP74" s="383">
        <f>BS74-BO74</f>
        <v>33894</v>
      </c>
      <c r="BQ74" s="383">
        <f>BT74-BS74</f>
        <v>38820</v>
      </c>
      <c r="BR74" s="383">
        <f>BU74-BT74</f>
        <v>38836</v>
      </c>
      <c r="BS74" s="383">
        <v>67577</v>
      </c>
      <c r="BT74" s="383">
        <v>106397</v>
      </c>
      <c r="BU74" s="383">
        <v>145233</v>
      </c>
      <c r="BV74" s="383">
        <v>40760</v>
      </c>
      <c r="BW74" s="383">
        <f>BZ74-BV74</f>
        <v>39376</v>
      </c>
      <c r="BX74" s="383">
        <f t="shared" ref="BX74:BY76" si="264">CA74-BZ74</f>
        <v>40198</v>
      </c>
      <c r="BY74" s="383">
        <f t="shared" si="264"/>
        <v>41222</v>
      </c>
      <c r="BZ74" s="383">
        <v>80136</v>
      </c>
      <c r="CA74" s="383">
        <v>120334</v>
      </c>
      <c r="CB74" s="383">
        <v>161556</v>
      </c>
      <c r="CC74" s="383">
        <v>40666</v>
      </c>
      <c r="CD74" s="383">
        <f>CG74-CC74</f>
        <v>39655</v>
      </c>
      <c r="CE74" s="383">
        <f>CH74-CG74</f>
        <v>39802</v>
      </c>
      <c r="CF74" s="383">
        <f>CI74-CH74</f>
        <v>40167</v>
      </c>
      <c r="CG74" s="383">
        <v>80321</v>
      </c>
      <c r="CH74" s="383">
        <v>120123</v>
      </c>
      <c r="CI74" s="383">
        <v>160290</v>
      </c>
      <c r="CJ74" s="383">
        <v>41202</v>
      </c>
      <c r="CK74" s="383">
        <f>CN74-CJ74</f>
        <v>40356</v>
      </c>
      <c r="CL74" s="383"/>
      <c r="CM74" s="383"/>
      <c r="CN74" s="383">
        <v>81558</v>
      </c>
      <c r="CO74" s="383"/>
    </row>
    <row r="75" spans="1:93" x14ac:dyDescent="0.25">
      <c r="A75" s="335" t="str">
        <f>Language!$G80</f>
        <v>Outros</v>
      </c>
      <c r="B75" s="336">
        <v>0</v>
      </c>
      <c r="C75" s="336">
        <v>0</v>
      </c>
      <c r="D75" s="336">
        <v>0</v>
      </c>
      <c r="E75" s="337">
        <v>0</v>
      </c>
      <c r="F75" s="336">
        <v>0</v>
      </c>
      <c r="G75" s="336">
        <v>0</v>
      </c>
      <c r="H75" s="336">
        <v>0</v>
      </c>
      <c r="I75" s="337">
        <v>0</v>
      </c>
      <c r="J75" s="336">
        <v>13744</v>
      </c>
      <c r="K75" s="336">
        <v>0</v>
      </c>
      <c r="L75" s="336">
        <v>0</v>
      </c>
      <c r="M75" s="337">
        <v>1645</v>
      </c>
      <c r="N75" s="336">
        <v>0</v>
      </c>
      <c r="O75" s="336">
        <v>0</v>
      </c>
      <c r="P75" s="336">
        <v>0.13879887800430879</v>
      </c>
      <c r="Q75" s="337">
        <v>10899.861201121996</v>
      </c>
      <c r="R75" s="336">
        <v>424</v>
      </c>
      <c r="S75" s="336">
        <v>400</v>
      </c>
      <c r="T75" s="336">
        <v>539</v>
      </c>
      <c r="U75" s="336">
        <v>481</v>
      </c>
      <c r="V75" s="336">
        <v>824</v>
      </c>
      <c r="W75" s="336">
        <v>1363</v>
      </c>
      <c r="X75" s="337">
        <v>1844</v>
      </c>
      <c r="Y75" s="336">
        <v>0</v>
      </c>
      <c r="Z75" s="336">
        <f t="shared" si="263"/>
        <v>0</v>
      </c>
      <c r="AA75" s="336">
        <f>AD75-Z75-Y75</f>
        <v>1340</v>
      </c>
      <c r="AB75" s="336">
        <f t="shared" si="259"/>
        <v>473</v>
      </c>
      <c r="AC75" s="336">
        <v>0</v>
      </c>
      <c r="AD75" s="336">
        <v>1340</v>
      </c>
      <c r="AE75" s="337">
        <v>1813</v>
      </c>
      <c r="AF75" s="336">
        <v>486</v>
      </c>
      <c r="AG75" s="336">
        <f>AJ75-AF75</f>
        <v>486</v>
      </c>
      <c r="AH75" s="336">
        <f>AK75-AG75-AF75</f>
        <v>714</v>
      </c>
      <c r="AI75" s="336">
        <f t="shared" si="260"/>
        <v>10038</v>
      </c>
      <c r="AJ75" s="336">
        <v>972</v>
      </c>
      <c r="AK75" s="336">
        <v>1686</v>
      </c>
      <c r="AL75" s="337">
        <v>11724</v>
      </c>
      <c r="AM75" s="336">
        <v>2570</v>
      </c>
      <c r="AN75" s="336">
        <f t="shared" si="261"/>
        <v>2325</v>
      </c>
      <c r="AO75" s="336">
        <f t="shared" si="262"/>
        <v>2211</v>
      </c>
      <c r="AP75" s="336">
        <f t="shared" si="262"/>
        <v>2014</v>
      </c>
      <c r="AQ75" s="336">
        <v>4895</v>
      </c>
      <c r="AR75" s="336">
        <v>7106</v>
      </c>
      <c r="AS75" s="337">
        <v>9120</v>
      </c>
      <c r="AT75" s="336">
        <v>2026</v>
      </c>
      <c r="AU75" s="336">
        <f t="shared" ref="AU75:AU76" si="265">AX75-AT75</f>
        <v>2025</v>
      </c>
      <c r="AV75" s="336">
        <f t="shared" ref="AV75:AW76" si="266">AY75-AX75</f>
        <v>2163</v>
      </c>
      <c r="AW75" s="336">
        <f t="shared" si="266"/>
        <v>551</v>
      </c>
      <c r="AX75" s="336">
        <v>4051</v>
      </c>
      <c r="AY75" s="336">
        <v>6214</v>
      </c>
      <c r="AZ75" s="336">
        <v>6765</v>
      </c>
      <c r="BA75" s="336">
        <v>59</v>
      </c>
      <c r="BB75" s="336">
        <f t="shared" ref="BB75:BB76" si="267">BE75-BA75</f>
        <v>-1</v>
      </c>
      <c r="BC75" s="336">
        <f t="shared" ref="BC75:BC76" si="268">BF75-BE75</f>
        <v>0</v>
      </c>
      <c r="BD75" s="336">
        <f t="shared" ref="BD75:BD76" si="269">BG75-BF75</f>
        <v>0</v>
      </c>
      <c r="BE75" s="336">
        <v>58</v>
      </c>
      <c r="BF75" s="336">
        <v>58</v>
      </c>
      <c r="BG75" s="336">
        <v>58</v>
      </c>
      <c r="BH75" s="336">
        <v>0</v>
      </c>
      <c r="BI75" s="336">
        <f t="shared" ref="BI75:BI76" si="270">BL75-BH75</f>
        <v>0</v>
      </c>
      <c r="BJ75" s="336">
        <f t="shared" ref="BJ75:BJ76" si="271">BM75-BL75</f>
        <v>0</v>
      </c>
      <c r="BK75" s="336">
        <f t="shared" ref="BK75:BK76" si="272">BN75-BM75</f>
        <v>0</v>
      </c>
      <c r="BL75" s="336">
        <v>0</v>
      </c>
      <c r="BM75" s="336">
        <v>0</v>
      </c>
      <c r="BN75" s="336">
        <v>0</v>
      </c>
      <c r="BO75" s="336">
        <v>0</v>
      </c>
      <c r="BP75" s="383">
        <f t="shared" ref="BP75:BP76" si="273">BS75-BO75</f>
        <v>0</v>
      </c>
      <c r="BQ75" s="383">
        <f t="shared" ref="BQ75:BQ76" si="274">BT75-BS75</f>
        <v>0</v>
      </c>
      <c r="BR75" s="383">
        <f t="shared" ref="BR75:BR76" si="275">BU75-BT75</f>
        <v>0</v>
      </c>
      <c r="BS75" s="336">
        <v>0</v>
      </c>
      <c r="BT75" s="336">
        <v>0</v>
      </c>
      <c r="BU75" s="336">
        <v>0</v>
      </c>
      <c r="BV75" s="336">
        <v>0</v>
      </c>
      <c r="BW75" s="336">
        <f>BZ75-BV75</f>
        <v>0</v>
      </c>
      <c r="BX75" s="336">
        <f t="shared" si="264"/>
        <v>0</v>
      </c>
      <c r="BY75" s="336">
        <f t="shared" si="264"/>
        <v>0</v>
      </c>
      <c r="BZ75" s="336">
        <v>0</v>
      </c>
      <c r="CA75" s="336">
        <v>0</v>
      </c>
      <c r="CB75" s="336">
        <v>0</v>
      </c>
      <c r="CC75" s="336">
        <v>0</v>
      </c>
      <c r="CD75" s="336">
        <v>0</v>
      </c>
      <c r="CE75" s="336">
        <v>0</v>
      </c>
      <c r="CF75" s="336">
        <v>0</v>
      </c>
      <c r="CG75" s="336">
        <v>0</v>
      </c>
      <c r="CH75" s="336">
        <v>0</v>
      </c>
      <c r="CI75" s="336">
        <v>0</v>
      </c>
      <c r="CJ75" s="336">
        <v>0</v>
      </c>
      <c r="CK75" s="336">
        <f t="shared" ref="CK75:CK76" si="276">CN75-CJ75</f>
        <v>0</v>
      </c>
      <c r="CL75" s="336">
        <f t="shared" ref="CL75:CL76" si="277">CN75-CJ75</f>
        <v>0</v>
      </c>
      <c r="CM75" s="336">
        <v>0</v>
      </c>
      <c r="CN75" s="336">
        <v>0</v>
      </c>
      <c r="CO75" s="336">
        <v>0</v>
      </c>
    </row>
    <row r="76" spans="1:93" x14ac:dyDescent="0.25">
      <c r="A76" s="335" t="str">
        <f>Language!$G81</f>
        <v>Eliminações e Ajustes</v>
      </c>
      <c r="B76" s="336">
        <v>0</v>
      </c>
      <c r="C76" s="336">
        <v>0</v>
      </c>
      <c r="D76" s="336">
        <v>0</v>
      </c>
      <c r="E76" s="337">
        <v>0</v>
      </c>
      <c r="F76" s="336">
        <v>0</v>
      </c>
      <c r="G76" s="336">
        <v>0</v>
      </c>
      <c r="H76" s="336">
        <v>0</v>
      </c>
      <c r="I76" s="337">
        <v>0</v>
      </c>
      <c r="J76" s="336">
        <v>0</v>
      </c>
      <c r="K76" s="336">
        <v>0</v>
      </c>
      <c r="L76" s="336">
        <v>0</v>
      </c>
      <c r="M76" s="337">
        <v>0</v>
      </c>
      <c r="N76" s="336">
        <v>0</v>
      </c>
      <c r="O76" s="336">
        <v>0</v>
      </c>
      <c r="P76" s="336">
        <v>0</v>
      </c>
      <c r="Q76" s="337">
        <v>0</v>
      </c>
      <c r="R76" s="336">
        <v>0</v>
      </c>
      <c r="S76" s="336">
        <v>0</v>
      </c>
      <c r="T76" s="336">
        <v>0</v>
      </c>
      <c r="U76" s="336">
        <v>0</v>
      </c>
      <c r="V76" s="336">
        <v>0</v>
      </c>
      <c r="W76" s="336">
        <v>0</v>
      </c>
      <c r="X76" s="337">
        <v>0</v>
      </c>
      <c r="Y76" s="336">
        <v>0</v>
      </c>
      <c r="Z76" s="336">
        <f t="shared" si="263"/>
        <v>0</v>
      </c>
      <c r="AA76" s="336">
        <f>AD76-Z76-Y76</f>
        <v>0</v>
      </c>
      <c r="AB76" s="336">
        <f t="shared" si="259"/>
        <v>0</v>
      </c>
      <c r="AC76" s="336">
        <v>0</v>
      </c>
      <c r="AD76" s="336">
        <v>0</v>
      </c>
      <c r="AE76" s="337">
        <v>0</v>
      </c>
      <c r="AF76" s="336">
        <v>0</v>
      </c>
      <c r="AG76" s="336">
        <f>AJ76-AF76</f>
        <v>0</v>
      </c>
      <c r="AH76" s="336">
        <f>AK76-AG76-AF76</f>
        <v>0</v>
      </c>
      <c r="AI76" s="336">
        <f t="shared" si="260"/>
        <v>6428</v>
      </c>
      <c r="AJ76" s="336">
        <v>0</v>
      </c>
      <c r="AK76" s="336">
        <v>0</v>
      </c>
      <c r="AL76" s="337">
        <v>6428</v>
      </c>
      <c r="AM76" s="336">
        <v>1574</v>
      </c>
      <c r="AN76" s="336">
        <f t="shared" si="261"/>
        <v>1574</v>
      </c>
      <c r="AO76" s="336">
        <f t="shared" si="262"/>
        <v>1475</v>
      </c>
      <c r="AP76" s="336">
        <f t="shared" si="262"/>
        <v>1277.277</v>
      </c>
      <c r="AQ76" s="336">
        <v>3148</v>
      </c>
      <c r="AR76" s="336">
        <v>4623</v>
      </c>
      <c r="AS76" s="337">
        <v>5900.277</v>
      </c>
      <c r="AT76" s="336">
        <v>1277.55</v>
      </c>
      <c r="AU76" s="336">
        <f t="shared" si="265"/>
        <v>1277.55</v>
      </c>
      <c r="AV76" s="336">
        <f t="shared" si="266"/>
        <v>1414.9</v>
      </c>
      <c r="AW76" s="336">
        <f t="shared" si="266"/>
        <v>0</v>
      </c>
      <c r="AX76" s="336">
        <v>2555.1</v>
      </c>
      <c r="AY76" s="336">
        <v>3970</v>
      </c>
      <c r="AZ76" s="336">
        <v>3970</v>
      </c>
      <c r="BA76" s="336">
        <v>0</v>
      </c>
      <c r="BB76" s="336">
        <f t="shared" si="267"/>
        <v>0</v>
      </c>
      <c r="BC76" s="336">
        <f t="shared" si="268"/>
        <v>0</v>
      </c>
      <c r="BD76" s="336">
        <f t="shared" si="269"/>
        <v>0</v>
      </c>
      <c r="BE76" s="336">
        <v>0</v>
      </c>
      <c r="BF76" s="336">
        <v>0</v>
      </c>
      <c r="BG76" s="336">
        <v>0</v>
      </c>
      <c r="BH76" s="336">
        <v>0</v>
      </c>
      <c r="BI76" s="336">
        <f t="shared" si="270"/>
        <v>0</v>
      </c>
      <c r="BJ76" s="336">
        <f t="shared" si="271"/>
        <v>0</v>
      </c>
      <c r="BK76" s="336">
        <f t="shared" si="272"/>
        <v>0</v>
      </c>
      <c r="BL76" s="336">
        <v>0</v>
      </c>
      <c r="BM76" s="336">
        <v>0</v>
      </c>
      <c r="BN76" s="336">
        <v>0</v>
      </c>
      <c r="BO76" s="336">
        <v>0</v>
      </c>
      <c r="BP76" s="383">
        <f t="shared" si="273"/>
        <v>0</v>
      </c>
      <c r="BQ76" s="383">
        <f t="shared" si="274"/>
        <v>0</v>
      </c>
      <c r="BR76" s="383">
        <f t="shared" si="275"/>
        <v>0</v>
      </c>
      <c r="BS76" s="336">
        <v>0</v>
      </c>
      <c r="BT76" s="336">
        <v>0</v>
      </c>
      <c r="BU76" s="336">
        <v>0</v>
      </c>
      <c r="BV76" s="336">
        <v>0</v>
      </c>
      <c r="BW76" s="336">
        <f>BZ76-BV76</f>
        <v>0</v>
      </c>
      <c r="BX76" s="336">
        <f t="shared" si="264"/>
        <v>0</v>
      </c>
      <c r="BY76" s="336">
        <f t="shared" si="264"/>
        <v>0</v>
      </c>
      <c r="BZ76" s="336">
        <v>0</v>
      </c>
      <c r="CA76" s="336">
        <v>0</v>
      </c>
      <c r="CB76" s="336">
        <v>0</v>
      </c>
      <c r="CC76" s="336">
        <v>0</v>
      </c>
      <c r="CD76" s="336">
        <v>0</v>
      </c>
      <c r="CE76" s="336">
        <v>0</v>
      </c>
      <c r="CF76" s="336">
        <v>0</v>
      </c>
      <c r="CG76" s="336">
        <v>0</v>
      </c>
      <c r="CH76" s="336">
        <v>0</v>
      </c>
      <c r="CI76" s="336">
        <v>0</v>
      </c>
      <c r="CJ76" s="336">
        <v>0</v>
      </c>
      <c r="CK76" s="336">
        <f t="shared" si="276"/>
        <v>0</v>
      </c>
      <c r="CL76" s="336">
        <f t="shared" si="277"/>
        <v>0</v>
      </c>
      <c r="CM76" s="336">
        <v>0</v>
      </c>
      <c r="CN76" s="336">
        <v>0</v>
      </c>
      <c r="CO76" s="336">
        <v>0</v>
      </c>
    </row>
    <row r="77" spans="1:93" s="377" customFormat="1" ht="13" x14ac:dyDescent="0.3">
      <c r="A77" s="338" t="str">
        <f>Language!$G82</f>
        <v>Deduções da Receita Bruta</v>
      </c>
      <c r="B77" s="338">
        <f t="shared" ref="B77:Q77" si="278">SUM(B78,B79,B80,B81)</f>
        <v>-1832</v>
      </c>
      <c r="C77" s="338">
        <f t="shared" si="278"/>
        <v>-2960</v>
      </c>
      <c r="D77" s="338">
        <f t="shared" si="278"/>
        <v>-2631</v>
      </c>
      <c r="E77" s="339">
        <f t="shared" si="278"/>
        <v>-2738</v>
      </c>
      <c r="F77" s="338">
        <f t="shared" si="278"/>
        <v>-2756</v>
      </c>
      <c r="G77" s="338">
        <f t="shared" si="278"/>
        <v>-2897</v>
      </c>
      <c r="H77" s="338">
        <f t="shared" si="278"/>
        <v>-2875</v>
      </c>
      <c r="I77" s="339">
        <f t="shared" si="278"/>
        <v>-2832</v>
      </c>
      <c r="J77" s="338">
        <f t="shared" si="278"/>
        <v>-5312</v>
      </c>
      <c r="K77" s="338">
        <f t="shared" si="278"/>
        <v>-4433</v>
      </c>
      <c r="L77" s="338">
        <f t="shared" si="278"/>
        <v>-2832</v>
      </c>
      <c r="M77" s="339">
        <f t="shared" si="278"/>
        <v>-9044</v>
      </c>
      <c r="N77" s="338">
        <f t="shared" si="278"/>
        <v>-17854</v>
      </c>
      <c r="O77" s="338">
        <f t="shared" si="278"/>
        <v>-15052</v>
      </c>
      <c r="P77" s="338">
        <f t="shared" si="278"/>
        <v>-4584</v>
      </c>
      <c r="Q77" s="339">
        <f t="shared" si="278"/>
        <v>7246</v>
      </c>
      <c r="R77" s="338">
        <v>-14378</v>
      </c>
      <c r="S77" s="338">
        <v>-6486</v>
      </c>
      <c r="T77" s="338">
        <v>-7277</v>
      </c>
      <c r="U77" s="338">
        <v>-5294</v>
      </c>
      <c r="V77" s="338">
        <v>-20864</v>
      </c>
      <c r="W77" s="338">
        <v>-28141</v>
      </c>
      <c r="X77" s="339">
        <v>-33435</v>
      </c>
      <c r="Y77" s="338">
        <f>SUM(Y78,Y79,Y80,Y81)</f>
        <v>-1618</v>
      </c>
      <c r="Z77" s="338">
        <f>SUM(Z78,Z79,Z80,Z81)</f>
        <v>-1473</v>
      </c>
      <c r="AA77" s="338">
        <f t="shared" ref="AA77:AB77" si="279">SUM(AA78,AA79,AA80,AA81)</f>
        <v>-8587</v>
      </c>
      <c r="AB77" s="338">
        <f t="shared" si="279"/>
        <v>-4251</v>
      </c>
      <c r="AC77" s="338">
        <f t="shared" ref="AC77:AK77" si="280">SUM(AC78,AC79,AC80,AC81)</f>
        <v>-3091</v>
      </c>
      <c r="AD77" s="338">
        <f t="shared" si="280"/>
        <v>-11678</v>
      </c>
      <c r="AE77" s="339">
        <f t="shared" si="280"/>
        <v>-15929</v>
      </c>
      <c r="AF77" s="338">
        <f t="shared" si="280"/>
        <v>-2038</v>
      </c>
      <c r="AG77" s="338">
        <f t="shared" si="280"/>
        <v>-1041</v>
      </c>
      <c r="AH77" s="338">
        <f t="shared" si="280"/>
        <v>-3739</v>
      </c>
      <c r="AI77" s="338">
        <f t="shared" si="280"/>
        <v>-78</v>
      </c>
      <c r="AJ77" s="338">
        <f t="shared" si="280"/>
        <v>-3079</v>
      </c>
      <c r="AK77" s="338">
        <f t="shared" si="280"/>
        <v>-6818</v>
      </c>
      <c r="AL77" s="339">
        <f>SUM(AL78,AL79,AL80,AL81)</f>
        <v>-6896</v>
      </c>
      <c r="AM77" s="338">
        <f>SUM(AM78,AM79,AM80,AM81)+AM82</f>
        <v>-1931</v>
      </c>
      <c r="AN77" s="338">
        <f t="shared" si="261"/>
        <v>-1615</v>
      </c>
      <c r="AO77" s="338">
        <f t="shared" si="262"/>
        <v>-2619</v>
      </c>
      <c r="AP77" s="338">
        <f t="shared" si="262"/>
        <v>-2691</v>
      </c>
      <c r="AQ77" s="338">
        <f t="shared" ref="AQ77:BA77" si="281">SUM(AQ78,AQ79,AQ80,AQ81)+AQ82</f>
        <v>-3546</v>
      </c>
      <c r="AR77" s="338">
        <f t="shared" si="281"/>
        <v>-6165</v>
      </c>
      <c r="AS77" s="339">
        <f t="shared" si="281"/>
        <v>-8856</v>
      </c>
      <c r="AT77" s="338">
        <f t="shared" si="281"/>
        <v>-2644</v>
      </c>
      <c r="AU77" s="338">
        <f t="shared" si="281"/>
        <v>-2571</v>
      </c>
      <c r="AV77" s="338">
        <f t="shared" si="281"/>
        <v>-2939</v>
      </c>
      <c r="AW77" s="338">
        <f t="shared" si="281"/>
        <v>-2968</v>
      </c>
      <c r="AX77" s="338">
        <f t="shared" si="281"/>
        <v>-5215</v>
      </c>
      <c r="AY77" s="338">
        <f t="shared" si="281"/>
        <v>-8154</v>
      </c>
      <c r="AZ77" s="338">
        <f t="shared" si="281"/>
        <v>-11122</v>
      </c>
      <c r="BA77" s="338">
        <f t="shared" si="281"/>
        <v>-2941</v>
      </c>
      <c r="BB77" s="338">
        <f t="shared" ref="BB77:BD77" si="282">SUM(BB78,BB79,BB80,BB81)+BB82</f>
        <v>-2810</v>
      </c>
      <c r="BC77" s="338">
        <f t="shared" si="282"/>
        <v>-3296</v>
      </c>
      <c r="BD77" s="338">
        <f t="shared" si="282"/>
        <v>-3148</v>
      </c>
      <c r="BE77" s="338">
        <f>SUM(BE78,BE79,BE80,BE81)+BE82</f>
        <v>-5751</v>
      </c>
      <c r="BF77" s="338">
        <f>SUM(BF78,BF79,BF80,BF81)+BF82</f>
        <v>-9047</v>
      </c>
      <c r="BG77" s="338">
        <f>SUM(BG78,BG79,BG80,BG81)+BG82</f>
        <v>-12195</v>
      </c>
      <c r="BH77" s="338">
        <f>SUM(BH78,BH79,BH80,BH81)+BH82</f>
        <v>-3068</v>
      </c>
      <c r="BI77" s="338">
        <f t="shared" ref="BI77:BL77" si="283">SUM(BI78,BI79,BI80,BI81)+BI82</f>
        <v>-3067</v>
      </c>
      <c r="BJ77" s="338">
        <f t="shared" si="283"/>
        <v>-3202</v>
      </c>
      <c r="BK77" s="338">
        <f t="shared" si="283"/>
        <v>-3174</v>
      </c>
      <c r="BL77" s="338">
        <f t="shared" si="283"/>
        <v>-6135</v>
      </c>
      <c r="BM77" s="338">
        <f t="shared" ref="BM77:BN77" si="284">SUM(BM78,BM79,BM80,BM81)+BM82</f>
        <v>-9337</v>
      </c>
      <c r="BN77" s="338">
        <f t="shared" si="284"/>
        <v>-12511</v>
      </c>
      <c r="BO77" s="338">
        <f t="shared" ref="BO77:BS77" si="285">SUM(BO78,BO79,BO80,BO81)+BO82</f>
        <v>-3116</v>
      </c>
      <c r="BP77" s="338">
        <f t="shared" si="285"/>
        <v>-3136</v>
      </c>
      <c r="BQ77" s="338">
        <f t="shared" si="285"/>
        <v>-3590</v>
      </c>
      <c r="BR77" s="338">
        <f t="shared" si="285"/>
        <v>-3592</v>
      </c>
      <c r="BS77" s="338">
        <f t="shared" si="285"/>
        <v>-6252</v>
      </c>
      <c r="BT77" s="338">
        <f t="shared" ref="BT77:BU77" si="286">SUM(BT78,BT79,BT80,BT81)+BT82</f>
        <v>-9842</v>
      </c>
      <c r="BU77" s="338">
        <f t="shared" si="286"/>
        <v>-13434</v>
      </c>
      <c r="BV77" s="338">
        <f t="shared" ref="BV77:BZ77" si="287">SUM(BV78,BV79,BV80,BV81)+BV82</f>
        <v>-3768</v>
      </c>
      <c r="BW77" s="338">
        <f t="shared" si="287"/>
        <v>-3642</v>
      </c>
      <c r="BX77" s="338">
        <f t="shared" si="287"/>
        <v>-3717</v>
      </c>
      <c r="BY77" s="338">
        <f t="shared" si="287"/>
        <v>-3814</v>
      </c>
      <c r="BZ77" s="338">
        <f t="shared" si="287"/>
        <v>-7410</v>
      </c>
      <c r="CA77" s="338">
        <f t="shared" ref="CA77:CB77" si="288">SUM(CA78,CA79,CA80,CA81)+CA82</f>
        <v>-11127</v>
      </c>
      <c r="CB77" s="338">
        <f t="shared" si="288"/>
        <v>-14941</v>
      </c>
      <c r="CC77" s="338">
        <f t="shared" ref="CC77:CD77" si="289">SUM(CC78,CC79,CC80,CC81)+CC82</f>
        <v>-3762</v>
      </c>
      <c r="CD77" s="338">
        <f t="shared" si="289"/>
        <v>-3666</v>
      </c>
      <c r="CE77" s="338">
        <f t="shared" ref="CE77:CG77" si="290">SUM(CE78,CE79,CE80,CE81)+CE82</f>
        <v>-3681</v>
      </c>
      <c r="CF77" s="338">
        <f t="shared" si="290"/>
        <v>-3715</v>
      </c>
      <c r="CG77" s="338">
        <f t="shared" si="290"/>
        <v>-7428</v>
      </c>
      <c r="CH77" s="338">
        <f t="shared" ref="CH77:CI77" si="291">SUM(CH78,CH79,CH80,CH81)+CH82</f>
        <v>-11109</v>
      </c>
      <c r="CI77" s="338">
        <f t="shared" si="291"/>
        <v>-14824</v>
      </c>
      <c r="CJ77" s="338">
        <v>-3811</v>
      </c>
      <c r="CK77" s="338">
        <f t="shared" ref="CK77:CO77" si="292">SUM(CK78,CK79,CK80,CK81)+CK82</f>
        <v>-3733</v>
      </c>
      <c r="CL77" s="338">
        <f t="shared" si="292"/>
        <v>0</v>
      </c>
      <c r="CM77" s="338">
        <f t="shared" si="292"/>
        <v>0</v>
      </c>
      <c r="CN77" s="338">
        <f t="shared" si="292"/>
        <v>-7544</v>
      </c>
      <c r="CO77" s="338">
        <f t="shared" si="292"/>
        <v>0</v>
      </c>
    </row>
    <row r="78" spans="1:93" x14ac:dyDescent="0.25">
      <c r="A78" s="340" t="str">
        <f>Language!$G83</f>
        <v>Rio Verde</v>
      </c>
      <c r="B78" s="322">
        <v>-1832</v>
      </c>
      <c r="C78" s="322">
        <v>-2960</v>
      </c>
      <c r="D78" s="322">
        <v>-2631</v>
      </c>
      <c r="E78" s="321">
        <v>-2738</v>
      </c>
      <c r="F78" s="322">
        <v>-2756</v>
      </c>
      <c r="G78" s="322">
        <v>-2897</v>
      </c>
      <c r="H78" s="322">
        <v>-2875</v>
      </c>
      <c r="I78" s="321">
        <v>-2832</v>
      </c>
      <c r="J78" s="322">
        <v>-3949</v>
      </c>
      <c r="K78" s="322">
        <v>-4433</v>
      </c>
      <c r="L78" s="322">
        <v>-2263</v>
      </c>
      <c r="M78" s="321">
        <v>-4172</v>
      </c>
      <c r="N78" s="322">
        <v>-5898</v>
      </c>
      <c r="O78" s="322">
        <v>-7095</v>
      </c>
      <c r="P78" s="322">
        <v>-3492</v>
      </c>
      <c r="Q78" s="321">
        <v>980</v>
      </c>
      <c r="R78" s="322">
        <v>-3212</v>
      </c>
      <c r="S78" s="322">
        <v>-3290</v>
      </c>
      <c r="T78" s="322">
        <v>-3602</v>
      </c>
      <c r="U78" s="322">
        <v>-2296</v>
      </c>
      <c r="V78" s="322">
        <v>-6502</v>
      </c>
      <c r="W78" s="322">
        <v>-10104</v>
      </c>
      <c r="X78" s="321">
        <v>-12400</v>
      </c>
      <c r="Y78" s="322">
        <v>0</v>
      </c>
      <c r="Z78" s="322">
        <f t="shared" si="263"/>
        <v>0</v>
      </c>
      <c r="AA78" s="322">
        <f t="shared" ref="AA78" si="293">AD78-Z78-Y78</f>
        <v>0</v>
      </c>
      <c r="AB78" s="322">
        <f t="shared" si="259"/>
        <v>0</v>
      </c>
      <c r="AC78" s="322">
        <v>0</v>
      </c>
      <c r="AD78" s="322">
        <v>0</v>
      </c>
      <c r="AE78" s="321">
        <v>0</v>
      </c>
      <c r="AF78" s="322">
        <v>0</v>
      </c>
      <c r="AG78" s="322">
        <f>AJ78-AF78</f>
        <v>0</v>
      </c>
      <c r="AH78" s="322">
        <f t="shared" ref="AH78" si="294">AK78-AG78-AF78</f>
        <v>0</v>
      </c>
      <c r="AI78" s="322">
        <f t="shared" ref="AI78:AI79" si="295">AL78-AF78-AG78-AH78</f>
        <v>0</v>
      </c>
      <c r="AJ78" s="322">
        <v>0</v>
      </c>
      <c r="AK78" s="322">
        <v>0</v>
      </c>
      <c r="AL78" s="321">
        <v>0</v>
      </c>
      <c r="AM78" s="322">
        <v>0</v>
      </c>
      <c r="AN78" s="322">
        <f t="shared" si="261"/>
        <v>0</v>
      </c>
      <c r="AO78" s="322">
        <f t="shared" si="262"/>
        <v>0</v>
      </c>
      <c r="AP78" s="322">
        <f t="shared" si="262"/>
        <v>0</v>
      </c>
      <c r="AQ78" s="322">
        <v>0</v>
      </c>
      <c r="AR78" s="322"/>
      <c r="AS78" s="321"/>
      <c r="AT78" s="322"/>
      <c r="AU78" s="322"/>
      <c r="AV78" s="322"/>
      <c r="AW78" s="322"/>
      <c r="AX78" s="322"/>
      <c r="AY78" s="322"/>
      <c r="AZ78" s="322"/>
      <c r="BA78" s="322"/>
      <c r="BB78" s="322"/>
      <c r="BC78" s="322"/>
      <c r="BD78" s="322"/>
      <c r="BE78" s="322"/>
      <c r="BF78" s="322"/>
      <c r="BG78" s="322"/>
      <c r="BH78" s="322"/>
      <c r="BI78" s="322"/>
      <c r="BJ78" s="322"/>
      <c r="BK78" s="322"/>
      <c r="BL78" s="322"/>
      <c r="BM78" s="322"/>
      <c r="BN78" s="322"/>
      <c r="BO78" s="322"/>
      <c r="BP78" s="322"/>
      <c r="BQ78" s="322"/>
      <c r="BR78" s="322"/>
      <c r="BS78" s="322"/>
      <c r="BT78" s="322"/>
      <c r="BU78" s="322"/>
      <c r="BV78" s="322"/>
      <c r="BW78" s="322"/>
      <c r="BX78" s="322"/>
      <c r="BY78" s="322"/>
      <c r="BZ78" s="322"/>
      <c r="CA78" s="322"/>
      <c r="CB78" s="322"/>
      <c r="CC78" s="322"/>
      <c r="CD78" s="322"/>
      <c r="CE78" s="322"/>
      <c r="CF78" s="322"/>
      <c r="CG78" s="322"/>
      <c r="CH78" s="322"/>
      <c r="CI78" s="322"/>
      <c r="CJ78" s="322"/>
      <c r="CK78" s="322"/>
      <c r="CL78" s="322"/>
      <c r="CM78" s="322"/>
      <c r="CN78" s="322"/>
      <c r="CO78" s="322"/>
    </row>
    <row r="79" spans="1:93" x14ac:dyDescent="0.25">
      <c r="A79" s="340" t="str">
        <f>Language!$G84</f>
        <v>Rio Canoas</v>
      </c>
      <c r="B79" s="322">
        <v>0</v>
      </c>
      <c r="C79" s="322">
        <v>0</v>
      </c>
      <c r="D79" s="322">
        <v>0</v>
      </c>
      <c r="E79" s="321">
        <v>0</v>
      </c>
      <c r="F79" s="322">
        <v>0</v>
      </c>
      <c r="G79" s="322">
        <v>0</v>
      </c>
      <c r="H79" s="322">
        <v>0</v>
      </c>
      <c r="I79" s="321">
        <v>0</v>
      </c>
      <c r="J79" s="322">
        <v>0</v>
      </c>
      <c r="K79" s="322">
        <v>0</v>
      </c>
      <c r="L79" s="322">
        <v>-111</v>
      </c>
      <c r="M79" s="321">
        <v>-4654</v>
      </c>
      <c r="N79" s="322">
        <v>-11956</v>
      </c>
      <c r="O79" s="322">
        <v>-7957</v>
      </c>
      <c r="P79" s="322">
        <v>-1092</v>
      </c>
      <c r="Q79" s="321">
        <v>7392</v>
      </c>
      <c r="R79" s="322">
        <v>-9564</v>
      </c>
      <c r="S79" s="322">
        <v>-1561</v>
      </c>
      <c r="T79" s="322">
        <v>-2976</v>
      </c>
      <c r="U79" s="322">
        <v>-1578</v>
      </c>
      <c r="V79" s="322">
        <v>-11125</v>
      </c>
      <c r="W79" s="322">
        <v>-14101</v>
      </c>
      <c r="X79" s="321">
        <v>-15679</v>
      </c>
      <c r="Y79" s="322">
        <v>0</v>
      </c>
      <c r="Z79" s="322">
        <f t="shared" si="263"/>
        <v>0</v>
      </c>
      <c r="AA79" s="322">
        <f>AD79-Z79-Y79</f>
        <v>0</v>
      </c>
      <c r="AB79" s="322">
        <f t="shared" si="259"/>
        <v>0</v>
      </c>
      <c r="AC79" s="322">
        <v>0</v>
      </c>
      <c r="AD79" s="322">
        <v>0</v>
      </c>
      <c r="AE79" s="321">
        <v>0</v>
      </c>
      <c r="AF79" s="322">
        <v>0</v>
      </c>
      <c r="AG79" s="322">
        <f>AJ79-AF79</f>
        <v>0</v>
      </c>
      <c r="AH79" s="322">
        <f>AK79-AG79-AF79</f>
        <v>0</v>
      </c>
      <c r="AI79" s="322">
        <f t="shared" si="295"/>
        <v>0</v>
      </c>
      <c r="AJ79" s="322">
        <v>0</v>
      </c>
      <c r="AK79" s="322">
        <v>0</v>
      </c>
      <c r="AL79" s="321">
        <v>0</v>
      </c>
      <c r="AM79" s="322">
        <v>0</v>
      </c>
      <c r="AN79" s="322">
        <f t="shared" si="261"/>
        <v>0</v>
      </c>
      <c r="AO79" s="322">
        <f t="shared" si="262"/>
        <v>0</v>
      </c>
      <c r="AP79" s="322">
        <f t="shared" si="262"/>
        <v>0</v>
      </c>
      <c r="AQ79" s="322">
        <v>0</v>
      </c>
      <c r="AR79" s="322"/>
      <c r="AS79" s="321"/>
      <c r="AT79" s="322"/>
      <c r="AU79" s="322"/>
      <c r="AV79" s="322"/>
      <c r="AW79" s="322"/>
      <c r="AX79" s="322"/>
      <c r="AY79" s="322"/>
      <c r="AZ79" s="322"/>
      <c r="BA79" s="322"/>
      <c r="BB79" s="322"/>
      <c r="BC79" s="322"/>
      <c r="BD79" s="322"/>
      <c r="BE79" s="322"/>
      <c r="BF79" s="322"/>
      <c r="BG79" s="322"/>
      <c r="BH79" s="322"/>
      <c r="BI79" s="322"/>
      <c r="BJ79" s="322"/>
      <c r="BK79" s="322"/>
      <c r="BL79" s="322"/>
      <c r="BM79" s="322"/>
      <c r="BN79" s="322"/>
      <c r="BO79" s="322"/>
      <c r="BP79" s="322"/>
      <c r="BQ79" s="322"/>
      <c r="BR79" s="322"/>
      <c r="BS79" s="322"/>
      <c r="BT79" s="322"/>
      <c r="BU79" s="322"/>
      <c r="BV79" s="322"/>
      <c r="BW79" s="322"/>
      <c r="BX79" s="322"/>
      <c r="BY79" s="322"/>
      <c r="BZ79" s="322"/>
      <c r="CA79" s="322"/>
      <c r="CB79" s="322"/>
      <c r="CC79" s="322"/>
      <c r="CD79" s="322"/>
      <c r="CE79" s="322"/>
      <c r="CF79" s="322"/>
      <c r="CG79" s="322"/>
      <c r="CH79" s="322"/>
      <c r="CI79" s="322"/>
      <c r="CJ79" s="322"/>
      <c r="CK79" s="322"/>
      <c r="CL79" s="322"/>
      <c r="CM79" s="322"/>
      <c r="CN79" s="322"/>
      <c r="CO79" s="322"/>
    </row>
    <row r="80" spans="1:93" x14ac:dyDescent="0.25">
      <c r="A80" s="340" t="str">
        <f>Language!$G85</f>
        <v>Tijoá</v>
      </c>
      <c r="B80" s="322">
        <v>0</v>
      </c>
      <c r="C80" s="322">
        <v>0</v>
      </c>
      <c r="D80" s="322">
        <v>0</v>
      </c>
      <c r="E80" s="321">
        <v>0</v>
      </c>
      <c r="F80" s="322">
        <v>0</v>
      </c>
      <c r="G80" s="322">
        <v>0</v>
      </c>
      <c r="H80" s="322">
        <v>0</v>
      </c>
      <c r="I80" s="321">
        <v>0</v>
      </c>
      <c r="J80" s="322">
        <v>0</v>
      </c>
      <c r="K80" s="322">
        <v>0</v>
      </c>
      <c r="L80" s="322">
        <v>0</v>
      </c>
      <c r="M80" s="321">
        <v>0</v>
      </c>
      <c r="N80" s="322">
        <v>0</v>
      </c>
      <c r="O80" s="322">
        <v>0</v>
      </c>
      <c r="P80" s="322">
        <v>0</v>
      </c>
      <c r="Q80" s="321">
        <v>0</v>
      </c>
      <c r="R80" s="322">
        <v>-1602</v>
      </c>
      <c r="S80" s="322">
        <v>-943</v>
      </c>
      <c r="T80" s="322">
        <v>-1391</v>
      </c>
      <c r="U80" s="322">
        <v>-1420</v>
      </c>
      <c r="V80" s="322">
        <v>-2545</v>
      </c>
      <c r="W80" s="322">
        <v>-3936</v>
      </c>
      <c r="X80" s="321">
        <v>-5356</v>
      </c>
      <c r="Y80" s="322">
        <v>-1618</v>
      </c>
      <c r="Z80" s="322">
        <f t="shared" si="263"/>
        <v>-1473</v>
      </c>
      <c r="AA80" s="322">
        <f>AD80-Z80-Y80</f>
        <v>-8587</v>
      </c>
      <c r="AB80" s="322">
        <f>AE80-Y80-Z80-AA80</f>
        <v>-4251</v>
      </c>
      <c r="AC80" s="322">
        <v>-3091</v>
      </c>
      <c r="AD80" s="322">
        <v>-11678</v>
      </c>
      <c r="AE80" s="321">
        <v>-15929</v>
      </c>
      <c r="AF80" s="322">
        <v>-2038</v>
      </c>
      <c r="AG80" s="322">
        <f>AJ80-AF80</f>
        <v>-1041</v>
      </c>
      <c r="AH80" s="322">
        <f>AK80-AG80-AF80</f>
        <v>-2730</v>
      </c>
      <c r="AI80" s="322">
        <f>AL80-AF80-AG80-AH80</f>
        <v>-1087</v>
      </c>
      <c r="AJ80" s="322">
        <v>-3079</v>
      </c>
      <c r="AK80" s="322">
        <v>-5809</v>
      </c>
      <c r="AL80" s="321">
        <v>-6896</v>
      </c>
      <c r="AM80" s="322">
        <v>-3026</v>
      </c>
      <c r="AN80" s="322">
        <f t="shared" si="261"/>
        <v>-2976</v>
      </c>
      <c r="AO80" s="322">
        <f t="shared" si="262"/>
        <v>-3935</v>
      </c>
      <c r="AP80" s="322">
        <f t="shared" si="262"/>
        <v>-4694</v>
      </c>
      <c r="AQ80" s="322">
        <v>-6002</v>
      </c>
      <c r="AR80" s="322">
        <v>-9937</v>
      </c>
      <c r="AS80" s="321">
        <v>-14631</v>
      </c>
      <c r="AT80" s="322">
        <v>-4498</v>
      </c>
      <c r="AU80" s="336">
        <f>AX80-AT80</f>
        <v>-3548</v>
      </c>
      <c r="AV80" s="322">
        <f>AY80-AX80</f>
        <v>-4464</v>
      </c>
      <c r="AW80" s="322">
        <f>AZ80-AY80</f>
        <v>-5140</v>
      </c>
      <c r="AX80" s="322">
        <v>-8046</v>
      </c>
      <c r="AY80" s="322">
        <v>-12510</v>
      </c>
      <c r="AZ80" s="322">
        <v>-17650</v>
      </c>
      <c r="BA80" s="322">
        <v>-5676</v>
      </c>
      <c r="BB80" s="336">
        <f>BE80-BA80</f>
        <v>-4392</v>
      </c>
      <c r="BC80" s="322">
        <f>BF80-BE80</f>
        <v>-5122</v>
      </c>
      <c r="BD80" s="322">
        <f>BG80-BF80</f>
        <v>-4575</v>
      </c>
      <c r="BE80" s="322">
        <v>-10068</v>
      </c>
      <c r="BF80" s="322">
        <v>-15190</v>
      </c>
      <c r="BG80" s="322">
        <v>-19765</v>
      </c>
      <c r="BH80" s="322">
        <v>-4174</v>
      </c>
      <c r="BI80" s="322">
        <f>BL80-BH80</f>
        <v>-4010</v>
      </c>
      <c r="BJ80" s="322">
        <f>BM80-BL80</f>
        <v>-4506</v>
      </c>
      <c r="BK80" s="322">
        <f>BN80-BM80</f>
        <v>-4183</v>
      </c>
      <c r="BL80" s="322">
        <v>-8184</v>
      </c>
      <c r="BM80" s="322">
        <v>-12690</v>
      </c>
      <c r="BN80" s="322">
        <v>-16873</v>
      </c>
      <c r="BO80" s="322">
        <v>-3937</v>
      </c>
      <c r="BP80" s="322">
        <f>BS80-BO80</f>
        <v>-3973</v>
      </c>
      <c r="BQ80" s="322">
        <f>BT80-BS80</f>
        <v>-4481</v>
      </c>
      <c r="BR80" s="322">
        <f>BU80-BT80</f>
        <v>-4510</v>
      </c>
      <c r="BS80" s="322">
        <v>-7910</v>
      </c>
      <c r="BT80" s="322">
        <v>-12391</v>
      </c>
      <c r="BU80" s="322">
        <v>-16901</v>
      </c>
      <c r="BV80" s="322">
        <v>-6842</v>
      </c>
      <c r="BW80" s="322">
        <f>BZ80-BV80</f>
        <v>-5257</v>
      </c>
      <c r="BX80" s="322">
        <f>CA80-BZ80</f>
        <v>-5471</v>
      </c>
      <c r="BY80" s="322">
        <f>CB80-CA80</f>
        <v>-6474</v>
      </c>
      <c r="BZ80" s="322">
        <v>-12099</v>
      </c>
      <c r="CA80" s="322">
        <v>-17570</v>
      </c>
      <c r="CB80" s="322">
        <v>-24044</v>
      </c>
      <c r="CC80" s="322">
        <v>-6155</v>
      </c>
      <c r="CD80" s="322">
        <f>CG80-CC80</f>
        <v>-5124</v>
      </c>
      <c r="CE80" s="322">
        <f>CH80-CG80</f>
        <v>-5523</v>
      </c>
      <c r="CF80" s="322">
        <f>CI80-CH80</f>
        <v>-5879</v>
      </c>
      <c r="CG80" s="322">
        <v>-11279</v>
      </c>
      <c r="CH80" s="322">
        <v>-16802</v>
      </c>
      <c r="CI80" s="322">
        <v>-22681</v>
      </c>
      <c r="CJ80" s="322">
        <v>-7036</v>
      </c>
      <c r="CK80" s="322">
        <f>CN80-CJ80</f>
        <v>-5955</v>
      </c>
      <c r="CL80" s="322"/>
      <c r="CM80" s="322"/>
      <c r="CN80" s="322">
        <v>-12991</v>
      </c>
      <c r="CO80" s="322"/>
    </row>
    <row r="81" spans="1:93" x14ac:dyDescent="0.25">
      <c r="A81" s="340" t="str">
        <f>Language!$G86</f>
        <v>Outros</v>
      </c>
      <c r="B81" s="322">
        <v>0</v>
      </c>
      <c r="C81" s="322">
        <v>0</v>
      </c>
      <c r="D81" s="322">
        <v>0</v>
      </c>
      <c r="E81" s="321">
        <v>0</v>
      </c>
      <c r="F81" s="322">
        <v>0</v>
      </c>
      <c r="G81" s="322">
        <v>0</v>
      </c>
      <c r="H81" s="322">
        <v>0</v>
      </c>
      <c r="I81" s="321">
        <v>0</v>
      </c>
      <c r="J81" s="322">
        <v>-1363</v>
      </c>
      <c r="K81" s="322">
        <v>0</v>
      </c>
      <c r="L81" s="322">
        <v>-458</v>
      </c>
      <c r="M81" s="321">
        <v>-218</v>
      </c>
      <c r="N81" s="322">
        <v>0</v>
      </c>
      <c r="O81" s="322">
        <v>0</v>
      </c>
      <c r="P81" s="322">
        <v>0</v>
      </c>
      <c r="Q81" s="321">
        <v>-1126</v>
      </c>
      <c r="R81" s="322">
        <v>0</v>
      </c>
      <c r="S81" s="322">
        <v>-692</v>
      </c>
      <c r="T81" s="322">
        <v>692</v>
      </c>
      <c r="U81" s="322">
        <v>0</v>
      </c>
      <c r="V81" s="322">
        <v>-692</v>
      </c>
      <c r="W81" s="322">
        <v>0</v>
      </c>
      <c r="X81" s="321">
        <v>0</v>
      </c>
      <c r="Y81" s="322">
        <v>0</v>
      </c>
      <c r="Z81" s="322">
        <f t="shared" si="263"/>
        <v>0</v>
      </c>
      <c r="AA81" s="322">
        <f>AD81-Z81-Y81</f>
        <v>0</v>
      </c>
      <c r="AB81" s="322">
        <f t="shared" si="259"/>
        <v>0</v>
      </c>
      <c r="AC81" s="322">
        <v>0</v>
      </c>
      <c r="AD81" s="322">
        <v>0</v>
      </c>
      <c r="AE81" s="321">
        <v>0</v>
      </c>
      <c r="AF81" s="322">
        <v>0</v>
      </c>
      <c r="AG81" s="322">
        <f>AJ81-AF81</f>
        <v>0</v>
      </c>
      <c r="AH81" s="322">
        <f>AK81-AG81-AF81</f>
        <v>-1009</v>
      </c>
      <c r="AI81" s="322">
        <f t="shared" ref="AI81" si="296">AL81-AF81-AG81-AH81</f>
        <v>1009</v>
      </c>
      <c r="AJ81" s="322">
        <v>0</v>
      </c>
      <c r="AK81" s="322">
        <v>-1009</v>
      </c>
      <c r="AL81" s="321">
        <v>0</v>
      </c>
      <c r="AM81" s="322">
        <v>-354</v>
      </c>
      <c r="AN81" s="322">
        <f t="shared" si="261"/>
        <v>-316</v>
      </c>
      <c r="AO81" s="322">
        <f t="shared" si="262"/>
        <v>-308</v>
      </c>
      <c r="AP81" s="322">
        <f t="shared" si="262"/>
        <v>-291</v>
      </c>
      <c r="AQ81" s="322">
        <v>-670</v>
      </c>
      <c r="AR81" s="322">
        <v>-978</v>
      </c>
      <c r="AS81" s="321">
        <v>-1269</v>
      </c>
      <c r="AT81" s="322">
        <v>-277</v>
      </c>
      <c r="AU81" s="336">
        <f>AX81-AT81</f>
        <v>-276</v>
      </c>
      <c r="AV81" s="322">
        <f t="shared" ref="AV81:AW82" si="297">AY81-AX81</f>
        <v>-297</v>
      </c>
      <c r="AW81" s="322">
        <f t="shared" si="297"/>
        <v>-65</v>
      </c>
      <c r="AX81" s="322">
        <v>-553</v>
      </c>
      <c r="AY81" s="322">
        <v>-850</v>
      </c>
      <c r="AZ81" s="322">
        <v>-915</v>
      </c>
      <c r="BA81" s="322">
        <v>-6</v>
      </c>
      <c r="BB81" s="336">
        <f t="shared" ref="BB81:BB82" si="298">BE81-BA81</f>
        <v>0</v>
      </c>
      <c r="BC81" s="322">
        <f t="shared" ref="BC81:BC82" si="299">BF81-BE81</f>
        <v>0</v>
      </c>
      <c r="BD81" s="322">
        <f t="shared" ref="BD81:BD82" si="300">BG81-BF81</f>
        <v>0</v>
      </c>
      <c r="BE81" s="322">
        <v>-6</v>
      </c>
      <c r="BF81" s="322">
        <v>-6</v>
      </c>
      <c r="BG81" s="322">
        <v>-6</v>
      </c>
      <c r="BH81" s="322">
        <v>0</v>
      </c>
      <c r="BI81" s="322">
        <f t="shared" ref="BI81:BI82" si="301">BL81-BH81</f>
        <v>0</v>
      </c>
      <c r="BJ81" s="322">
        <f t="shared" ref="BJ81:BJ82" si="302">BM81-BL81</f>
        <v>0</v>
      </c>
      <c r="BK81" s="322">
        <f t="shared" ref="BK81:BK82" si="303">BN81-BM81</f>
        <v>0</v>
      </c>
      <c r="BL81" s="322">
        <v>0</v>
      </c>
      <c r="BM81" s="322">
        <v>0</v>
      </c>
      <c r="BN81" s="322">
        <v>0</v>
      </c>
      <c r="BO81" s="322">
        <v>0</v>
      </c>
      <c r="BP81" s="322">
        <f t="shared" ref="BP81:BP82" si="304">BS81-BO81</f>
        <v>0</v>
      </c>
      <c r="BQ81" s="322">
        <f t="shared" ref="BQ81:BQ82" si="305">BT81-BS81</f>
        <v>0</v>
      </c>
      <c r="BR81" s="322">
        <f t="shared" ref="BR81:BR82" si="306">BU81-BT81</f>
        <v>0</v>
      </c>
      <c r="BS81" s="322">
        <v>0</v>
      </c>
      <c r="BT81" s="322">
        <v>0</v>
      </c>
      <c r="BU81" s="322">
        <v>0</v>
      </c>
      <c r="BV81" s="322">
        <v>0</v>
      </c>
      <c r="BW81" s="322">
        <f t="shared" ref="BW81:BW82" si="307">BZ81-BV81</f>
        <v>0</v>
      </c>
      <c r="BX81" s="322">
        <f t="shared" ref="BX81:BX82" si="308">CA81-BZ81</f>
        <v>0</v>
      </c>
      <c r="BY81" s="322">
        <f t="shared" ref="BY81:BY82" si="309">CB81-CA81</f>
        <v>0</v>
      </c>
      <c r="BZ81" s="322">
        <v>0</v>
      </c>
      <c r="CA81" s="322"/>
      <c r="CB81" s="322"/>
      <c r="CC81" s="322"/>
      <c r="CD81" s="322"/>
      <c r="CE81" s="322"/>
      <c r="CF81" s="322">
        <f t="shared" ref="CF81:CF82" si="310">CI81-CH81</f>
        <v>0</v>
      </c>
      <c r="CG81" s="322"/>
      <c r="CH81" s="322"/>
      <c r="CI81" s="322"/>
      <c r="CJ81" s="322"/>
      <c r="CK81" s="322">
        <f t="shared" ref="CK81:CK82" si="311">CN81-CJ81</f>
        <v>0</v>
      </c>
      <c r="CL81" s="322"/>
      <c r="CM81" s="322"/>
      <c r="CN81" s="322"/>
      <c r="CO81" s="322"/>
    </row>
    <row r="82" spans="1:93" x14ac:dyDescent="0.25">
      <c r="A82" s="341" t="s">
        <v>320</v>
      </c>
      <c r="B82" s="322">
        <v>0</v>
      </c>
      <c r="C82" s="322">
        <v>0</v>
      </c>
      <c r="D82" s="322">
        <v>0</v>
      </c>
      <c r="E82" s="322">
        <v>0</v>
      </c>
      <c r="F82" s="322">
        <v>0</v>
      </c>
      <c r="G82" s="322">
        <v>0</v>
      </c>
      <c r="H82" s="322">
        <v>0</v>
      </c>
      <c r="I82" s="322">
        <v>0</v>
      </c>
      <c r="J82" s="322">
        <v>0</v>
      </c>
      <c r="K82" s="322">
        <v>0</v>
      </c>
      <c r="L82" s="322">
        <v>0</v>
      </c>
      <c r="M82" s="322">
        <v>0</v>
      </c>
      <c r="N82" s="322">
        <v>0</v>
      </c>
      <c r="O82" s="322">
        <v>0</v>
      </c>
      <c r="P82" s="322">
        <v>0</v>
      </c>
      <c r="Q82" s="322">
        <v>0</v>
      </c>
      <c r="R82" s="322">
        <v>0</v>
      </c>
      <c r="S82" s="322">
        <v>0</v>
      </c>
      <c r="T82" s="322">
        <v>0</v>
      </c>
      <c r="U82" s="322">
        <v>0</v>
      </c>
      <c r="V82" s="322">
        <v>0</v>
      </c>
      <c r="W82" s="322">
        <v>0</v>
      </c>
      <c r="X82" s="322">
        <v>0</v>
      </c>
      <c r="Y82" s="322">
        <v>0</v>
      </c>
      <c r="Z82" s="322">
        <v>0</v>
      </c>
      <c r="AA82" s="322">
        <v>0</v>
      </c>
      <c r="AB82" s="322">
        <v>0</v>
      </c>
      <c r="AC82" s="322">
        <v>0</v>
      </c>
      <c r="AD82" s="322">
        <v>0</v>
      </c>
      <c r="AE82" s="322">
        <v>0</v>
      </c>
      <c r="AF82" s="322">
        <v>0</v>
      </c>
      <c r="AG82" s="322">
        <v>0</v>
      </c>
      <c r="AH82" s="322">
        <v>0</v>
      </c>
      <c r="AI82" s="322">
        <v>0</v>
      </c>
      <c r="AJ82" s="322">
        <v>0</v>
      </c>
      <c r="AK82" s="322">
        <v>0</v>
      </c>
      <c r="AL82" s="322">
        <v>0</v>
      </c>
      <c r="AM82" s="322">
        <v>1449</v>
      </c>
      <c r="AN82" s="322">
        <f t="shared" si="261"/>
        <v>1677</v>
      </c>
      <c r="AO82" s="322">
        <f t="shared" si="262"/>
        <v>1624</v>
      </c>
      <c r="AP82" s="322">
        <f t="shared" si="262"/>
        <v>2294</v>
      </c>
      <c r="AQ82" s="322">
        <v>3126</v>
      </c>
      <c r="AR82" s="322">
        <v>4750</v>
      </c>
      <c r="AS82" s="322">
        <v>7044</v>
      </c>
      <c r="AT82" s="322">
        <v>2131</v>
      </c>
      <c r="AU82" s="336">
        <f>AX82-AT82</f>
        <v>1253</v>
      </c>
      <c r="AV82" s="322">
        <f t="shared" si="297"/>
        <v>1822</v>
      </c>
      <c r="AW82" s="322">
        <f t="shared" si="297"/>
        <v>2237</v>
      </c>
      <c r="AX82" s="322">
        <v>3384</v>
      </c>
      <c r="AY82" s="322">
        <v>5206</v>
      </c>
      <c r="AZ82" s="322">
        <v>7443</v>
      </c>
      <c r="BA82" s="322">
        <v>2741</v>
      </c>
      <c r="BB82" s="336">
        <f t="shared" si="298"/>
        <v>1582</v>
      </c>
      <c r="BC82" s="322">
        <f t="shared" si="299"/>
        <v>1826</v>
      </c>
      <c r="BD82" s="322">
        <f t="shared" si="300"/>
        <v>1427</v>
      </c>
      <c r="BE82" s="322">
        <v>4323</v>
      </c>
      <c r="BF82" s="322">
        <v>6149</v>
      </c>
      <c r="BG82" s="322">
        <v>7576</v>
      </c>
      <c r="BH82" s="322">
        <v>1106</v>
      </c>
      <c r="BI82" s="322">
        <f t="shared" si="301"/>
        <v>943</v>
      </c>
      <c r="BJ82" s="322">
        <f t="shared" si="302"/>
        <v>1304</v>
      </c>
      <c r="BK82" s="322">
        <f t="shared" si="303"/>
        <v>1009</v>
      </c>
      <c r="BL82" s="322">
        <v>2049</v>
      </c>
      <c r="BM82" s="322">
        <v>3353</v>
      </c>
      <c r="BN82" s="322">
        <v>4362</v>
      </c>
      <c r="BO82" s="322">
        <v>821</v>
      </c>
      <c r="BP82" s="322">
        <f t="shared" si="304"/>
        <v>837</v>
      </c>
      <c r="BQ82" s="322">
        <f t="shared" si="305"/>
        <v>891</v>
      </c>
      <c r="BR82" s="322">
        <f t="shared" si="306"/>
        <v>918</v>
      </c>
      <c r="BS82" s="322">
        <v>1658</v>
      </c>
      <c r="BT82" s="322">
        <v>2549</v>
      </c>
      <c r="BU82" s="322">
        <v>3467</v>
      </c>
      <c r="BV82" s="322">
        <v>3074</v>
      </c>
      <c r="BW82" s="322">
        <f t="shared" si="307"/>
        <v>1615</v>
      </c>
      <c r="BX82" s="322">
        <f t="shared" si="308"/>
        <v>1754</v>
      </c>
      <c r="BY82" s="322">
        <f t="shared" si="309"/>
        <v>2660</v>
      </c>
      <c r="BZ82" s="322">
        <v>4689</v>
      </c>
      <c r="CA82" s="322">
        <v>6443</v>
      </c>
      <c r="CB82" s="322">
        <v>9103</v>
      </c>
      <c r="CC82" s="322">
        <v>2393</v>
      </c>
      <c r="CD82" s="322">
        <f>CG82-CC82</f>
        <v>1458</v>
      </c>
      <c r="CE82" s="322">
        <f>CH82-CG82</f>
        <v>1842</v>
      </c>
      <c r="CF82" s="322">
        <f t="shared" si="310"/>
        <v>2164</v>
      </c>
      <c r="CG82" s="322">
        <v>3851</v>
      </c>
      <c r="CH82" s="322">
        <v>5693</v>
      </c>
      <c r="CI82" s="322">
        <v>7857</v>
      </c>
      <c r="CJ82" s="322">
        <v>3225</v>
      </c>
      <c r="CK82" s="322">
        <f t="shared" si="311"/>
        <v>2222</v>
      </c>
      <c r="CL82" s="322"/>
      <c r="CM82" s="322"/>
      <c r="CN82" s="322">
        <v>5447</v>
      </c>
      <c r="CO82" s="322"/>
    </row>
    <row r="83" spans="1:93" s="377" customFormat="1" ht="13" x14ac:dyDescent="0.3">
      <c r="A83" s="338" t="str">
        <f>Language!$G87</f>
        <v>Receita Operacional Líquida</v>
      </c>
      <c r="B83" s="338">
        <f t="shared" ref="B83:AK83" si="312">SUM(B84,B85,B87,B86,B88)</f>
        <v>22192</v>
      </c>
      <c r="C83" s="338">
        <f t="shared" si="312"/>
        <v>21290</v>
      </c>
      <c r="D83" s="338">
        <f t="shared" si="312"/>
        <v>23441</v>
      </c>
      <c r="E83" s="339">
        <f t="shared" si="312"/>
        <v>24442</v>
      </c>
      <c r="F83" s="338">
        <f t="shared" si="312"/>
        <v>25282</v>
      </c>
      <c r="G83" s="338">
        <f t="shared" si="312"/>
        <v>27380</v>
      </c>
      <c r="H83" s="338">
        <f t="shared" si="312"/>
        <v>25951</v>
      </c>
      <c r="I83" s="339">
        <f t="shared" si="312"/>
        <v>25092</v>
      </c>
      <c r="J83" s="338">
        <f t="shared" si="312"/>
        <v>37344</v>
      </c>
      <c r="K83" s="338">
        <f t="shared" si="312"/>
        <v>25263</v>
      </c>
      <c r="L83" s="338">
        <f t="shared" si="312"/>
        <v>29828</v>
      </c>
      <c r="M83" s="339">
        <f t="shared" si="312"/>
        <v>61357.997943999988</v>
      </c>
      <c r="N83" s="338">
        <f t="shared" si="312"/>
        <v>238919</v>
      </c>
      <c r="O83" s="338">
        <f t="shared" si="312"/>
        <v>39471</v>
      </c>
      <c r="P83" s="338">
        <f t="shared" si="312"/>
        <v>44613.902534548019</v>
      </c>
      <c r="Q83" s="339">
        <f t="shared" si="312"/>
        <v>64420.097465451981</v>
      </c>
      <c r="R83" s="338">
        <v>120605</v>
      </c>
      <c r="S83" s="338">
        <v>56744</v>
      </c>
      <c r="T83" s="338">
        <v>61027</v>
      </c>
      <c r="U83" s="338">
        <v>44847</v>
      </c>
      <c r="V83" s="338">
        <v>177349</v>
      </c>
      <c r="W83" s="338">
        <v>238376</v>
      </c>
      <c r="X83" s="339">
        <v>283223</v>
      </c>
      <c r="Y83" s="338">
        <f t="shared" si="312"/>
        <v>14249</v>
      </c>
      <c r="Z83" s="338">
        <f t="shared" si="312"/>
        <v>12934</v>
      </c>
      <c r="AA83" s="338">
        <f t="shared" si="312"/>
        <v>7999</v>
      </c>
      <c r="AB83" s="338">
        <f t="shared" si="312"/>
        <v>12822</v>
      </c>
      <c r="AC83" s="338">
        <f t="shared" si="312"/>
        <v>27183</v>
      </c>
      <c r="AD83" s="338">
        <f t="shared" si="312"/>
        <v>35182</v>
      </c>
      <c r="AE83" s="339">
        <f t="shared" si="312"/>
        <v>48004</v>
      </c>
      <c r="AF83" s="338">
        <f t="shared" si="312"/>
        <v>14733</v>
      </c>
      <c r="AG83" s="338">
        <f t="shared" si="312"/>
        <v>15155</v>
      </c>
      <c r="AH83" s="338">
        <f t="shared" si="312"/>
        <v>14646</v>
      </c>
      <c r="AI83" s="338">
        <f t="shared" si="312"/>
        <v>33742</v>
      </c>
      <c r="AJ83" s="338">
        <f t="shared" si="312"/>
        <v>29888</v>
      </c>
      <c r="AK83" s="338">
        <f t="shared" si="312"/>
        <v>44534</v>
      </c>
      <c r="AL83" s="339">
        <f>SUM(AL84,AL85,AL87,AL86-AL88)</f>
        <v>65420</v>
      </c>
      <c r="AM83" s="338">
        <f>SUM(AM84,AM85,AM87,AM86+AM88)</f>
        <v>16777</v>
      </c>
      <c r="AN83" s="338">
        <f t="shared" si="261"/>
        <v>16732</v>
      </c>
      <c r="AO83" s="338">
        <f t="shared" si="262"/>
        <v>25092</v>
      </c>
      <c r="AP83" s="338">
        <f t="shared" si="262"/>
        <v>25768.722999999998</v>
      </c>
      <c r="AQ83" s="338">
        <f>SUM(AQ84,AQ85,AQ87,AQ86+AQ88)</f>
        <v>33509</v>
      </c>
      <c r="AR83" s="338">
        <f>SUM(AR84,AR85,AR87,AR86+AR88)</f>
        <v>58601</v>
      </c>
      <c r="AS83" s="339">
        <f>SUM(AS84,AS85,AS87,AS86+AS88)</f>
        <v>84369.722999999998</v>
      </c>
      <c r="AT83" s="338">
        <f>SUM(AT84,AT85,AT87,AT86+AT88)</f>
        <v>25364.45</v>
      </c>
      <c r="AU83" s="338">
        <v>24619.45</v>
      </c>
      <c r="AV83" s="338">
        <f>SUM(AV84,AV85,AV87,AV86+AV88)</f>
        <v>28248.1</v>
      </c>
      <c r="AW83" s="338">
        <f>SUM(AW84,AW85,AW87,AW86+AW88)</f>
        <v>28668</v>
      </c>
      <c r="AX83" s="338">
        <v>49983.9</v>
      </c>
      <c r="AY83" s="338">
        <f>SUM(AY84,AY85,AY87,AY86+AY88)</f>
        <v>78232</v>
      </c>
      <c r="AZ83" s="338">
        <f>SUM(AZ84,AZ85,AZ87,AZ86+AZ88)</f>
        <v>106900</v>
      </c>
      <c r="BA83" s="338">
        <f>SUM(BA84,BA85,BA87,BA86+BA88)</f>
        <v>28593</v>
      </c>
      <c r="BB83" s="338">
        <f t="shared" ref="BB83:BD83" si="313">SUM(BB84,BB85,BB87,BB86+BB88)</f>
        <v>27392</v>
      </c>
      <c r="BC83" s="338">
        <f t="shared" si="313"/>
        <v>31932</v>
      </c>
      <c r="BD83" s="338">
        <f t="shared" si="313"/>
        <v>30839</v>
      </c>
      <c r="BE83" s="338">
        <f>SUM(BE84,BE85,BE87,BE86+BE88)</f>
        <v>55985</v>
      </c>
      <c r="BF83" s="338">
        <f>SUM(BF84,BF85,BF87,BF86+BF88)</f>
        <v>87917</v>
      </c>
      <c r="BG83" s="338">
        <f>SUM(BG84,BG85,BG87,BG86+BG88)</f>
        <v>118756</v>
      </c>
      <c r="BH83" s="338">
        <f>SUM(BH84,BH85,BH87,BH86+BH88)</f>
        <v>30086</v>
      </c>
      <c r="BI83" s="338">
        <f t="shared" ref="BI83:BL83" si="314">SUM(BI84,BI85,BI87,BI86+BI88)</f>
        <v>30075</v>
      </c>
      <c r="BJ83" s="338">
        <f t="shared" si="314"/>
        <v>31429</v>
      </c>
      <c r="BK83" s="338">
        <f t="shared" si="314"/>
        <v>31135</v>
      </c>
      <c r="BL83" s="338">
        <f t="shared" si="314"/>
        <v>60161</v>
      </c>
      <c r="BM83" s="338">
        <f t="shared" ref="BM83:BN83" si="315">SUM(BM84,BM85,BM87,BM86+BM88)</f>
        <v>91590</v>
      </c>
      <c r="BN83" s="338">
        <f t="shared" si="315"/>
        <v>122725</v>
      </c>
      <c r="BO83" s="338">
        <f t="shared" ref="BO83:BS83" si="316">SUM(BO84,BO85,BO87,BO86+BO88)</f>
        <v>30567</v>
      </c>
      <c r="BP83" s="338">
        <f t="shared" si="316"/>
        <v>30758</v>
      </c>
      <c r="BQ83" s="338">
        <f t="shared" si="316"/>
        <v>35230</v>
      </c>
      <c r="BR83" s="338">
        <f t="shared" si="316"/>
        <v>35244</v>
      </c>
      <c r="BS83" s="338">
        <f t="shared" si="316"/>
        <v>61325</v>
      </c>
      <c r="BT83" s="338">
        <f t="shared" ref="BT83:BU83" si="317">SUM(BT84,BT85,BT87,BT86+BT88)</f>
        <v>96555</v>
      </c>
      <c r="BU83" s="338">
        <f t="shared" si="317"/>
        <v>131799</v>
      </c>
      <c r="BV83" s="338">
        <f t="shared" ref="BV83:BZ83" si="318">SUM(BV84,BV85,BV87,BV86+BV88)</f>
        <v>36992</v>
      </c>
      <c r="BW83" s="338">
        <f t="shared" si="318"/>
        <v>35734</v>
      </c>
      <c r="BX83" s="338">
        <f t="shared" si="318"/>
        <v>36481</v>
      </c>
      <c r="BY83" s="338">
        <f t="shared" si="318"/>
        <v>37408</v>
      </c>
      <c r="BZ83" s="338">
        <f t="shared" si="318"/>
        <v>72726</v>
      </c>
      <c r="CA83" s="338">
        <f t="shared" ref="CA83:CB83" si="319">SUM(CA84,CA85,CA87,CA86+CA88)</f>
        <v>109207</v>
      </c>
      <c r="CB83" s="338">
        <f t="shared" si="319"/>
        <v>146615</v>
      </c>
      <c r="CC83" s="338">
        <f t="shared" ref="CC83:CD83" si="320">SUM(CC84,CC85,CC87,CC86+CC88)</f>
        <v>36904</v>
      </c>
      <c r="CD83" s="338">
        <f t="shared" si="320"/>
        <v>35989</v>
      </c>
      <c r="CE83" s="338">
        <f t="shared" ref="CE83:CG83" si="321">SUM(CE84,CE85,CE87,CE86+CE88)</f>
        <v>36121</v>
      </c>
      <c r="CF83" s="338">
        <f t="shared" si="321"/>
        <v>36452</v>
      </c>
      <c r="CG83" s="338">
        <f t="shared" si="321"/>
        <v>72893</v>
      </c>
      <c r="CH83" s="338">
        <f t="shared" ref="CH83:CI83" si="322">SUM(CH84,CH85,CH87,CH86+CH88)</f>
        <v>109014</v>
      </c>
      <c r="CI83" s="338">
        <f t="shared" si="322"/>
        <v>145466</v>
      </c>
      <c r="CJ83" s="338">
        <v>37391</v>
      </c>
      <c r="CK83" s="338">
        <f t="shared" ref="CK83:CO83" si="323">SUM(CK84,CK85,CK87,CK86+CK88)</f>
        <v>36623</v>
      </c>
      <c r="CL83" s="338">
        <f t="shared" si="323"/>
        <v>0</v>
      </c>
      <c r="CM83" s="338">
        <f t="shared" si="323"/>
        <v>0</v>
      </c>
      <c r="CN83" s="338">
        <f t="shared" si="323"/>
        <v>74014</v>
      </c>
      <c r="CO83" s="338">
        <f t="shared" si="323"/>
        <v>0</v>
      </c>
    </row>
    <row r="84" spans="1:93" s="342" customFormat="1" x14ac:dyDescent="0.25">
      <c r="A84" s="341" t="str">
        <f>Language!$G88</f>
        <v>Rio Verde</v>
      </c>
      <c r="B84" s="342">
        <f t="shared" ref="B84:Y84" si="324">SUM(B72,B78)</f>
        <v>22192</v>
      </c>
      <c r="C84" s="342">
        <f t="shared" si="324"/>
        <v>21290</v>
      </c>
      <c r="D84" s="342">
        <f t="shared" si="324"/>
        <v>23441</v>
      </c>
      <c r="E84" s="343">
        <f t="shared" si="324"/>
        <v>24442</v>
      </c>
      <c r="F84" s="342">
        <f t="shared" si="324"/>
        <v>25282</v>
      </c>
      <c r="G84" s="342">
        <f t="shared" si="324"/>
        <v>27380</v>
      </c>
      <c r="H84" s="342">
        <f t="shared" si="324"/>
        <v>25951</v>
      </c>
      <c r="I84" s="343">
        <f t="shared" si="324"/>
        <v>25092</v>
      </c>
      <c r="J84" s="342">
        <f t="shared" si="324"/>
        <v>24963</v>
      </c>
      <c r="K84" s="342">
        <f t="shared" si="324"/>
        <v>25263</v>
      </c>
      <c r="L84" s="342">
        <f t="shared" si="324"/>
        <v>29027.245620000002</v>
      </c>
      <c r="M84" s="343">
        <f t="shared" si="324"/>
        <v>29626.972323999988</v>
      </c>
      <c r="N84" s="342">
        <f t="shared" si="324"/>
        <v>28031</v>
      </c>
      <c r="O84" s="342">
        <f t="shared" si="324"/>
        <v>23975</v>
      </c>
      <c r="P84" s="342">
        <f t="shared" si="324"/>
        <v>28738.792870000005</v>
      </c>
      <c r="Q84" s="343">
        <f t="shared" si="324"/>
        <v>33226.207129999995</v>
      </c>
      <c r="R84" s="342">
        <v>28434</v>
      </c>
      <c r="S84" s="342">
        <v>29137</v>
      </c>
      <c r="T84" s="342">
        <v>32203</v>
      </c>
      <c r="U84" s="342">
        <v>20009</v>
      </c>
      <c r="V84" s="342">
        <v>57571</v>
      </c>
      <c r="W84" s="342">
        <v>89774</v>
      </c>
      <c r="X84" s="343">
        <v>109783</v>
      </c>
      <c r="Y84" s="342">
        <f t="shared" si="324"/>
        <v>0</v>
      </c>
      <c r="Z84" s="342">
        <f t="shared" si="263"/>
        <v>0</v>
      </c>
      <c r="AA84" s="342">
        <f t="shared" ref="AA84:AF87" si="325">SUM(AA72,AA78)</f>
        <v>0</v>
      </c>
      <c r="AB84" s="342">
        <f t="shared" si="325"/>
        <v>0</v>
      </c>
      <c r="AC84" s="342">
        <f t="shared" si="325"/>
        <v>0</v>
      </c>
      <c r="AD84" s="342">
        <f t="shared" si="325"/>
        <v>0</v>
      </c>
      <c r="AE84" s="343">
        <f t="shared" si="325"/>
        <v>0</v>
      </c>
      <c r="AF84" s="342">
        <f t="shared" si="325"/>
        <v>0</v>
      </c>
      <c r="AG84" s="342">
        <f>AJ84-AF84</f>
        <v>0</v>
      </c>
      <c r="AH84" s="342">
        <f t="shared" ref="AH84:AL85" si="326">SUM(AH72,AH78)</f>
        <v>0</v>
      </c>
      <c r="AI84" s="342">
        <f t="shared" si="326"/>
        <v>0</v>
      </c>
      <c r="AJ84" s="342">
        <f t="shared" si="326"/>
        <v>0</v>
      </c>
      <c r="AK84" s="342">
        <f t="shared" si="326"/>
        <v>0</v>
      </c>
      <c r="AL84" s="343">
        <f t="shared" si="326"/>
        <v>0</v>
      </c>
      <c r="AM84" s="342">
        <v>0</v>
      </c>
      <c r="AN84" s="322">
        <f t="shared" si="261"/>
        <v>0</v>
      </c>
      <c r="AO84" s="322">
        <f t="shared" si="262"/>
        <v>0</v>
      </c>
      <c r="AP84" s="322">
        <f t="shared" si="262"/>
        <v>0</v>
      </c>
      <c r="AQ84" s="322">
        <v>0</v>
      </c>
      <c r="AR84" s="322"/>
      <c r="AS84" s="343"/>
    </row>
    <row r="85" spans="1:93" s="342" customFormat="1" x14ac:dyDescent="0.25">
      <c r="A85" s="341" t="str">
        <f>Language!$G89</f>
        <v>Rio Canoas</v>
      </c>
      <c r="B85" s="342">
        <f t="shared" ref="B85:Y85" si="327">SUM(B73,B79)</f>
        <v>0</v>
      </c>
      <c r="C85" s="342">
        <f t="shared" si="327"/>
        <v>0</v>
      </c>
      <c r="D85" s="342">
        <f t="shared" si="327"/>
        <v>0</v>
      </c>
      <c r="E85" s="343">
        <f t="shared" si="327"/>
        <v>0</v>
      </c>
      <c r="F85" s="342">
        <f t="shared" si="327"/>
        <v>0</v>
      </c>
      <c r="G85" s="342">
        <f t="shared" si="327"/>
        <v>0</v>
      </c>
      <c r="H85" s="342">
        <f t="shared" si="327"/>
        <v>0</v>
      </c>
      <c r="I85" s="343">
        <f t="shared" si="327"/>
        <v>0</v>
      </c>
      <c r="J85" s="342">
        <f t="shared" si="327"/>
        <v>0</v>
      </c>
      <c r="K85" s="342">
        <f t="shared" si="327"/>
        <v>0</v>
      </c>
      <c r="L85" s="342">
        <f t="shared" si="327"/>
        <v>1258.7543799999985</v>
      </c>
      <c r="M85" s="343">
        <f t="shared" si="327"/>
        <v>30304.02562</v>
      </c>
      <c r="N85" s="342">
        <f t="shared" si="327"/>
        <v>210888</v>
      </c>
      <c r="O85" s="342">
        <f t="shared" si="327"/>
        <v>15496</v>
      </c>
      <c r="P85" s="342">
        <f t="shared" si="327"/>
        <v>15874.97086567001</v>
      </c>
      <c r="Q85" s="343">
        <f t="shared" si="327"/>
        <v>21420.02913432999</v>
      </c>
      <c r="R85" s="342">
        <v>81117</v>
      </c>
      <c r="S85" s="342">
        <v>17035</v>
      </c>
      <c r="T85" s="342">
        <v>15662</v>
      </c>
      <c r="U85" s="342">
        <v>12300</v>
      </c>
      <c r="V85" s="342">
        <v>98152</v>
      </c>
      <c r="W85" s="342">
        <v>113814</v>
      </c>
      <c r="X85" s="343">
        <v>126114</v>
      </c>
      <c r="Y85" s="342">
        <f t="shared" si="327"/>
        <v>0</v>
      </c>
      <c r="Z85" s="342">
        <f t="shared" si="263"/>
        <v>0</v>
      </c>
      <c r="AA85" s="342">
        <f t="shared" si="325"/>
        <v>0</v>
      </c>
      <c r="AB85" s="342">
        <f t="shared" si="325"/>
        <v>0</v>
      </c>
      <c r="AC85" s="342">
        <f t="shared" si="325"/>
        <v>0</v>
      </c>
      <c r="AD85" s="342">
        <f t="shared" si="325"/>
        <v>0</v>
      </c>
      <c r="AE85" s="343">
        <f t="shared" si="325"/>
        <v>0</v>
      </c>
      <c r="AF85" s="342">
        <f t="shared" si="325"/>
        <v>0</v>
      </c>
      <c r="AG85" s="342">
        <f>AJ85-AF85</f>
        <v>0</v>
      </c>
      <c r="AH85" s="342">
        <f t="shared" si="326"/>
        <v>0</v>
      </c>
      <c r="AI85" s="342">
        <f t="shared" si="326"/>
        <v>0</v>
      </c>
      <c r="AJ85" s="342">
        <f t="shared" si="326"/>
        <v>0</v>
      </c>
      <c r="AK85" s="342">
        <f t="shared" si="326"/>
        <v>0</v>
      </c>
      <c r="AL85" s="343">
        <f t="shared" si="326"/>
        <v>0</v>
      </c>
      <c r="AM85" s="342">
        <v>0</v>
      </c>
      <c r="AN85" s="322">
        <f t="shared" si="261"/>
        <v>0</v>
      </c>
      <c r="AO85" s="322">
        <f t="shared" si="262"/>
        <v>0</v>
      </c>
      <c r="AP85" s="322">
        <f t="shared" si="262"/>
        <v>0</v>
      </c>
      <c r="AQ85" s="322">
        <v>0</v>
      </c>
      <c r="AR85" s="322"/>
      <c r="AS85" s="343"/>
    </row>
    <row r="86" spans="1:93" s="342" customFormat="1" x14ac:dyDescent="0.25">
      <c r="A86" s="341" t="str">
        <f>Language!$G90</f>
        <v>Tijoá</v>
      </c>
      <c r="B86" s="342">
        <f t="shared" ref="B86:Y86" si="328">SUM(B74,B80)</f>
        <v>0</v>
      </c>
      <c r="C86" s="342">
        <f t="shared" si="328"/>
        <v>0</v>
      </c>
      <c r="D86" s="342">
        <f t="shared" si="328"/>
        <v>0</v>
      </c>
      <c r="E86" s="343">
        <f t="shared" si="328"/>
        <v>0</v>
      </c>
      <c r="F86" s="342">
        <f t="shared" si="328"/>
        <v>0</v>
      </c>
      <c r="G86" s="342">
        <f t="shared" si="328"/>
        <v>0</v>
      </c>
      <c r="H86" s="342">
        <f t="shared" si="328"/>
        <v>0</v>
      </c>
      <c r="I86" s="343">
        <f t="shared" si="328"/>
        <v>0</v>
      </c>
      <c r="J86" s="342">
        <f t="shared" si="328"/>
        <v>0</v>
      </c>
      <c r="K86" s="342">
        <f t="shared" si="328"/>
        <v>0</v>
      </c>
      <c r="L86" s="342">
        <f t="shared" si="328"/>
        <v>0</v>
      </c>
      <c r="M86" s="343">
        <f t="shared" si="328"/>
        <v>0</v>
      </c>
      <c r="N86" s="342">
        <f t="shared" si="328"/>
        <v>0</v>
      </c>
      <c r="O86" s="342">
        <f t="shared" si="328"/>
        <v>0</v>
      </c>
      <c r="P86" s="342">
        <f t="shared" si="328"/>
        <v>0</v>
      </c>
      <c r="Q86" s="343">
        <f t="shared" si="328"/>
        <v>0</v>
      </c>
      <c r="R86" s="342">
        <v>10630</v>
      </c>
      <c r="S86" s="342">
        <v>10864</v>
      </c>
      <c r="T86" s="342">
        <v>11931</v>
      </c>
      <c r="U86" s="342">
        <v>12057</v>
      </c>
      <c r="V86" s="342">
        <v>21494</v>
      </c>
      <c r="W86" s="342">
        <v>33425</v>
      </c>
      <c r="X86" s="343">
        <v>45482</v>
      </c>
      <c r="Y86" s="342">
        <f t="shared" si="328"/>
        <v>14249</v>
      </c>
      <c r="Z86" s="342">
        <f t="shared" si="263"/>
        <v>12934</v>
      </c>
      <c r="AA86" s="342">
        <f t="shared" si="325"/>
        <v>6659</v>
      </c>
      <c r="AB86" s="342">
        <f t="shared" si="325"/>
        <v>12349</v>
      </c>
      <c r="AC86" s="342">
        <f t="shared" si="325"/>
        <v>27183</v>
      </c>
      <c r="AD86" s="342">
        <f t="shared" si="325"/>
        <v>33842</v>
      </c>
      <c r="AE86" s="343">
        <f t="shared" si="325"/>
        <v>46191</v>
      </c>
      <c r="AF86" s="342">
        <f t="shared" si="325"/>
        <v>14247</v>
      </c>
      <c r="AG86" s="342">
        <f>AJ86-AF86</f>
        <v>14669</v>
      </c>
      <c r="AH86" s="342">
        <f t="shared" ref="AH86:AK87" si="329">SUM(AH74,AH80)</f>
        <v>14941</v>
      </c>
      <c r="AI86" s="342">
        <f t="shared" si="329"/>
        <v>16267</v>
      </c>
      <c r="AJ86" s="342">
        <f t="shared" si="329"/>
        <v>28916</v>
      </c>
      <c r="AK86" s="342">
        <f t="shared" si="329"/>
        <v>43857</v>
      </c>
      <c r="AL86" s="343">
        <v>55868</v>
      </c>
      <c r="AM86" s="342">
        <f>AM74+AM80</f>
        <v>14686</v>
      </c>
      <c r="AN86" s="322">
        <f t="shared" si="261"/>
        <v>14620</v>
      </c>
      <c r="AO86" s="322">
        <f t="shared" si="262"/>
        <v>23040</v>
      </c>
      <c r="AP86" s="322">
        <f t="shared" si="262"/>
        <v>23029</v>
      </c>
      <c r="AQ86" s="322">
        <f t="shared" ref="AQ86:AS87" si="330">AQ74+AQ80</f>
        <v>29306</v>
      </c>
      <c r="AR86" s="322">
        <f t="shared" si="330"/>
        <v>52346</v>
      </c>
      <c r="AS86" s="343">
        <f t="shared" si="330"/>
        <v>75375</v>
      </c>
      <c r="AT86" s="342">
        <f t="shared" ref="AT86:AU86" si="331">AT74+AT80</f>
        <v>22762</v>
      </c>
      <c r="AU86" s="342">
        <f t="shared" si="331"/>
        <v>22895</v>
      </c>
      <c r="AV86" s="342">
        <f t="shared" ref="AV86:AX86" si="332">AV74+AV80</f>
        <v>25975</v>
      </c>
      <c r="AW86" s="342">
        <f t="shared" si="332"/>
        <v>25945</v>
      </c>
      <c r="AX86" s="342">
        <f t="shared" si="332"/>
        <v>45657</v>
      </c>
      <c r="AY86" s="342">
        <f t="shared" ref="AY86:AZ86" si="333">AY74+AY80</f>
        <v>71632</v>
      </c>
      <c r="AZ86" s="342">
        <f t="shared" si="333"/>
        <v>97577</v>
      </c>
      <c r="BA86" s="342">
        <f t="shared" ref="BA86:BD86" si="334">BA74+BA80</f>
        <v>25799</v>
      </c>
      <c r="BB86" s="342">
        <f t="shared" si="334"/>
        <v>25811</v>
      </c>
      <c r="BC86" s="342">
        <f t="shared" si="334"/>
        <v>30106</v>
      </c>
      <c r="BD86" s="342">
        <f t="shared" si="334"/>
        <v>29412</v>
      </c>
      <c r="BE86" s="342">
        <f t="shared" ref="BE86:BF86" si="335">BE74+BE80</f>
        <v>51610</v>
      </c>
      <c r="BF86" s="342">
        <f t="shared" si="335"/>
        <v>81716</v>
      </c>
      <c r="BG86" s="342">
        <f t="shared" ref="BG86:BH86" si="336">BG74+BG80</f>
        <v>111128</v>
      </c>
      <c r="BH86" s="342">
        <f t="shared" si="336"/>
        <v>28980</v>
      </c>
      <c r="BI86" s="342">
        <f t="shared" ref="BI86:BL86" si="337">BI74+BI80</f>
        <v>29132</v>
      </c>
      <c r="BJ86" s="342">
        <f t="shared" si="337"/>
        <v>30125</v>
      </c>
      <c r="BK86" s="342">
        <f t="shared" si="337"/>
        <v>30126</v>
      </c>
      <c r="BL86" s="342">
        <f t="shared" si="337"/>
        <v>58112</v>
      </c>
      <c r="BM86" s="342">
        <f t="shared" ref="BM86:BN86" si="338">BM74+BM80</f>
        <v>88237</v>
      </c>
      <c r="BN86" s="342">
        <f t="shared" si="338"/>
        <v>118363</v>
      </c>
      <c r="BO86" s="342">
        <f t="shared" ref="BO86:BS86" si="339">BO74+BO80</f>
        <v>29746</v>
      </c>
      <c r="BP86" s="342">
        <f t="shared" si="339"/>
        <v>29921</v>
      </c>
      <c r="BQ86" s="342">
        <f t="shared" si="339"/>
        <v>34339</v>
      </c>
      <c r="BR86" s="342">
        <f t="shared" si="339"/>
        <v>34326</v>
      </c>
      <c r="BS86" s="342">
        <f t="shared" si="339"/>
        <v>59667</v>
      </c>
      <c r="BT86" s="342">
        <f t="shared" ref="BT86:BU86" si="340">BT74+BT80</f>
        <v>94006</v>
      </c>
      <c r="BU86" s="342">
        <f t="shared" si="340"/>
        <v>128332</v>
      </c>
      <c r="BV86" s="342">
        <f t="shared" ref="BV86:BZ86" si="341">BV74+BV80</f>
        <v>33918</v>
      </c>
      <c r="BW86" s="342">
        <f t="shared" si="341"/>
        <v>34119</v>
      </c>
      <c r="BX86" s="342">
        <f t="shared" si="341"/>
        <v>34727</v>
      </c>
      <c r="BY86" s="342">
        <f t="shared" si="341"/>
        <v>34748</v>
      </c>
      <c r="BZ86" s="342">
        <f t="shared" si="341"/>
        <v>68037</v>
      </c>
      <c r="CA86" s="342">
        <f t="shared" ref="CA86:CB86" si="342">CA74+CA80</f>
        <v>102764</v>
      </c>
      <c r="CB86" s="342">
        <f t="shared" si="342"/>
        <v>137512</v>
      </c>
      <c r="CC86" s="342">
        <f t="shared" ref="CC86:CD86" si="343">CC74+CC80</f>
        <v>34511</v>
      </c>
      <c r="CD86" s="342">
        <f t="shared" si="343"/>
        <v>34531</v>
      </c>
      <c r="CE86" s="342">
        <f t="shared" ref="CE86:CG86" si="344">CE74+CE80</f>
        <v>34279</v>
      </c>
      <c r="CF86" s="342">
        <f t="shared" si="344"/>
        <v>34288</v>
      </c>
      <c r="CG86" s="342">
        <f t="shared" si="344"/>
        <v>69042</v>
      </c>
      <c r="CH86" s="342">
        <f t="shared" ref="CH86:CI86" si="345">CH74+CH80</f>
        <v>103321</v>
      </c>
      <c r="CI86" s="342">
        <f t="shared" si="345"/>
        <v>137609</v>
      </c>
      <c r="CJ86" s="342">
        <v>34166</v>
      </c>
      <c r="CK86" s="342">
        <f t="shared" ref="CK86:CO86" si="346">CK74+CK80</f>
        <v>34401</v>
      </c>
      <c r="CL86" s="342">
        <f t="shared" si="346"/>
        <v>0</v>
      </c>
      <c r="CM86" s="342">
        <f t="shared" si="346"/>
        <v>0</v>
      </c>
      <c r="CN86" s="342">
        <f t="shared" si="346"/>
        <v>68567</v>
      </c>
      <c r="CO86" s="342">
        <f t="shared" si="346"/>
        <v>0</v>
      </c>
    </row>
    <row r="87" spans="1:93" s="342" customFormat="1" x14ac:dyDescent="0.25">
      <c r="A87" s="341" t="str">
        <f>Language!$G91</f>
        <v>Outros</v>
      </c>
      <c r="B87" s="342">
        <f t="shared" ref="B87:Y87" si="347">SUM(B75,B81)</f>
        <v>0</v>
      </c>
      <c r="C87" s="342">
        <f t="shared" si="347"/>
        <v>0</v>
      </c>
      <c r="D87" s="342">
        <f t="shared" si="347"/>
        <v>0</v>
      </c>
      <c r="E87" s="343">
        <f t="shared" si="347"/>
        <v>0</v>
      </c>
      <c r="F87" s="342">
        <f t="shared" si="347"/>
        <v>0</v>
      </c>
      <c r="G87" s="342">
        <f t="shared" si="347"/>
        <v>0</v>
      </c>
      <c r="H87" s="342">
        <f t="shared" si="347"/>
        <v>0</v>
      </c>
      <c r="I87" s="343">
        <f t="shared" si="347"/>
        <v>0</v>
      </c>
      <c r="J87" s="342">
        <f t="shared" si="347"/>
        <v>12381</v>
      </c>
      <c r="K87" s="342">
        <f t="shared" si="347"/>
        <v>0</v>
      </c>
      <c r="L87" s="342">
        <f t="shared" si="347"/>
        <v>-458</v>
      </c>
      <c r="M87" s="343">
        <f t="shared" si="347"/>
        <v>1427</v>
      </c>
      <c r="N87" s="342">
        <f t="shared" si="347"/>
        <v>0</v>
      </c>
      <c r="O87" s="342">
        <f t="shared" si="347"/>
        <v>0</v>
      </c>
      <c r="P87" s="342">
        <f t="shared" si="347"/>
        <v>0.13879887800430879</v>
      </c>
      <c r="Q87" s="343">
        <f t="shared" si="347"/>
        <v>9773.8612011219957</v>
      </c>
      <c r="R87" s="342">
        <v>424</v>
      </c>
      <c r="S87" s="342">
        <v>-292</v>
      </c>
      <c r="T87" s="342">
        <v>1231</v>
      </c>
      <c r="U87" s="342">
        <v>481</v>
      </c>
      <c r="V87" s="342">
        <v>132</v>
      </c>
      <c r="W87" s="342">
        <v>1363</v>
      </c>
      <c r="X87" s="343">
        <v>1844</v>
      </c>
      <c r="Y87" s="342">
        <f t="shared" si="347"/>
        <v>0</v>
      </c>
      <c r="Z87" s="342">
        <f t="shared" si="263"/>
        <v>0</v>
      </c>
      <c r="AA87" s="342">
        <f t="shared" si="325"/>
        <v>1340</v>
      </c>
      <c r="AB87" s="342">
        <f t="shared" si="325"/>
        <v>473</v>
      </c>
      <c r="AC87" s="342">
        <f t="shared" si="325"/>
        <v>0</v>
      </c>
      <c r="AD87" s="342">
        <f t="shared" si="325"/>
        <v>1340</v>
      </c>
      <c r="AE87" s="343">
        <f t="shared" si="325"/>
        <v>1813</v>
      </c>
      <c r="AF87" s="342">
        <f t="shared" si="325"/>
        <v>486</v>
      </c>
      <c r="AG87" s="342">
        <f>AJ87-AF87</f>
        <v>486</v>
      </c>
      <c r="AH87" s="342">
        <f t="shared" si="329"/>
        <v>-295</v>
      </c>
      <c r="AI87" s="342">
        <f t="shared" si="329"/>
        <v>11047</v>
      </c>
      <c r="AJ87" s="342">
        <f t="shared" si="329"/>
        <v>972</v>
      </c>
      <c r="AK87" s="342">
        <f t="shared" si="329"/>
        <v>677</v>
      </c>
      <c r="AL87" s="343">
        <v>8232</v>
      </c>
      <c r="AM87" s="342">
        <f>AM75+AM81</f>
        <v>2216</v>
      </c>
      <c r="AN87" s="322">
        <f t="shared" si="261"/>
        <v>2009</v>
      </c>
      <c r="AO87" s="322">
        <f t="shared" si="262"/>
        <v>1903</v>
      </c>
      <c r="AP87" s="322">
        <f t="shared" si="262"/>
        <v>1723</v>
      </c>
      <c r="AQ87" s="322">
        <f t="shared" si="330"/>
        <v>4225</v>
      </c>
      <c r="AR87" s="322">
        <f t="shared" si="330"/>
        <v>6128</v>
      </c>
      <c r="AS87" s="343">
        <f t="shared" si="330"/>
        <v>7851</v>
      </c>
      <c r="AT87" s="342">
        <f t="shared" ref="AT87:AU87" si="348">AT75+AT81</f>
        <v>1749</v>
      </c>
      <c r="AU87" s="342">
        <f t="shared" si="348"/>
        <v>1749</v>
      </c>
      <c r="AV87" s="342">
        <f t="shared" ref="AV87:AX87" si="349">AV75+AV81</f>
        <v>1866</v>
      </c>
      <c r="AW87" s="342">
        <f t="shared" si="349"/>
        <v>486</v>
      </c>
      <c r="AX87" s="342">
        <f t="shared" si="349"/>
        <v>3498</v>
      </c>
      <c r="AY87" s="342">
        <f t="shared" ref="AY87:AZ87" si="350">AY75+AY81</f>
        <v>5364</v>
      </c>
      <c r="AZ87" s="342">
        <f t="shared" si="350"/>
        <v>5850</v>
      </c>
      <c r="BA87" s="342">
        <f t="shared" ref="BA87:BD87" si="351">BA75+BA81</f>
        <v>53</v>
      </c>
      <c r="BB87" s="342">
        <f t="shared" si="351"/>
        <v>-1</v>
      </c>
      <c r="BC87" s="342">
        <f t="shared" si="351"/>
        <v>0</v>
      </c>
      <c r="BD87" s="342">
        <f t="shared" si="351"/>
        <v>0</v>
      </c>
      <c r="BE87" s="342">
        <f t="shared" ref="BE87:BF87" si="352">BE75+BE81</f>
        <v>52</v>
      </c>
      <c r="BF87" s="342">
        <f t="shared" si="352"/>
        <v>52</v>
      </c>
      <c r="BG87" s="342">
        <f t="shared" ref="BG87:BH87" si="353">BG75+BG81</f>
        <v>52</v>
      </c>
      <c r="BH87" s="342">
        <f t="shared" si="353"/>
        <v>0</v>
      </c>
      <c r="BI87" s="342">
        <f t="shared" ref="BI87:BL87" si="354">BI75+BI81</f>
        <v>0</v>
      </c>
      <c r="BJ87" s="342">
        <f t="shared" si="354"/>
        <v>0</v>
      </c>
      <c r="BK87" s="342">
        <f t="shared" si="354"/>
        <v>0</v>
      </c>
      <c r="BL87" s="342">
        <f t="shared" si="354"/>
        <v>0</v>
      </c>
      <c r="BM87" s="342">
        <f t="shared" ref="BM87:BN87" si="355">BM75+BM81</f>
        <v>0</v>
      </c>
      <c r="BN87" s="342">
        <f t="shared" si="355"/>
        <v>0</v>
      </c>
      <c r="BO87" s="342">
        <f t="shared" ref="BO87:BS87" si="356">BO75+BO81</f>
        <v>0</v>
      </c>
      <c r="BP87" s="342">
        <f t="shared" si="356"/>
        <v>0</v>
      </c>
      <c r="BQ87" s="342">
        <f t="shared" si="356"/>
        <v>0</v>
      </c>
      <c r="BR87" s="342">
        <f t="shared" si="356"/>
        <v>0</v>
      </c>
      <c r="BS87" s="342">
        <f t="shared" si="356"/>
        <v>0</v>
      </c>
      <c r="BT87" s="342">
        <f t="shared" ref="BT87:BU87" si="357">BT75+BT81</f>
        <v>0</v>
      </c>
      <c r="BU87" s="342">
        <f t="shared" si="357"/>
        <v>0</v>
      </c>
      <c r="BV87" s="342">
        <f t="shared" ref="BV87:BZ87" si="358">BV75+BV81</f>
        <v>0</v>
      </c>
      <c r="BW87" s="342">
        <f t="shared" si="358"/>
        <v>0</v>
      </c>
      <c r="BX87" s="342">
        <f t="shared" si="358"/>
        <v>0</v>
      </c>
      <c r="BY87" s="342">
        <f t="shared" si="358"/>
        <v>0</v>
      </c>
      <c r="BZ87" s="342">
        <f t="shared" si="358"/>
        <v>0</v>
      </c>
      <c r="CA87" s="342">
        <f t="shared" ref="CA87:CB87" si="359">CA75+CA81</f>
        <v>0</v>
      </c>
      <c r="CB87" s="342">
        <f t="shared" si="359"/>
        <v>0</v>
      </c>
      <c r="CC87" s="342">
        <f t="shared" ref="CC87:CD87" si="360">CC75+CC81</f>
        <v>0</v>
      </c>
      <c r="CD87" s="342">
        <f t="shared" si="360"/>
        <v>0</v>
      </c>
      <c r="CE87" s="342">
        <f t="shared" ref="CE87:CG87" si="361">CE75+CE81</f>
        <v>0</v>
      </c>
      <c r="CF87" s="342">
        <f t="shared" si="361"/>
        <v>0</v>
      </c>
      <c r="CG87" s="342">
        <f t="shared" si="361"/>
        <v>0</v>
      </c>
      <c r="CH87" s="342">
        <f t="shared" ref="CH87:CI87" si="362">CH75+CH81</f>
        <v>0</v>
      </c>
      <c r="CI87" s="342">
        <f t="shared" si="362"/>
        <v>0</v>
      </c>
      <c r="CJ87" s="342">
        <v>0</v>
      </c>
      <c r="CK87" s="342">
        <f t="shared" ref="CK87:CO87" si="363">CK75+CK81</f>
        <v>0</v>
      </c>
      <c r="CL87" s="342">
        <f t="shared" si="363"/>
        <v>0</v>
      </c>
      <c r="CM87" s="342">
        <f t="shared" si="363"/>
        <v>0</v>
      </c>
      <c r="CN87" s="342">
        <f t="shared" si="363"/>
        <v>0</v>
      </c>
      <c r="CO87" s="342">
        <f t="shared" si="363"/>
        <v>0</v>
      </c>
    </row>
    <row r="88" spans="1:93" s="342" customFormat="1" x14ac:dyDescent="0.25">
      <c r="A88" s="341" t="str">
        <f>Language!$G92</f>
        <v>Eliminações e Ajustes</v>
      </c>
      <c r="B88" s="342">
        <f t="shared" ref="B88:K88" si="364">B76</f>
        <v>0</v>
      </c>
      <c r="C88" s="342">
        <f t="shared" si="364"/>
        <v>0</v>
      </c>
      <c r="D88" s="342">
        <f t="shared" si="364"/>
        <v>0</v>
      </c>
      <c r="E88" s="343">
        <f t="shared" si="364"/>
        <v>0</v>
      </c>
      <c r="F88" s="342">
        <f t="shared" si="364"/>
        <v>0</v>
      </c>
      <c r="G88" s="342">
        <f t="shared" si="364"/>
        <v>0</v>
      </c>
      <c r="H88" s="342">
        <f t="shared" si="364"/>
        <v>0</v>
      </c>
      <c r="I88" s="343">
        <f t="shared" si="364"/>
        <v>0</v>
      </c>
      <c r="J88" s="342">
        <f t="shared" si="364"/>
        <v>0</v>
      </c>
      <c r="K88" s="342">
        <f t="shared" si="364"/>
        <v>0</v>
      </c>
      <c r="L88" s="342">
        <f t="shared" ref="L88" si="365">L76</f>
        <v>0</v>
      </c>
      <c r="M88" s="343">
        <f t="shared" ref="M88:Q88" si="366">M76</f>
        <v>0</v>
      </c>
      <c r="N88" s="342">
        <f t="shared" si="366"/>
        <v>0</v>
      </c>
      <c r="O88" s="342">
        <f t="shared" si="366"/>
        <v>0</v>
      </c>
      <c r="P88" s="342">
        <f t="shared" si="366"/>
        <v>0</v>
      </c>
      <c r="Q88" s="343">
        <f t="shared" si="366"/>
        <v>0</v>
      </c>
      <c r="R88" s="342">
        <v>0</v>
      </c>
      <c r="S88" s="342">
        <v>0</v>
      </c>
      <c r="T88" s="342">
        <v>0</v>
      </c>
      <c r="U88" s="342">
        <v>0</v>
      </c>
      <c r="V88" s="342">
        <v>0</v>
      </c>
      <c r="W88" s="342">
        <v>0</v>
      </c>
      <c r="X88" s="343">
        <v>0</v>
      </c>
      <c r="Y88" s="342">
        <f t="shared" ref="Y88" si="367">Y76</f>
        <v>0</v>
      </c>
      <c r="Z88" s="342">
        <f t="shared" si="263"/>
        <v>0</v>
      </c>
      <c r="AA88" s="342">
        <f t="shared" ref="AA88:AF88" si="368">AA76</f>
        <v>0</v>
      </c>
      <c r="AB88" s="342">
        <f t="shared" si="368"/>
        <v>0</v>
      </c>
      <c r="AC88" s="342">
        <f t="shared" si="368"/>
        <v>0</v>
      </c>
      <c r="AD88" s="342">
        <f t="shared" si="368"/>
        <v>0</v>
      </c>
      <c r="AE88" s="343">
        <f t="shared" si="368"/>
        <v>0</v>
      </c>
      <c r="AF88" s="342">
        <f t="shared" si="368"/>
        <v>0</v>
      </c>
      <c r="AG88" s="342">
        <f>AJ88-AF88</f>
        <v>0</v>
      </c>
      <c r="AH88" s="342">
        <f t="shared" ref="AH88:AI88" si="369">AH76</f>
        <v>0</v>
      </c>
      <c r="AI88" s="342">
        <f t="shared" si="369"/>
        <v>6428</v>
      </c>
      <c r="AJ88" s="342">
        <f t="shared" ref="AJ88:AK88" si="370">AJ76</f>
        <v>0</v>
      </c>
      <c r="AK88" s="342">
        <f t="shared" si="370"/>
        <v>0</v>
      </c>
      <c r="AL88" s="343">
        <v>-1320</v>
      </c>
      <c r="AM88" s="342">
        <f>AM82-AM76</f>
        <v>-125</v>
      </c>
      <c r="AN88" s="322">
        <f t="shared" si="261"/>
        <v>103</v>
      </c>
      <c r="AO88" s="322">
        <f t="shared" si="262"/>
        <v>149</v>
      </c>
      <c r="AP88" s="322">
        <f t="shared" si="262"/>
        <v>1016.723</v>
      </c>
      <c r="AQ88" s="322">
        <f t="shared" ref="AQ88:BA88" si="371">AQ82-AQ76</f>
        <v>-22</v>
      </c>
      <c r="AR88" s="322">
        <f t="shared" si="371"/>
        <v>127</v>
      </c>
      <c r="AS88" s="343">
        <f t="shared" si="371"/>
        <v>1143.723</v>
      </c>
      <c r="AT88" s="342">
        <f t="shared" si="371"/>
        <v>853.45</v>
      </c>
      <c r="AU88" s="342">
        <f t="shared" si="371"/>
        <v>-24.549999999999955</v>
      </c>
      <c r="AV88" s="342">
        <f t="shared" si="371"/>
        <v>407.09999999999991</v>
      </c>
      <c r="AW88" s="342">
        <f t="shared" si="371"/>
        <v>2237</v>
      </c>
      <c r="AX88" s="342">
        <f t="shared" si="371"/>
        <v>828.90000000000009</v>
      </c>
      <c r="AY88" s="342">
        <f t="shared" si="371"/>
        <v>1236</v>
      </c>
      <c r="AZ88" s="342">
        <f t="shared" si="371"/>
        <v>3473</v>
      </c>
      <c r="BA88" s="342">
        <f t="shared" si="371"/>
        <v>2741</v>
      </c>
      <c r="BB88" s="342">
        <f t="shared" ref="BB88:BD88" si="372">BB82-BB76</f>
        <v>1582</v>
      </c>
      <c r="BC88" s="342">
        <f t="shared" si="372"/>
        <v>1826</v>
      </c>
      <c r="BD88" s="342">
        <f t="shared" si="372"/>
        <v>1427</v>
      </c>
      <c r="BE88" s="342">
        <f>BE82-BE76</f>
        <v>4323</v>
      </c>
      <c r="BF88" s="342">
        <f>BF82-BF76</f>
        <v>6149</v>
      </c>
      <c r="BG88" s="342">
        <f>BG82-BG76</f>
        <v>7576</v>
      </c>
      <c r="BH88" s="342">
        <f>BH82-BH76</f>
        <v>1106</v>
      </c>
      <c r="BI88" s="342">
        <f t="shared" ref="BI88:BL88" si="373">BI82-BI76</f>
        <v>943</v>
      </c>
      <c r="BJ88" s="342">
        <f t="shared" si="373"/>
        <v>1304</v>
      </c>
      <c r="BK88" s="342">
        <f t="shared" si="373"/>
        <v>1009</v>
      </c>
      <c r="BL88" s="342">
        <f t="shared" si="373"/>
        <v>2049</v>
      </c>
      <c r="BM88" s="342">
        <f t="shared" ref="BM88:BN88" si="374">BM82-BM76</f>
        <v>3353</v>
      </c>
      <c r="BN88" s="342">
        <f t="shared" si="374"/>
        <v>4362</v>
      </c>
      <c r="BO88" s="342">
        <f t="shared" ref="BO88:BS88" si="375">BO82-BO76</f>
        <v>821</v>
      </c>
      <c r="BP88" s="342">
        <f t="shared" si="375"/>
        <v>837</v>
      </c>
      <c r="BQ88" s="342">
        <f t="shared" si="375"/>
        <v>891</v>
      </c>
      <c r="BR88" s="342">
        <f t="shared" si="375"/>
        <v>918</v>
      </c>
      <c r="BS88" s="342">
        <f t="shared" si="375"/>
        <v>1658</v>
      </c>
      <c r="BT88" s="342">
        <f t="shared" ref="BT88:BU88" si="376">BT82-BT76</f>
        <v>2549</v>
      </c>
      <c r="BU88" s="342">
        <f t="shared" si="376"/>
        <v>3467</v>
      </c>
      <c r="BV88" s="342">
        <f t="shared" ref="BV88:BZ88" si="377">BV82-BV76</f>
        <v>3074</v>
      </c>
      <c r="BW88" s="342">
        <f t="shared" si="377"/>
        <v>1615</v>
      </c>
      <c r="BX88" s="342">
        <f t="shared" si="377"/>
        <v>1754</v>
      </c>
      <c r="BY88" s="342">
        <f t="shared" si="377"/>
        <v>2660</v>
      </c>
      <c r="BZ88" s="342">
        <f t="shared" si="377"/>
        <v>4689</v>
      </c>
      <c r="CA88" s="342">
        <f t="shared" ref="CA88:CB88" si="378">CA82-CA76</f>
        <v>6443</v>
      </c>
      <c r="CB88" s="342">
        <f t="shared" si="378"/>
        <v>9103</v>
      </c>
      <c r="CC88" s="342">
        <f t="shared" ref="CC88:CD88" si="379">CC82-CC76</f>
        <v>2393</v>
      </c>
      <c r="CD88" s="342">
        <f t="shared" si="379"/>
        <v>1458</v>
      </c>
      <c r="CE88" s="342">
        <f t="shared" ref="CE88:CG88" si="380">CE82-CE76</f>
        <v>1842</v>
      </c>
      <c r="CF88" s="342">
        <f t="shared" si="380"/>
        <v>2164</v>
      </c>
      <c r="CG88" s="342">
        <f t="shared" si="380"/>
        <v>3851</v>
      </c>
      <c r="CH88" s="342">
        <f t="shared" ref="CH88:CI88" si="381">CH82-CH76</f>
        <v>5693</v>
      </c>
      <c r="CI88" s="342">
        <f t="shared" si="381"/>
        <v>7857</v>
      </c>
      <c r="CJ88" s="342">
        <v>3225</v>
      </c>
      <c r="CK88" s="342">
        <f t="shared" ref="CK88:CO88" si="382">CK82-CK76</f>
        <v>2222</v>
      </c>
      <c r="CL88" s="342">
        <f t="shared" si="382"/>
        <v>0</v>
      </c>
      <c r="CM88" s="342">
        <f t="shared" si="382"/>
        <v>0</v>
      </c>
      <c r="CN88" s="342">
        <f t="shared" si="382"/>
        <v>5447</v>
      </c>
      <c r="CO88" s="342">
        <f t="shared" si="382"/>
        <v>0</v>
      </c>
    </row>
    <row r="89" spans="1:93" s="377" customFormat="1" ht="13" x14ac:dyDescent="0.3">
      <c r="A89" s="338" t="str">
        <f>Language!$G93</f>
        <v>CPV - Custo dos Produtos Vendidos</v>
      </c>
      <c r="B89" s="338">
        <f t="shared" ref="B89:Q89" si="383">SUM(B90,B91,B92,B93,B94)</f>
        <v>-11513</v>
      </c>
      <c r="C89" s="338">
        <f t="shared" si="383"/>
        <v>-10554</v>
      </c>
      <c r="D89" s="338">
        <f t="shared" si="383"/>
        <v>-11470</v>
      </c>
      <c r="E89" s="339">
        <f t="shared" si="383"/>
        <v>-11570</v>
      </c>
      <c r="F89" s="338">
        <f t="shared" si="383"/>
        <v>-11049</v>
      </c>
      <c r="G89" s="338">
        <f t="shared" si="383"/>
        <v>-11911</v>
      </c>
      <c r="H89" s="338">
        <f t="shared" si="383"/>
        <v>-12205</v>
      </c>
      <c r="I89" s="339">
        <f t="shared" si="383"/>
        <v>-13575</v>
      </c>
      <c r="J89" s="338">
        <f t="shared" si="383"/>
        <v>-17217</v>
      </c>
      <c r="K89" s="338">
        <f t="shared" si="383"/>
        <v>-10933</v>
      </c>
      <c r="L89" s="338">
        <f t="shared" si="383"/>
        <v>-18493</v>
      </c>
      <c r="M89" s="339">
        <f t="shared" si="383"/>
        <v>-20315</v>
      </c>
      <c r="N89" s="338">
        <f t="shared" si="383"/>
        <v>-22427</v>
      </c>
      <c r="O89" s="338">
        <f t="shared" si="383"/>
        <v>-20316.025669999999</v>
      </c>
      <c r="P89" s="338">
        <f t="shared" si="383"/>
        <v>-42868.823300000025</v>
      </c>
      <c r="Q89" s="339">
        <f t="shared" si="383"/>
        <v>-60652.151029999979</v>
      </c>
      <c r="R89" s="338">
        <v>-64268</v>
      </c>
      <c r="S89" s="338">
        <v>-47696</v>
      </c>
      <c r="T89" s="338">
        <v>-49966</v>
      </c>
      <c r="U89" s="338">
        <v>-30893</v>
      </c>
      <c r="V89" s="338">
        <v>-117811</v>
      </c>
      <c r="W89" s="338">
        <v>-167777</v>
      </c>
      <c r="X89" s="339">
        <v>-198670</v>
      </c>
      <c r="Y89" s="338">
        <f t="shared" ref="Y89:AB89" si="384">SUM(Y90,Y91,Y92,Y93,Y94)</f>
        <v>-10713</v>
      </c>
      <c r="Z89" s="338">
        <f t="shared" si="384"/>
        <v>-9707</v>
      </c>
      <c r="AA89" s="338">
        <f t="shared" si="384"/>
        <v>-5176</v>
      </c>
      <c r="AB89" s="338">
        <f t="shared" si="384"/>
        <v>-10662</v>
      </c>
      <c r="AC89" s="338">
        <f t="shared" ref="AC89:AD89" si="385">SUM(AC90,AC91,AC92,AC93,AC94)</f>
        <v>-20420</v>
      </c>
      <c r="AD89" s="338">
        <f t="shared" si="385"/>
        <v>-25596</v>
      </c>
      <c r="AE89" s="339">
        <f t="shared" ref="AE89:AJ89" si="386">SUM(AE90,AE91,AE92,AE93,AE94)</f>
        <v>-36258</v>
      </c>
      <c r="AF89" s="338">
        <f t="shared" si="386"/>
        <v>-11793</v>
      </c>
      <c r="AG89" s="338">
        <f t="shared" si="386"/>
        <v>-10847</v>
      </c>
      <c r="AH89" s="338">
        <f t="shared" si="386"/>
        <v>-13349</v>
      </c>
      <c r="AI89" s="338">
        <f t="shared" si="386"/>
        <v>-9183</v>
      </c>
      <c r="AJ89" s="338">
        <f t="shared" si="386"/>
        <v>-22640</v>
      </c>
      <c r="AK89" s="338">
        <f t="shared" ref="AK89:AM89" si="387">SUM(AK90,AK91,AK92,AK93,AK94)</f>
        <v>-35989</v>
      </c>
      <c r="AL89" s="339">
        <f t="shared" si="387"/>
        <v>-45172</v>
      </c>
      <c r="AM89" s="338">
        <f t="shared" si="387"/>
        <v>-13087</v>
      </c>
      <c r="AN89" s="338">
        <f t="shared" si="261"/>
        <v>-13655</v>
      </c>
      <c r="AO89" s="338">
        <f t="shared" si="262"/>
        <v>-12870</v>
      </c>
      <c r="AP89" s="338">
        <f t="shared" si="262"/>
        <v>-15407.722999999998</v>
      </c>
      <c r="AQ89" s="338">
        <f t="shared" ref="AQ89:AR89" si="388">SUM(AQ90,AQ91,AQ92,AQ93,AQ94)</f>
        <v>-26742</v>
      </c>
      <c r="AR89" s="338">
        <f t="shared" si="388"/>
        <v>-39612</v>
      </c>
      <c r="AS89" s="339">
        <f t="shared" ref="AS89:AU89" si="389">SUM(AS90,AS91,AS92,AS93,AS94)</f>
        <v>-55019.722999999998</v>
      </c>
      <c r="AT89" s="338">
        <f t="shared" si="389"/>
        <v>-14030.45</v>
      </c>
      <c r="AU89" s="338">
        <f t="shared" si="389"/>
        <v>-12678.45</v>
      </c>
      <c r="AV89" s="338">
        <f t="shared" ref="AV89:AW89" si="390">SUM(AV90,AV91,AV92,AV93,AV94)</f>
        <v>-15262.1</v>
      </c>
      <c r="AW89" s="338">
        <f t="shared" si="390"/>
        <v>-16844</v>
      </c>
      <c r="AX89" s="338">
        <f t="shared" ref="AX89:AZ89" si="391">SUM(AX90,AX91,AX92,AX93,AX94)</f>
        <v>-26708.9</v>
      </c>
      <c r="AY89" s="338">
        <f t="shared" si="391"/>
        <v>-41971</v>
      </c>
      <c r="AZ89" s="338">
        <f t="shared" si="391"/>
        <v>-58815</v>
      </c>
      <c r="BA89" s="338">
        <f t="shared" ref="BA89:BD89" si="392">SUM(BA90,BA91,BA92,BA93,BA94)</f>
        <v>-15972</v>
      </c>
      <c r="BB89" s="338">
        <f t="shared" si="392"/>
        <v>-14072</v>
      </c>
      <c r="BC89" s="338">
        <f t="shared" si="392"/>
        <v>-17437</v>
      </c>
      <c r="BD89" s="338">
        <f t="shared" si="392"/>
        <v>-17965</v>
      </c>
      <c r="BE89" s="338">
        <f t="shared" ref="BE89:BF89" si="393">SUM(BE90,BE91,BE92,BE93,BE94)</f>
        <v>-30044</v>
      </c>
      <c r="BF89" s="338">
        <f t="shared" si="393"/>
        <v>-47481</v>
      </c>
      <c r="BG89" s="338">
        <f t="shared" ref="BG89:BH89" si="394">SUM(BG90,BG91,BG92,BG93,BG94)</f>
        <v>-65446</v>
      </c>
      <c r="BH89" s="338">
        <f t="shared" si="394"/>
        <v>-16325</v>
      </c>
      <c r="BI89" s="338">
        <f t="shared" ref="BI89:BL89" si="395">SUM(BI90,BI91,BI92,BI93,BI94)</f>
        <v>-16850</v>
      </c>
      <c r="BJ89" s="338">
        <f t="shared" si="395"/>
        <v>-15483</v>
      </c>
      <c r="BK89" s="338">
        <f t="shared" si="395"/>
        <v>-16514</v>
      </c>
      <c r="BL89" s="338">
        <f t="shared" si="395"/>
        <v>-33175</v>
      </c>
      <c r="BM89" s="338">
        <f t="shared" ref="BM89:BN89" si="396">SUM(BM90,BM91,BM92,BM93,BM94)</f>
        <v>-48658</v>
      </c>
      <c r="BN89" s="338">
        <f t="shared" si="396"/>
        <v>-65172</v>
      </c>
      <c r="BO89" s="338">
        <f t="shared" ref="BO89:BS89" si="397">SUM(BO90,BO91,BO92,BO93,BO94)</f>
        <v>-14993</v>
      </c>
      <c r="BP89" s="338">
        <f t="shared" si="397"/>
        <v>-15159</v>
      </c>
      <c r="BQ89" s="338">
        <f t="shared" si="397"/>
        <v>-16606</v>
      </c>
      <c r="BR89" s="338">
        <f t="shared" si="397"/>
        <v>-20925</v>
      </c>
      <c r="BS89" s="338">
        <f t="shared" si="397"/>
        <v>-30152</v>
      </c>
      <c r="BT89" s="338">
        <f t="shared" ref="BT89:BU89" si="398">SUM(BT90,BT91,BT92,BT93,BT94)</f>
        <v>-46758</v>
      </c>
      <c r="BU89" s="338">
        <f t="shared" si="398"/>
        <v>-67683</v>
      </c>
      <c r="BV89" s="338">
        <f t="shared" ref="BV89:BZ89" si="399">SUM(BV90,BV91,BV92,BV93,BV94)</f>
        <v>-18944</v>
      </c>
      <c r="BW89" s="338">
        <f t="shared" si="399"/>
        <v>-18033</v>
      </c>
      <c r="BX89" s="338">
        <f t="shared" si="399"/>
        <v>-18672</v>
      </c>
      <c r="BY89" s="338">
        <f t="shared" si="399"/>
        <v>-20521</v>
      </c>
      <c r="BZ89" s="338">
        <f t="shared" si="399"/>
        <v>-36977</v>
      </c>
      <c r="CA89" s="338">
        <f t="shared" ref="CA89:CB89" si="400">SUM(CA90,CA91,CA92,CA93,CA94)</f>
        <v>-55649</v>
      </c>
      <c r="CB89" s="338">
        <f t="shared" si="400"/>
        <v>-76170</v>
      </c>
      <c r="CC89" s="338">
        <f t="shared" ref="CC89:CD89" si="401">SUM(CC90,CC91,CC92,CC93,CC94)</f>
        <v>-19731</v>
      </c>
      <c r="CD89" s="338">
        <f t="shared" si="401"/>
        <v>-19104</v>
      </c>
      <c r="CE89" s="338">
        <f t="shared" ref="CE89:CG89" si="402">SUM(CE90,CE91,CE92,CE93,CE94)</f>
        <v>-18288</v>
      </c>
      <c r="CF89" s="338">
        <f t="shared" si="402"/>
        <v>-19472</v>
      </c>
      <c r="CG89" s="338">
        <f t="shared" si="402"/>
        <v>-38835</v>
      </c>
      <c r="CH89" s="338">
        <f t="shared" ref="CH89:CI89" si="403">SUM(CH90,CH91,CH92,CH93,CH94)</f>
        <v>-57123</v>
      </c>
      <c r="CI89" s="338">
        <f t="shared" si="403"/>
        <v>-76595</v>
      </c>
      <c r="CJ89" s="338">
        <v>-19177</v>
      </c>
      <c r="CK89" s="338">
        <f t="shared" ref="CK89:CO89" si="404">SUM(CK90,CK91,CK92,CK93,CK94)</f>
        <v>-18653</v>
      </c>
      <c r="CL89" s="338">
        <f t="shared" si="404"/>
        <v>0</v>
      </c>
      <c r="CM89" s="338">
        <f t="shared" si="404"/>
        <v>0</v>
      </c>
      <c r="CN89" s="338">
        <f t="shared" si="404"/>
        <v>-37830</v>
      </c>
      <c r="CO89" s="338">
        <f t="shared" si="404"/>
        <v>0</v>
      </c>
    </row>
    <row r="90" spans="1:93" x14ac:dyDescent="0.25">
      <c r="A90" s="341" t="str">
        <f>Language!$G94</f>
        <v>Rio Verde</v>
      </c>
      <c r="B90" s="310">
        <f t="shared" ref="B90:Y90" si="405">SUM(B96,B102,B107,B112)</f>
        <v>-11513</v>
      </c>
      <c r="C90" s="310">
        <f t="shared" si="405"/>
        <v>-10554</v>
      </c>
      <c r="D90" s="310">
        <f t="shared" si="405"/>
        <v>-11470</v>
      </c>
      <c r="E90" s="325">
        <f t="shared" si="405"/>
        <v>-11570</v>
      </c>
      <c r="F90" s="310">
        <f t="shared" si="405"/>
        <v>-11049</v>
      </c>
      <c r="G90" s="310">
        <f t="shared" si="405"/>
        <v>-11911</v>
      </c>
      <c r="H90" s="310">
        <f t="shared" si="405"/>
        <v>-12205</v>
      </c>
      <c r="I90" s="325">
        <f t="shared" si="405"/>
        <v>-13575</v>
      </c>
      <c r="J90" s="310">
        <f t="shared" si="405"/>
        <v>-17217</v>
      </c>
      <c r="K90" s="310">
        <f t="shared" si="405"/>
        <v>-10933</v>
      </c>
      <c r="L90" s="310">
        <f t="shared" si="405"/>
        <v>-11490</v>
      </c>
      <c r="M90" s="325">
        <f t="shared" si="405"/>
        <v>-12452</v>
      </c>
      <c r="N90" s="310">
        <f t="shared" si="405"/>
        <v>-12051</v>
      </c>
      <c r="O90" s="310">
        <f t="shared" si="405"/>
        <v>-9204.5204000000012</v>
      </c>
      <c r="P90" s="310">
        <f t="shared" si="405"/>
        <v>-22032.819469999999</v>
      </c>
      <c r="Q90" s="325">
        <f t="shared" si="405"/>
        <v>-23935.66013</v>
      </c>
      <c r="R90" s="310">
        <v>-20160</v>
      </c>
      <c r="S90" s="310">
        <v>-20275</v>
      </c>
      <c r="T90" s="310">
        <v>-21551</v>
      </c>
      <c r="U90" s="310">
        <v>-9523</v>
      </c>
      <c r="V90" s="310">
        <v>-40435</v>
      </c>
      <c r="W90" s="310">
        <v>-61986</v>
      </c>
      <c r="X90" s="325">
        <v>-71509</v>
      </c>
      <c r="Y90" s="310">
        <f t="shared" si="405"/>
        <v>0</v>
      </c>
      <c r="Z90" s="310">
        <f t="shared" si="263"/>
        <v>0</v>
      </c>
      <c r="AA90" s="310">
        <f t="shared" ref="AA90:AB93" si="406">SUM(AA96,AA102,AA107,AA112)</f>
        <v>0</v>
      </c>
      <c r="AB90" s="310">
        <f t="shared" si="406"/>
        <v>0</v>
      </c>
      <c r="AC90" s="310">
        <f t="shared" ref="AC90:AF93" si="407">AC96+AC102+AC107+AC112</f>
        <v>0</v>
      </c>
      <c r="AD90" s="310">
        <f t="shared" si="407"/>
        <v>0</v>
      </c>
      <c r="AE90" s="325">
        <f t="shared" si="407"/>
        <v>0</v>
      </c>
      <c r="AF90" s="310">
        <f t="shared" si="407"/>
        <v>0</v>
      </c>
      <c r="AG90" s="310">
        <f>AJ90-AF90</f>
        <v>0</v>
      </c>
      <c r="AH90" s="310">
        <f t="shared" ref="AH90:AI93" si="408">SUM(AH96,AH102,AH107,AH112)</f>
        <v>0</v>
      </c>
      <c r="AI90" s="310">
        <f t="shared" si="408"/>
        <v>0</v>
      </c>
      <c r="AJ90" s="310">
        <f t="shared" ref="AJ90:AL93" si="409">AJ96+AJ102+AJ107+AJ112</f>
        <v>0</v>
      </c>
      <c r="AK90" s="310">
        <f t="shared" si="409"/>
        <v>0</v>
      </c>
      <c r="AL90" s="325">
        <f t="shared" si="409"/>
        <v>0</v>
      </c>
      <c r="AM90" s="310">
        <v>0</v>
      </c>
      <c r="AN90" s="310">
        <f t="shared" si="261"/>
        <v>0</v>
      </c>
      <c r="AO90" s="310">
        <f t="shared" si="262"/>
        <v>0</v>
      </c>
      <c r="AP90" s="310">
        <f t="shared" si="262"/>
        <v>0</v>
      </c>
      <c r="AQ90" s="310">
        <v>0</v>
      </c>
      <c r="AR90" s="310"/>
      <c r="AS90" s="325"/>
    </row>
    <row r="91" spans="1:93" x14ac:dyDescent="0.25">
      <c r="A91" s="341" t="str">
        <f>Language!$G95</f>
        <v>Rio Canoas</v>
      </c>
      <c r="B91" s="310">
        <f t="shared" ref="B91:Y91" si="410">SUM(B97,B103,B108,B113)</f>
        <v>0</v>
      </c>
      <c r="C91" s="310">
        <f t="shared" si="410"/>
        <v>0</v>
      </c>
      <c r="D91" s="310">
        <f t="shared" si="410"/>
        <v>0</v>
      </c>
      <c r="E91" s="325">
        <f t="shared" si="410"/>
        <v>0</v>
      </c>
      <c r="F91" s="310">
        <f t="shared" si="410"/>
        <v>0</v>
      </c>
      <c r="G91" s="310">
        <f t="shared" si="410"/>
        <v>0</v>
      </c>
      <c r="H91" s="310">
        <f t="shared" si="410"/>
        <v>0</v>
      </c>
      <c r="I91" s="325">
        <f t="shared" si="410"/>
        <v>0</v>
      </c>
      <c r="J91" s="310">
        <f t="shared" si="410"/>
        <v>0</v>
      </c>
      <c r="K91" s="310">
        <f t="shared" si="410"/>
        <v>0</v>
      </c>
      <c r="L91" s="310">
        <f t="shared" si="410"/>
        <v>-759</v>
      </c>
      <c r="M91" s="325">
        <f t="shared" si="410"/>
        <v>-6592</v>
      </c>
      <c r="N91" s="310">
        <f t="shared" si="410"/>
        <v>-10376</v>
      </c>
      <c r="O91" s="310">
        <f t="shared" si="410"/>
        <v>-11111.505269999998</v>
      </c>
      <c r="P91" s="310">
        <f t="shared" si="410"/>
        <v>-20835.865040000001</v>
      </c>
      <c r="Q91" s="325">
        <f t="shared" si="410"/>
        <v>-28267.629690000002</v>
      </c>
      <c r="R91" s="310">
        <v>-32699</v>
      </c>
      <c r="S91" s="310">
        <v>-29382</v>
      </c>
      <c r="T91" s="310">
        <v>-20999</v>
      </c>
      <c r="U91" s="310">
        <v>-11967</v>
      </c>
      <c r="V91" s="310">
        <v>-62081</v>
      </c>
      <c r="W91" s="310">
        <v>-83080</v>
      </c>
      <c r="X91" s="325">
        <v>-95047</v>
      </c>
      <c r="Y91" s="310">
        <f t="shared" si="410"/>
        <v>0</v>
      </c>
      <c r="Z91" s="310">
        <f t="shared" si="263"/>
        <v>0</v>
      </c>
      <c r="AA91" s="310">
        <f t="shared" si="406"/>
        <v>0</v>
      </c>
      <c r="AB91" s="310">
        <f t="shared" si="406"/>
        <v>0</v>
      </c>
      <c r="AC91" s="310">
        <f t="shared" si="407"/>
        <v>0</v>
      </c>
      <c r="AD91" s="310">
        <f t="shared" si="407"/>
        <v>0</v>
      </c>
      <c r="AE91" s="325">
        <f t="shared" si="407"/>
        <v>0</v>
      </c>
      <c r="AF91" s="310">
        <f t="shared" si="407"/>
        <v>0</v>
      </c>
      <c r="AG91" s="310">
        <f>AJ91-AF91</f>
        <v>0</v>
      </c>
      <c r="AH91" s="310">
        <f t="shared" si="408"/>
        <v>0</v>
      </c>
      <c r="AI91" s="310">
        <f t="shared" si="408"/>
        <v>0</v>
      </c>
      <c r="AJ91" s="310">
        <f t="shared" si="409"/>
        <v>0</v>
      </c>
      <c r="AK91" s="310">
        <f t="shared" si="409"/>
        <v>0</v>
      </c>
      <c r="AL91" s="325">
        <f t="shared" si="409"/>
        <v>0</v>
      </c>
      <c r="AM91" s="310">
        <v>0</v>
      </c>
      <c r="AN91" s="310">
        <f t="shared" si="261"/>
        <v>0</v>
      </c>
      <c r="AO91" s="310">
        <f t="shared" si="262"/>
        <v>0</v>
      </c>
      <c r="AP91" s="310">
        <f t="shared" si="262"/>
        <v>0</v>
      </c>
      <c r="AQ91" s="310">
        <v>0</v>
      </c>
      <c r="AR91" s="310"/>
      <c r="AS91" s="325"/>
    </row>
    <row r="92" spans="1:93" x14ac:dyDescent="0.25">
      <c r="A92" s="341" t="str">
        <f>Language!$G96</f>
        <v>Tijoá</v>
      </c>
      <c r="B92" s="310">
        <f t="shared" ref="B92:Y92" si="411">SUM(B98,B104,B109,B114)</f>
        <v>0</v>
      </c>
      <c r="C92" s="310">
        <f t="shared" si="411"/>
        <v>0</v>
      </c>
      <c r="D92" s="310">
        <f t="shared" si="411"/>
        <v>0</v>
      </c>
      <c r="E92" s="325">
        <f t="shared" si="411"/>
        <v>0</v>
      </c>
      <c r="F92" s="310">
        <f t="shared" si="411"/>
        <v>0</v>
      </c>
      <c r="G92" s="310">
        <f t="shared" si="411"/>
        <v>0</v>
      </c>
      <c r="H92" s="310">
        <f t="shared" si="411"/>
        <v>0</v>
      </c>
      <c r="I92" s="325">
        <f t="shared" si="411"/>
        <v>0</v>
      </c>
      <c r="J92" s="310">
        <f t="shared" si="411"/>
        <v>0</v>
      </c>
      <c r="K92" s="310">
        <f t="shared" si="411"/>
        <v>0</v>
      </c>
      <c r="L92" s="310">
        <f t="shared" si="411"/>
        <v>0</v>
      </c>
      <c r="M92" s="325">
        <f t="shared" si="411"/>
        <v>0</v>
      </c>
      <c r="N92" s="310">
        <f t="shared" si="411"/>
        <v>0</v>
      </c>
      <c r="O92" s="310">
        <f t="shared" si="411"/>
        <v>0</v>
      </c>
      <c r="P92" s="310">
        <f t="shared" si="411"/>
        <v>0</v>
      </c>
      <c r="Q92" s="325">
        <f t="shared" si="411"/>
        <v>0</v>
      </c>
      <c r="R92" s="310">
        <v>-11157</v>
      </c>
      <c r="S92" s="310">
        <v>-8081</v>
      </c>
      <c r="T92" s="310">
        <v>-9143</v>
      </c>
      <c r="U92" s="310">
        <v>-10408</v>
      </c>
      <c r="V92" s="310">
        <v>-19238</v>
      </c>
      <c r="W92" s="310">
        <v>-28381</v>
      </c>
      <c r="X92" s="325">
        <v>-38789</v>
      </c>
      <c r="Y92" s="310">
        <f t="shared" si="411"/>
        <v>-10713</v>
      </c>
      <c r="Z92" s="310">
        <f t="shared" si="263"/>
        <v>-9707</v>
      </c>
      <c r="AA92" s="310">
        <f t="shared" si="406"/>
        <v>-5176</v>
      </c>
      <c r="AB92" s="310">
        <f t="shared" si="406"/>
        <v>-10662</v>
      </c>
      <c r="AC92" s="310">
        <f t="shared" si="407"/>
        <v>-20420</v>
      </c>
      <c r="AD92" s="310">
        <f t="shared" si="407"/>
        <v>-25596</v>
      </c>
      <c r="AE92" s="325">
        <f t="shared" si="407"/>
        <v>-36258</v>
      </c>
      <c r="AF92" s="310">
        <f t="shared" si="407"/>
        <v>-11793</v>
      </c>
      <c r="AG92" s="310">
        <f>AJ92-AF92</f>
        <v>-10847</v>
      </c>
      <c r="AH92" s="310">
        <f t="shared" si="408"/>
        <v>-9711</v>
      </c>
      <c r="AI92" s="310">
        <f t="shared" si="408"/>
        <v>-5856</v>
      </c>
      <c r="AJ92" s="310">
        <f t="shared" si="409"/>
        <v>-22640</v>
      </c>
      <c r="AK92" s="310">
        <f t="shared" si="409"/>
        <v>-32351</v>
      </c>
      <c r="AL92" s="325">
        <f t="shared" si="409"/>
        <v>-38207</v>
      </c>
      <c r="AM92" s="310">
        <f>AM98+AM104+AM109+AM114</f>
        <v>-11908</v>
      </c>
      <c r="AN92" s="310">
        <f t="shared" si="261"/>
        <v>-12169</v>
      </c>
      <c r="AO92" s="310">
        <f t="shared" si="262"/>
        <v>-11083</v>
      </c>
      <c r="AP92" s="310">
        <f t="shared" si="262"/>
        <v>-13038</v>
      </c>
      <c r="AQ92" s="310">
        <f t="shared" ref="AQ92:AS93" si="412">AQ98+AQ104+AQ109+AQ114</f>
        <v>-24077</v>
      </c>
      <c r="AR92" s="310">
        <f t="shared" si="412"/>
        <v>-35160</v>
      </c>
      <c r="AS92" s="325">
        <f t="shared" si="412"/>
        <v>-48198</v>
      </c>
      <c r="AT92" s="310">
        <f t="shared" ref="AT92:AU92" si="413">AT98+AT104+AT109+AT114</f>
        <v>-11734</v>
      </c>
      <c r="AU92" s="310">
        <f t="shared" si="413"/>
        <v>-11371</v>
      </c>
      <c r="AV92" s="310">
        <f t="shared" ref="AV92:AW92" si="414">AV98+AV104+AV109+AV114</f>
        <v>-13675</v>
      </c>
      <c r="AW92" s="310">
        <f t="shared" si="414"/>
        <v>-14450</v>
      </c>
      <c r="AX92" s="310">
        <f t="shared" ref="AX92:AZ92" si="415">AX98+AX104+AX109+AX114</f>
        <v>-23105</v>
      </c>
      <c r="AY92" s="310">
        <f t="shared" si="415"/>
        <v>-36780</v>
      </c>
      <c r="AZ92" s="342">
        <f t="shared" si="415"/>
        <v>-51230</v>
      </c>
      <c r="BA92" s="342">
        <f t="shared" ref="BA92:BD92" si="416">BA98+BA104+BA109+BA114</f>
        <v>-12944</v>
      </c>
      <c r="BB92" s="342">
        <f t="shared" si="416"/>
        <v>-12478</v>
      </c>
      <c r="BC92" s="342">
        <f t="shared" si="416"/>
        <v>-15615</v>
      </c>
      <c r="BD92" s="342">
        <f t="shared" si="416"/>
        <v>-16531</v>
      </c>
      <c r="BE92" s="342">
        <f t="shared" ref="BE92:BF92" si="417">BE98+BE104+BE109+BE114</f>
        <v>-25422</v>
      </c>
      <c r="BF92" s="342">
        <f t="shared" si="417"/>
        <v>-41037</v>
      </c>
      <c r="BG92" s="342">
        <f t="shared" ref="BG92:BH92" si="418">BG98+BG104+BG109+BG114</f>
        <v>-57568</v>
      </c>
      <c r="BH92" s="342">
        <f t="shared" si="418"/>
        <v>-15217</v>
      </c>
      <c r="BI92" s="342">
        <f t="shared" ref="BI92:BL92" si="419">BI98+BI104+BI109+BI114</f>
        <v>-15909</v>
      </c>
      <c r="BJ92" s="342">
        <f t="shared" si="419"/>
        <v>-14178</v>
      </c>
      <c r="BK92" s="342">
        <f t="shared" si="419"/>
        <v>-15503</v>
      </c>
      <c r="BL92" s="342">
        <f t="shared" si="419"/>
        <v>-31126</v>
      </c>
      <c r="BM92" s="342">
        <f t="shared" ref="BM92:BN92" si="420">BM98+BM104+BM109+BM114</f>
        <v>-45304</v>
      </c>
      <c r="BN92" s="342">
        <f t="shared" si="420"/>
        <v>-60807</v>
      </c>
      <c r="BO92" s="342">
        <f t="shared" ref="BO92:BS92" si="421">BO98+BO104+BO109+BO114</f>
        <v>-14172</v>
      </c>
      <c r="BP92" s="342">
        <f t="shared" si="421"/>
        <v>-14322</v>
      </c>
      <c r="BQ92" s="342">
        <f t="shared" si="421"/>
        <v>-15715</v>
      </c>
      <c r="BR92" s="342">
        <f t="shared" si="421"/>
        <v>-20007</v>
      </c>
      <c r="BS92" s="342">
        <f t="shared" si="421"/>
        <v>-28494</v>
      </c>
      <c r="BT92" s="342">
        <f t="shared" ref="BT92" si="422">BT98+BT104+BT109+BT114</f>
        <v>-44209</v>
      </c>
      <c r="BU92" s="342">
        <f>BU98+BU104+BU109+BU114</f>
        <v>-64216</v>
      </c>
      <c r="BV92" s="342">
        <f>BV98+BV104+BV109+BV114</f>
        <v>-15870</v>
      </c>
      <c r="BW92" s="342">
        <f t="shared" ref="BW92:BZ92" si="423">BW98+BW104+BW109+BW114</f>
        <v>-16418</v>
      </c>
      <c r="BX92" s="342">
        <f t="shared" si="423"/>
        <v>-16918</v>
      </c>
      <c r="BY92" s="342">
        <f t="shared" si="423"/>
        <v>-17861</v>
      </c>
      <c r="BZ92" s="342">
        <f t="shared" si="423"/>
        <v>-32288</v>
      </c>
      <c r="CA92" s="342">
        <f>CA98+CA104+CA109+CA114</f>
        <v>-49206</v>
      </c>
      <c r="CB92" s="342">
        <f t="shared" ref="CB92:CC92" si="424">CB98+CB104+CB109+CB114</f>
        <v>-67067</v>
      </c>
      <c r="CC92" s="342">
        <f t="shared" si="424"/>
        <v>-17338</v>
      </c>
      <c r="CD92" s="342">
        <f t="shared" ref="CD92" si="425">CD98+CD104+CD109+CD114</f>
        <v>-17646</v>
      </c>
      <c r="CE92" s="342">
        <f t="shared" ref="CE92:CF92" si="426">CE98+CE104+CE109+CE114</f>
        <v>-16446</v>
      </c>
      <c r="CF92" s="342">
        <f t="shared" si="426"/>
        <v>-17308</v>
      </c>
      <c r="CG92" s="342">
        <f>CG98+CG104+CG109+CG114</f>
        <v>-34984</v>
      </c>
      <c r="CH92" s="342">
        <f>CH98+CH104+CH109+CH114</f>
        <v>-51430</v>
      </c>
      <c r="CI92" s="342">
        <f t="shared" ref="CI92" si="427">CI98+CI104+CI109+CI114</f>
        <v>-68738</v>
      </c>
      <c r="CJ92" s="342">
        <v>-15952</v>
      </c>
      <c r="CK92" s="342">
        <f t="shared" ref="CK92:CO92" si="428">CK98+CK104+CK109+CK114</f>
        <v>-16431</v>
      </c>
      <c r="CL92" s="342">
        <f t="shared" si="428"/>
        <v>0</v>
      </c>
      <c r="CM92" s="342">
        <f t="shared" si="428"/>
        <v>0</v>
      </c>
      <c r="CN92" s="342">
        <f t="shared" si="428"/>
        <v>-32383</v>
      </c>
      <c r="CO92" s="342">
        <f t="shared" si="428"/>
        <v>0</v>
      </c>
    </row>
    <row r="93" spans="1:93" x14ac:dyDescent="0.25">
      <c r="A93" s="341" t="str">
        <f>Language!$G97</f>
        <v>Outros</v>
      </c>
      <c r="B93" s="310">
        <f t="shared" ref="B93:Y93" si="429">SUM(B99,B105,B110,B115)</f>
        <v>0</v>
      </c>
      <c r="C93" s="310">
        <f t="shared" si="429"/>
        <v>0</v>
      </c>
      <c r="D93" s="310">
        <f t="shared" si="429"/>
        <v>0</v>
      </c>
      <c r="E93" s="325">
        <f t="shared" si="429"/>
        <v>0</v>
      </c>
      <c r="F93" s="310">
        <f t="shared" si="429"/>
        <v>0</v>
      </c>
      <c r="G93" s="310">
        <f t="shared" si="429"/>
        <v>0</v>
      </c>
      <c r="H93" s="310">
        <f t="shared" si="429"/>
        <v>0</v>
      </c>
      <c r="I93" s="325">
        <f t="shared" si="429"/>
        <v>0</v>
      </c>
      <c r="J93" s="310">
        <f t="shared" si="429"/>
        <v>0</v>
      </c>
      <c r="K93" s="310">
        <f t="shared" si="429"/>
        <v>0</v>
      </c>
      <c r="L93" s="310">
        <f t="shared" si="429"/>
        <v>-6244</v>
      </c>
      <c r="M93" s="325">
        <f t="shared" si="429"/>
        <v>-1271</v>
      </c>
      <c r="N93" s="310">
        <f t="shared" si="429"/>
        <v>0</v>
      </c>
      <c r="O93" s="310">
        <f t="shared" si="429"/>
        <v>0</v>
      </c>
      <c r="P93" s="310">
        <f t="shared" si="429"/>
        <v>-0.13879000002634712</v>
      </c>
      <c r="Q93" s="325">
        <f t="shared" si="429"/>
        <v>-8448.8612099999737</v>
      </c>
      <c r="R93" s="310">
        <v>-252</v>
      </c>
      <c r="S93" s="310">
        <v>4195</v>
      </c>
      <c r="T93" s="310">
        <v>1727</v>
      </c>
      <c r="U93" s="310">
        <v>1005</v>
      </c>
      <c r="V93" s="310">
        <v>3943</v>
      </c>
      <c r="W93" s="310">
        <v>5670</v>
      </c>
      <c r="X93" s="325">
        <v>6675</v>
      </c>
      <c r="Y93" s="310">
        <f t="shared" si="429"/>
        <v>0</v>
      </c>
      <c r="Z93" s="310">
        <f t="shared" si="263"/>
        <v>0</v>
      </c>
      <c r="AA93" s="310">
        <f t="shared" si="406"/>
        <v>0</v>
      </c>
      <c r="AB93" s="310">
        <f t="shared" si="406"/>
        <v>0</v>
      </c>
      <c r="AC93" s="310">
        <f t="shared" si="407"/>
        <v>0</v>
      </c>
      <c r="AD93" s="310">
        <f t="shared" si="407"/>
        <v>0</v>
      </c>
      <c r="AE93" s="325">
        <f t="shared" si="407"/>
        <v>0</v>
      </c>
      <c r="AF93" s="310">
        <f t="shared" si="407"/>
        <v>0</v>
      </c>
      <c r="AG93" s="310">
        <f>AJ93-AF93</f>
        <v>0</v>
      </c>
      <c r="AH93" s="310">
        <f t="shared" si="408"/>
        <v>-3638</v>
      </c>
      <c r="AI93" s="310">
        <f t="shared" si="408"/>
        <v>-3327</v>
      </c>
      <c r="AJ93" s="310">
        <f t="shared" si="409"/>
        <v>0</v>
      </c>
      <c r="AK93" s="310">
        <f t="shared" si="409"/>
        <v>-3638</v>
      </c>
      <c r="AL93" s="325">
        <f t="shared" si="409"/>
        <v>-6965</v>
      </c>
      <c r="AM93" s="310">
        <f>AM99+AM105+AM110+AM115</f>
        <v>-1521</v>
      </c>
      <c r="AN93" s="310">
        <f t="shared" si="261"/>
        <v>-1596</v>
      </c>
      <c r="AO93" s="310">
        <f t="shared" si="262"/>
        <v>-1844</v>
      </c>
      <c r="AP93" s="310">
        <f t="shared" si="262"/>
        <v>-1538</v>
      </c>
      <c r="AQ93" s="310">
        <f t="shared" si="412"/>
        <v>-3117</v>
      </c>
      <c r="AR93" s="310">
        <f t="shared" si="412"/>
        <v>-4961</v>
      </c>
      <c r="AS93" s="325">
        <f t="shared" si="412"/>
        <v>-6499</v>
      </c>
      <c r="AT93" s="310">
        <f t="shared" ref="AT93:AU93" si="430">AT99+AT105+AT110+AT115</f>
        <v>-1617</v>
      </c>
      <c r="AU93" s="310">
        <f t="shared" si="430"/>
        <v>-1506</v>
      </c>
      <c r="AV93" s="310">
        <f t="shared" ref="AV93:AW93" si="431">AV99+AV105+AV110+AV115</f>
        <v>-1376</v>
      </c>
      <c r="AW93" s="310">
        <f t="shared" si="431"/>
        <v>-150</v>
      </c>
      <c r="AX93" s="310">
        <f t="shared" ref="AX93:AZ93" si="432">AX99+AX105+AX110+AX115</f>
        <v>-3123</v>
      </c>
      <c r="AY93" s="310">
        <f t="shared" si="432"/>
        <v>-4499</v>
      </c>
      <c r="AZ93" s="342">
        <f t="shared" si="432"/>
        <v>-4649</v>
      </c>
      <c r="BA93" s="342">
        <f t="shared" ref="BA93:BD93" si="433">BA99+BA105+BA110+BA115</f>
        <v>-287</v>
      </c>
      <c r="BB93" s="342">
        <f t="shared" si="433"/>
        <v>-12</v>
      </c>
      <c r="BC93" s="342">
        <f t="shared" si="433"/>
        <v>4</v>
      </c>
      <c r="BD93" s="342">
        <f t="shared" si="433"/>
        <v>-7</v>
      </c>
      <c r="BE93" s="342">
        <f t="shared" ref="BE93:BF93" si="434">BE99+BE105+BE110+BE115</f>
        <v>-299</v>
      </c>
      <c r="BF93" s="342">
        <f t="shared" si="434"/>
        <v>-295</v>
      </c>
      <c r="BG93" s="342">
        <f t="shared" ref="BG93:BH93" si="435">BG99+BG105+BG110+BG115</f>
        <v>-302</v>
      </c>
      <c r="BH93" s="342">
        <f t="shared" si="435"/>
        <v>-2</v>
      </c>
      <c r="BI93" s="342">
        <f t="shared" ref="BI93:BL93" si="436">BI99+BI105+BI110+BI115</f>
        <v>2</v>
      </c>
      <c r="BJ93" s="342">
        <f t="shared" si="436"/>
        <v>-1</v>
      </c>
      <c r="BK93" s="342">
        <f t="shared" si="436"/>
        <v>-2</v>
      </c>
      <c r="BL93" s="342">
        <f t="shared" si="436"/>
        <v>0</v>
      </c>
      <c r="BM93" s="342">
        <f t="shared" ref="BM93:BN93" si="437">BM99+BM105+BM110+BM115</f>
        <v>-1</v>
      </c>
      <c r="BN93" s="342">
        <f t="shared" si="437"/>
        <v>-3</v>
      </c>
      <c r="BO93" s="342">
        <f t="shared" ref="BO93:BS93" si="438">BO99+BO105+BO110+BO115</f>
        <v>0</v>
      </c>
      <c r="BP93" s="342">
        <f t="shared" si="438"/>
        <v>0</v>
      </c>
      <c r="BQ93" s="342">
        <f t="shared" si="438"/>
        <v>0</v>
      </c>
      <c r="BR93" s="342">
        <f t="shared" si="438"/>
        <v>0</v>
      </c>
      <c r="BS93" s="342">
        <f t="shared" si="438"/>
        <v>0</v>
      </c>
      <c r="BT93" s="342">
        <f t="shared" ref="BT93:BU93" si="439">BT99+BT105+BT110+BT115</f>
        <v>0</v>
      </c>
      <c r="BU93" s="342">
        <f t="shared" si="439"/>
        <v>0</v>
      </c>
      <c r="BV93" s="342">
        <f t="shared" ref="BV93:BZ93" si="440">BV99+BV105+BV110+BV115</f>
        <v>0</v>
      </c>
      <c r="BW93" s="342">
        <f t="shared" si="440"/>
        <v>0</v>
      </c>
      <c r="BX93" s="342">
        <f t="shared" si="440"/>
        <v>0</v>
      </c>
      <c r="BY93" s="342">
        <f t="shared" si="440"/>
        <v>0</v>
      </c>
      <c r="BZ93" s="342">
        <f t="shared" si="440"/>
        <v>0</v>
      </c>
      <c r="CA93" s="342">
        <f>CA99+CA105+CA110+CA115</f>
        <v>0</v>
      </c>
      <c r="CB93" s="342">
        <f t="shared" ref="CB93:CC93" si="441">CB99+CB105+CB110+CB115</f>
        <v>0</v>
      </c>
      <c r="CC93" s="342">
        <f t="shared" si="441"/>
        <v>0</v>
      </c>
      <c r="CD93" s="342">
        <f t="shared" ref="CD93" si="442">CD99+CD105+CD110+CD115</f>
        <v>0</v>
      </c>
      <c r="CE93" s="342">
        <f t="shared" ref="CE93:CG93" si="443">CE99+CE105+CE110+CE115</f>
        <v>0</v>
      </c>
      <c r="CF93" s="342">
        <f t="shared" si="443"/>
        <v>0</v>
      </c>
      <c r="CG93" s="342">
        <f t="shared" si="443"/>
        <v>0</v>
      </c>
      <c r="CH93" s="342">
        <f t="shared" ref="CH93:CI93" si="444">CH99+CH105+CH110+CH115</f>
        <v>0</v>
      </c>
      <c r="CI93" s="342">
        <f t="shared" si="444"/>
        <v>0</v>
      </c>
      <c r="CJ93" s="342">
        <v>0</v>
      </c>
      <c r="CK93" s="342">
        <f t="shared" ref="CK93:CO93" si="445">CK99+CK105+CK110+CK115</f>
        <v>0</v>
      </c>
      <c r="CL93" s="342">
        <f t="shared" si="445"/>
        <v>0</v>
      </c>
      <c r="CM93" s="342">
        <f t="shared" si="445"/>
        <v>0</v>
      </c>
      <c r="CN93" s="342">
        <f t="shared" si="445"/>
        <v>0</v>
      </c>
      <c r="CO93" s="342">
        <f t="shared" si="445"/>
        <v>0</v>
      </c>
    </row>
    <row r="94" spans="1:93" x14ac:dyDescent="0.25">
      <c r="A94" s="341" t="str">
        <f>Language!$G98</f>
        <v>Eliminações e Ajustes</v>
      </c>
      <c r="B94" s="345">
        <v>0</v>
      </c>
      <c r="C94" s="345">
        <v>0</v>
      </c>
      <c r="D94" s="345">
        <v>0</v>
      </c>
      <c r="E94" s="346">
        <v>0</v>
      </c>
      <c r="F94" s="345">
        <v>0</v>
      </c>
      <c r="G94" s="345">
        <v>0</v>
      </c>
      <c r="H94" s="345">
        <v>0</v>
      </c>
      <c r="I94" s="346">
        <v>0</v>
      </c>
      <c r="J94" s="345">
        <v>0</v>
      </c>
      <c r="K94" s="345">
        <v>0</v>
      </c>
      <c r="L94" s="345">
        <v>0</v>
      </c>
      <c r="M94" s="346">
        <v>0</v>
      </c>
      <c r="N94" s="345">
        <v>0</v>
      </c>
      <c r="O94" s="345">
        <v>0</v>
      </c>
      <c r="P94" s="345">
        <v>0</v>
      </c>
      <c r="Q94" s="346">
        <v>0</v>
      </c>
      <c r="R94" s="345">
        <v>0</v>
      </c>
      <c r="S94" s="345">
        <v>5847</v>
      </c>
      <c r="T94" s="345">
        <v>0</v>
      </c>
      <c r="U94" s="345">
        <v>0</v>
      </c>
      <c r="V94" s="345">
        <v>0</v>
      </c>
      <c r="W94" s="347">
        <v>0</v>
      </c>
      <c r="X94" s="348">
        <v>0</v>
      </c>
      <c r="Y94" s="347">
        <v>0</v>
      </c>
      <c r="Z94" s="347">
        <f t="shared" si="263"/>
        <v>0</v>
      </c>
      <c r="AA94" s="345">
        <v>0</v>
      </c>
      <c r="AB94" s="345">
        <v>0</v>
      </c>
      <c r="AC94" s="347">
        <v>0</v>
      </c>
      <c r="AD94" s="347">
        <v>0</v>
      </c>
      <c r="AE94" s="348">
        <v>0</v>
      </c>
      <c r="AF94" s="347">
        <v>0</v>
      </c>
      <c r="AG94" s="347">
        <f>AJ94-AF94</f>
        <v>0</v>
      </c>
      <c r="AH94" s="345">
        <v>0</v>
      </c>
      <c r="AI94" s="345">
        <v>0</v>
      </c>
      <c r="AJ94" s="347">
        <v>0</v>
      </c>
      <c r="AK94" s="347">
        <v>0</v>
      </c>
      <c r="AL94" s="348">
        <v>0</v>
      </c>
      <c r="AM94" s="347">
        <f>AM100+AM116</f>
        <v>342</v>
      </c>
      <c r="AN94" s="347">
        <f t="shared" si="261"/>
        <v>110</v>
      </c>
      <c r="AO94" s="347">
        <f t="shared" si="262"/>
        <v>57</v>
      </c>
      <c r="AP94" s="347">
        <f t="shared" si="262"/>
        <v>-831.72299999999996</v>
      </c>
      <c r="AQ94" s="347">
        <f>AQ100+AQ116</f>
        <v>452</v>
      </c>
      <c r="AR94" s="347">
        <f>AR100+AR116</f>
        <v>509</v>
      </c>
      <c r="AS94" s="348">
        <f t="shared" ref="AS94:BA94" si="446">AS100-AS116</f>
        <v>-322.72299999999996</v>
      </c>
      <c r="AT94" s="347">
        <f t="shared" si="446"/>
        <v>-679.45</v>
      </c>
      <c r="AU94" s="347">
        <f t="shared" si="446"/>
        <v>198.54999999999995</v>
      </c>
      <c r="AV94" s="347">
        <f t="shared" si="446"/>
        <v>-211.09999999999991</v>
      </c>
      <c r="AW94" s="347">
        <f t="shared" si="446"/>
        <v>-2244</v>
      </c>
      <c r="AX94" s="347">
        <f t="shared" si="446"/>
        <v>-480.90000000000009</v>
      </c>
      <c r="AY94" s="347">
        <f t="shared" si="446"/>
        <v>-692</v>
      </c>
      <c r="AZ94" s="739">
        <f t="shared" si="446"/>
        <v>-2936</v>
      </c>
      <c r="BA94" s="739">
        <f t="shared" si="446"/>
        <v>-2741</v>
      </c>
      <c r="BB94" s="739">
        <f t="shared" ref="BB94:BD94" si="447">BB100-BB116</f>
        <v>-1582</v>
      </c>
      <c r="BC94" s="739">
        <f t="shared" si="447"/>
        <v>-1826</v>
      </c>
      <c r="BD94" s="739">
        <f t="shared" si="447"/>
        <v>-1427</v>
      </c>
      <c r="BE94" s="739">
        <f>BE100-BE116</f>
        <v>-4323</v>
      </c>
      <c r="BF94" s="739">
        <f>BF100-BF116</f>
        <v>-6149</v>
      </c>
      <c r="BG94" s="739">
        <f>BG100-BG116</f>
        <v>-7576</v>
      </c>
      <c r="BH94" s="739">
        <f>BH100-BH116</f>
        <v>-1106</v>
      </c>
      <c r="BI94" s="739">
        <f t="shared" ref="BI94:BL94" si="448">BI100-BI116</f>
        <v>-943</v>
      </c>
      <c r="BJ94" s="739">
        <f t="shared" si="448"/>
        <v>-1304</v>
      </c>
      <c r="BK94" s="739">
        <f t="shared" si="448"/>
        <v>-1009</v>
      </c>
      <c r="BL94" s="739">
        <f t="shared" si="448"/>
        <v>-2049</v>
      </c>
      <c r="BM94" s="739">
        <f t="shared" ref="BM94:BN94" si="449">BM100-BM116</f>
        <v>-3353</v>
      </c>
      <c r="BN94" s="739">
        <f t="shared" si="449"/>
        <v>-4362</v>
      </c>
      <c r="BO94" s="739">
        <f t="shared" ref="BO94:BS94" si="450">BO100-BO116</f>
        <v>-821</v>
      </c>
      <c r="BP94" s="739">
        <f t="shared" si="450"/>
        <v>-837</v>
      </c>
      <c r="BQ94" s="739">
        <f t="shared" si="450"/>
        <v>-891</v>
      </c>
      <c r="BR94" s="739">
        <f t="shared" si="450"/>
        <v>-918</v>
      </c>
      <c r="BS94" s="739">
        <f t="shared" si="450"/>
        <v>-1658</v>
      </c>
      <c r="BT94" s="739">
        <f t="shared" ref="BT94" si="451">BT100-BT116</f>
        <v>-2549</v>
      </c>
      <c r="BU94" s="739">
        <f>BU100-BU116</f>
        <v>-3467</v>
      </c>
      <c r="BV94" s="739">
        <f>BV100-BV116</f>
        <v>-3074</v>
      </c>
      <c r="BW94" s="739">
        <f t="shared" ref="BW94:BZ94" si="452">BW100-BW116</f>
        <v>-1615</v>
      </c>
      <c r="BX94" s="739">
        <f t="shared" si="452"/>
        <v>-1754</v>
      </c>
      <c r="BY94" s="739">
        <f t="shared" si="452"/>
        <v>-2660</v>
      </c>
      <c r="BZ94" s="739">
        <f t="shared" si="452"/>
        <v>-4689</v>
      </c>
      <c r="CA94" s="739">
        <f t="shared" ref="CA94:CB94" si="453">CA100-CA116</f>
        <v>-6443</v>
      </c>
      <c r="CB94" s="739">
        <f t="shared" si="453"/>
        <v>-9103</v>
      </c>
      <c r="CC94" s="739">
        <f t="shared" ref="CC94:CD94" si="454">CC100-CC116</f>
        <v>-2393</v>
      </c>
      <c r="CD94" s="739">
        <f t="shared" si="454"/>
        <v>-1458</v>
      </c>
      <c r="CE94" s="739">
        <f t="shared" ref="CE94:CG94" si="455">CE100-CE116</f>
        <v>-1842</v>
      </c>
      <c r="CF94" s="739">
        <f t="shared" si="455"/>
        <v>-2164</v>
      </c>
      <c r="CG94" s="739">
        <f t="shared" si="455"/>
        <v>-3851</v>
      </c>
      <c r="CH94" s="739">
        <f t="shared" ref="CH94:CI94" si="456">CH100-CH116</f>
        <v>-5693</v>
      </c>
      <c r="CI94" s="739">
        <f t="shared" si="456"/>
        <v>-7857</v>
      </c>
      <c r="CJ94" s="739">
        <v>-3225</v>
      </c>
      <c r="CK94" s="739">
        <f t="shared" ref="CK94:CO94" si="457">CK100-CK116</f>
        <v>-2222</v>
      </c>
      <c r="CL94" s="739">
        <f t="shared" si="457"/>
        <v>0</v>
      </c>
      <c r="CM94" s="739">
        <f t="shared" si="457"/>
        <v>0</v>
      </c>
      <c r="CN94" s="739">
        <f t="shared" si="457"/>
        <v>-5447</v>
      </c>
      <c r="CO94" s="739">
        <f t="shared" si="457"/>
        <v>0</v>
      </c>
    </row>
    <row r="95" spans="1:93" s="700" customFormat="1" x14ac:dyDescent="0.25">
      <c r="A95" s="349" t="str">
        <f>Language!$G99</f>
        <v>Operação de Geração de Energia</v>
      </c>
      <c r="B95" s="350">
        <f t="shared" ref="B95:Q95" si="458">SUM(B96,B97,B98,B99)</f>
        <v>-2703</v>
      </c>
      <c r="C95" s="350">
        <f t="shared" si="458"/>
        <v>-1392</v>
      </c>
      <c r="D95" s="350">
        <f t="shared" si="458"/>
        <v>-2660</v>
      </c>
      <c r="E95" s="351">
        <f t="shared" si="458"/>
        <v>-2778</v>
      </c>
      <c r="F95" s="350">
        <f t="shared" si="458"/>
        <v>-1881</v>
      </c>
      <c r="G95" s="350">
        <f t="shared" si="458"/>
        <v>-2532</v>
      </c>
      <c r="H95" s="350">
        <f t="shared" si="458"/>
        <v>-3306</v>
      </c>
      <c r="I95" s="351">
        <f t="shared" si="458"/>
        <v>-4912</v>
      </c>
      <c r="J95" s="350">
        <f t="shared" si="458"/>
        <v>-7917</v>
      </c>
      <c r="K95" s="350">
        <f t="shared" si="458"/>
        <v>-1806</v>
      </c>
      <c r="L95" s="350">
        <f t="shared" si="458"/>
        <v>-8922</v>
      </c>
      <c r="M95" s="351">
        <f t="shared" si="458"/>
        <v>-7498</v>
      </c>
      <c r="N95" s="350">
        <f t="shared" si="458"/>
        <v>-5964</v>
      </c>
      <c r="O95" s="350">
        <f t="shared" si="458"/>
        <v>-3229.0256699999991</v>
      </c>
      <c r="P95" s="350">
        <f t="shared" si="458"/>
        <v>-25486.823300000025</v>
      </c>
      <c r="Q95" s="351">
        <f t="shared" si="458"/>
        <v>-30370.151029999975</v>
      </c>
      <c r="R95" s="350">
        <v>-34502</v>
      </c>
      <c r="S95" s="350">
        <v>-24123</v>
      </c>
      <c r="T95" s="350">
        <v>-18232</v>
      </c>
      <c r="U95" s="350">
        <v>-6573</v>
      </c>
      <c r="V95" s="350">
        <v>-58625</v>
      </c>
      <c r="W95" s="350">
        <v>-76857</v>
      </c>
      <c r="X95" s="351">
        <v>-83430</v>
      </c>
      <c r="Y95" s="350">
        <f t="shared" ref="Y95:Z95" si="459">SUM(Y96,Y97,Y98,Y99)</f>
        <v>-516</v>
      </c>
      <c r="Z95" s="350">
        <f t="shared" si="459"/>
        <v>-845</v>
      </c>
      <c r="AA95" s="350">
        <f t="shared" ref="AA95:AB95" si="460">SUM(AA96,AA97,AA98,AA99)</f>
        <v>-1154</v>
      </c>
      <c r="AB95" s="350">
        <f t="shared" si="460"/>
        <v>-2037</v>
      </c>
      <c r="AC95" s="350">
        <f t="shared" ref="AC95:AD95" si="461">SUM(AC96,AC97,AC98,AC99)</f>
        <v>-1361</v>
      </c>
      <c r="AD95" s="350">
        <f t="shared" si="461"/>
        <v>-2515</v>
      </c>
      <c r="AE95" s="351">
        <f t="shared" ref="AE95:AJ95" si="462">SUM(AE96,AE97,AE98,AE99)</f>
        <v>-4552</v>
      </c>
      <c r="AF95" s="350">
        <f t="shared" si="462"/>
        <v>-1139</v>
      </c>
      <c r="AG95" s="350">
        <f t="shared" si="462"/>
        <v>-234</v>
      </c>
      <c r="AH95" s="350">
        <f t="shared" si="462"/>
        <v>-891</v>
      </c>
      <c r="AI95" s="350">
        <f t="shared" si="462"/>
        <v>-4284</v>
      </c>
      <c r="AJ95" s="350">
        <f t="shared" si="462"/>
        <v>-1373</v>
      </c>
      <c r="AK95" s="350">
        <f t="shared" ref="AK95" si="463">SUM(AK96,AK97,AK98,AK99)</f>
        <v>-2264</v>
      </c>
      <c r="AL95" s="351">
        <f>SUM(AL96,AL97,AL98,AL99)</f>
        <v>-6548</v>
      </c>
      <c r="AM95" s="350">
        <f>SUM(AM96,AM97,AM98,AM99)+AM100</f>
        <v>-1103</v>
      </c>
      <c r="AN95" s="350">
        <f t="shared" si="261"/>
        <v>-1691</v>
      </c>
      <c r="AO95" s="350">
        <f t="shared" si="262"/>
        <v>-1613</v>
      </c>
      <c r="AP95" s="350">
        <f t="shared" si="262"/>
        <v>-3230.723</v>
      </c>
      <c r="AQ95" s="350">
        <f t="shared" ref="AQ95:BA95" si="464">SUM(AQ96,AQ97,AQ98,AQ99)+AQ100</f>
        <v>-2794</v>
      </c>
      <c r="AR95" s="350">
        <f t="shared" si="464"/>
        <v>-4407</v>
      </c>
      <c r="AS95" s="351">
        <f t="shared" si="464"/>
        <v>-7637.723</v>
      </c>
      <c r="AT95" s="350">
        <f t="shared" si="464"/>
        <v>-1811.45</v>
      </c>
      <c r="AU95" s="350">
        <f t="shared" si="464"/>
        <v>-1565.45</v>
      </c>
      <c r="AV95" s="350">
        <f t="shared" si="464"/>
        <v>-2097.1</v>
      </c>
      <c r="AW95" s="350">
        <f t="shared" si="464"/>
        <v>-3733</v>
      </c>
      <c r="AX95" s="350">
        <f t="shared" si="464"/>
        <v>-3376.9</v>
      </c>
      <c r="AY95" s="350">
        <f t="shared" si="464"/>
        <v>-5474</v>
      </c>
      <c r="AZ95" s="740">
        <f t="shared" si="464"/>
        <v>-9207</v>
      </c>
      <c r="BA95" s="740">
        <f t="shared" si="464"/>
        <v>-2337</v>
      </c>
      <c r="BB95" s="740">
        <f t="shared" ref="BB95:BD95" si="465">SUM(BB96,BB97,BB98,BB99)+BB100</f>
        <v>-1697</v>
      </c>
      <c r="BC95" s="740">
        <f t="shared" si="465"/>
        <v>-2228</v>
      </c>
      <c r="BD95" s="740">
        <f t="shared" si="465"/>
        <v>-3154</v>
      </c>
      <c r="BE95" s="740">
        <f>SUM(BE96,BE97,BE98,BE99)+BE100</f>
        <v>-4034</v>
      </c>
      <c r="BF95" s="740">
        <f>SUM(BF96,BF97,BF98,BF99)+BF100</f>
        <v>-6262</v>
      </c>
      <c r="BG95" s="740">
        <f>SUM(BG96,BG97,BG98,BG99)+BG100</f>
        <v>-9416</v>
      </c>
      <c r="BH95" s="740">
        <f>SUM(BH96,BH97,BH98,BH99)+BH100</f>
        <v>-1849</v>
      </c>
      <c r="BI95" s="740">
        <f t="shared" ref="BI95:BL95" si="466">SUM(BI96,BI97,BI98,BI99)+BI100</f>
        <v>-2108</v>
      </c>
      <c r="BJ95" s="740">
        <f t="shared" si="466"/>
        <v>-1797</v>
      </c>
      <c r="BK95" s="740">
        <f t="shared" si="466"/>
        <v>-2602</v>
      </c>
      <c r="BL95" s="740">
        <f t="shared" si="466"/>
        <v>-3957</v>
      </c>
      <c r="BM95" s="740">
        <f t="shared" ref="BM95:BN95" si="467">SUM(BM96,BM97,BM98,BM99)+BM100</f>
        <v>-5754</v>
      </c>
      <c r="BN95" s="740">
        <f t="shared" si="467"/>
        <v>-8356</v>
      </c>
      <c r="BO95" s="740">
        <f t="shared" ref="BO95:BS95" si="468">SUM(BO96,BO97,BO98,BO99)+BO100</f>
        <v>-1424</v>
      </c>
      <c r="BP95" s="740">
        <f t="shared" si="468"/>
        <v>-1445</v>
      </c>
      <c r="BQ95" s="740">
        <f t="shared" si="468"/>
        <v>-1471</v>
      </c>
      <c r="BR95" s="740">
        <f t="shared" si="468"/>
        <v>-3229</v>
      </c>
      <c r="BS95" s="740">
        <f t="shared" si="468"/>
        <v>-2869</v>
      </c>
      <c r="BT95" s="740">
        <f t="shared" ref="BT95:BU95" si="469">SUM(BT96,BT97,BT98,BT99)+BT100</f>
        <v>-4340</v>
      </c>
      <c r="BU95" s="740">
        <f t="shared" si="469"/>
        <v>-7569</v>
      </c>
      <c r="BV95" s="740">
        <f t="shared" ref="BV95:BZ95" si="470">SUM(BV96,BV97,BV98,BV99)+BV100</f>
        <v>-1165</v>
      </c>
      <c r="BW95" s="740">
        <f t="shared" si="470"/>
        <v>-1483</v>
      </c>
      <c r="BX95" s="740">
        <f t="shared" si="470"/>
        <v>-1551</v>
      </c>
      <c r="BY95" s="740">
        <f t="shared" si="470"/>
        <v>-1959</v>
      </c>
      <c r="BZ95" s="740">
        <f t="shared" si="470"/>
        <v>-2648</v>
      </c>
      <c r="CA95" s="740">
        <f t="shared" ref="CA95:CB95" si="471">SUM(CA96,CA97,CA98,CA99)+CA100</f>
        <v>-4199</v>
      </c>
      <c r="CB95" s="740">
        <f t="shared" si="471"/>
        <v>-6158</v>
      </c>
      <c r="CC95" s="740">
        <f t="shared" ref="CC95:CD95" si="472">SUM(CC96,CC97,CC98,CC99)+CC100</f>
        <v>-1697</v>
      </c>
      <c r="CD95" s="740">
        <f t="shared" si="472"/>
        <v>-1855</v>
      </c>
      <c r="CE95" s="740">
        <f t="shared" ref="CE95:CF95" si="473">SUM(CE96,CE97,CE98,CE99)+CE100</f>
        <v>-1924</v>
      </c>
      <c r="CF95" s="740">
        <f t="shared" si="473"/>
        <v>-2657</v>
      </c>
      <c r="CG95" s="740">
        <f>SUM(CG96,CG97,CG98,CG99)+CG100</f>
        <v>-3552</v>
      </c>
      <c r="CH95" s="740">
        <f>SUM(CH96,CH97,CH98,CH99)+CH100</f>
        <v>-5476</v>
      </c>
      <c r="CI95" s="740">
        <f t="shared" ref="CI95" si="474">SUM(CI96,CI97,CI98,CI99)+CI100</f>
        <v>-8133</v>
      </c>
      <c r="CJ95" s="740">
        <v>-1373</v>
      </c>
      <c r="CK95" s="740">
        <f t="shared" ref="CK95:CO95" si="475">SUM(CK96,CK97,CK98,CK99)+CK100</f>
        <v>-1880</v>
      </c>
      <c r="CL95" s="740">
        <f t="shared" si="475"/>
        <v>0</v>
      </c>
      <c r="CM95" s="740">
        <f t="shared" si="475"/>
        <v>0</v>
      </c>
      <c r="CN95" s="740">
        <f t="shared" si="475"/>
        <v>-3253</v>
      </c>
      <c r="CO95" s="740">
        <f t="shared" si="475"/>
        <v>0</v>
      </c>
    </row>
    <row r="96" spans="1:93" s="353" customFormat="1" x14ac:dyDescent="0.25">
      <c r="A96" s="352" t="str">
        <f>Language!$G100</f>
        <v>Rio Verde</v>
      </c>
      <c r="B96" s="353">
        <v>-2703</v>
      </c>
      <c r="C96" s="353">
        <v>-1392</v>
      </c>
      <c r="D96" s="353">
        <v>-2660</v>
      </c>
      <c r="E96" s="354">
        <v>-2778</v>
      </c>
      <c r="F96" s="353">
        <v>-1881</v>
      </c>
      <c r="G96" s="353">
        <v>-2532</v>
      </c>
      <c r="H96" s="353">
        <v>-3306</v>
      </c>
      <c r="I96" s="354">
        <v>-4912</v>
      </c>
      <c r="J96" s="353">
        <v>-7917</v>
      </c>
      <c r="K96" s="353">
        <v>-1806</v>
      </c>
      <c r="L96" s="353">
        <v>-2678</v>
      </c>
      <c r="M96" s="354">
        <v>-3320</v>
      </c>
      <c r="N96" s="353">
        <v>-3393</v>
      </c>
      <c r="O96" s="353">
        <v>-591.52040000000125</v>
      </c>
      <c r="P96" s="353">
        <v>-13369.819469999999</v>
      </c>
      <c r="Q96" s="354">
        <v>-15015.66013</v>
      </c>
      <c r="R96" s="353">
        <v>-11063</v>
      </c>
      <c r="S96" s="353">
        <v>-11203</v>
      </c>
      <c r="T96" s="353">
        <v>-12703</v>
      </c>
      <c r="U96" s="353">
        <v>-3083</v>
      </c>
      <c r="V96" s="353">
        <v>-22266</v>
      </c>
      <c r="W96" s="353">
        <v>-34969</v>
      </c>
      <c r="X96" s="354">
        <v>-38052</v>
      </c>
      <c r="Y96" s="353">
        <v>0</v>
      </c>
      <c r="Z96" s="353">
        <f t="shared" si="263"/>
        <v>0</v>
      </c>
      <c r="AA96" s="353">
        <f>AD96-Z96-Y96</f>
        <v>0</v>
      </c>
      <c r="AB96" s="353">
        <f t="shared" si="259"/>
        <v>0</v>
      </c>
      <c r="AC96" s="353">
        <v>0</v>
      </c>
      <c r="AD96" s="353">
        <v>0</v>
      </c>
      <c r="AE96" s="354">
        <v>0</v>
      </c>
      <c r="AF96" s="353">
        <v>0</v>
      </c>
      <c r="AG96" s="353">
        <f>AJ96-AF96</f>
        <v>0</v>
      </c>
      <c r="AH96" s="353">
        <f>AK96-AG96-AF96</f>
        <v>0</v>
      </c>
      <c r="AI96" s="353">
        <f t="shared" ref="AI96:AI99" si="476">AL96-AF96-AG96-AH96</f>
        <v>0</v>
      </c>
      <c r="AJ96" s="353">
        <v>0</v>
      </c>
      <c r="AK96" s="353">
        <v>0</v>
      </c>
      <c r="AL96" s="354">
        <v>0</v>
      </c>
      <c r="AM96" s="353">
        <v>0</v>
      </c>
      <c r="AN96" s="353">
        <f t="shared" si="261"/>
        <v>0</v>
      </c>
      <c r="AO96" s="353">
        <f t="shared" si="262"/>
        <v>0</v>
      </c>
      <c r="AP96" s="353">
        <f t="shared" si="262"/>
        <v>0</v>
      </c>
      <c r="AQ96" s="353">
        <v>0</v>
      </c>
      <c r="AS96" s="354"/>
    </row>
    <row r="97" spans="1:93" s="353" customFormat="1" x14ac:dyDescent="0.25">
      <c r="A97" s="352" t="str">
        <f>Language!$G101</f>
        <v>Rio Canoas</v>
      </c>
      <c r="B97" s="353">
        <v>0</v>
      </c>
      <c r="C97" s="353">
        <v>0</v>
      </c>
      <c r="D97" s="353">
        <v>0</v>
      </c>
      <c r="E97" s="354">
        <v>0</v>
      </c>
      <c r="F97" s="353">
        <v>0</v>
      </c>
      <c r="G97" s="353">
        <v>0</v>
      </c>
      <c r="H97" s="353">
        <v>0</v>
      </c>
      <c r="I97" s="354">
        <v>0</v>
      </c>
      <c r="J97" s="353">
        <v>0</v>
      </c>
      <c r="K97" s="353">
        <v>0</v>
      </c>
      <c r="L97" s="353">
        <v>0</v>
      </c>
      <c r="M97" s="354">
        <v>-2907</v>
      </c>
      <c r="N97" s="353">
        <v>-2571</v>
      </c>
      <c r="O97" s="353">
        <v>-2637.5052699999978</v>
      </c>
      <c r="P97" s="353">
        <v>-12116.865040000001</v>
      </c>
      <c r="Q97" s="354">
        <v>-12995.629690000002</v>
      </c>
      <c r="R97" s="353">
        <v>-19423</v>
      </c>
      <c r="S97" s="353">
        <v>-16827</v>
      </c>
      <c r="T97" s="353">
        <v>-7145</v>
      </c>
      <c r="U97" s="353">
        <v>-2209</v>
      </c>
      <c r="V97" s="353">
        <v>-36250</v>
      </c>
      <c r="W97" s="353">
        <v>-43395</v>
      </c>
      <c r="X97" s="354">
        <v>-45604</v>
      </c>
      <c r="Y97" s="353">
        <v>0</v>
      </c>
      <c r="Z97" s="353">
        <f t="shared" si="263"/>
        <v>0</v>
      </c>
      <c r="AA97" s="353">
        <f>AD97-Z97-Y97</f>
        <v>0</v>
      </c>
      <c r="AB97" s="353">
        <f t="shared" si="259"/>
        <v>0</v>
      </c>
      <c r="AC97" s="353">
        <v>0</v>
      </c>
      <c r="AD97" s="353">
        <v>0</v>
      </c>
      <c r="AE97" s="354">
        <v>0</v>
      </c>
      <c r="AF97" s="353">
        <v>0</v>
      </c>
      <c r="AG97" s="353">
        <f>AJ97-AF97</f>
        <v>0</v>
      </c>
      <c r="AH97" s="353">
        <f>AK97-AG97-AF97</f>
        <v>0</v>
      </c>
      <c r="AI97" s="353">
        <f t="shared" si="476"/>
        <v>0</v>
      </c>
      <c r="AJ97" s="353">
        <v>0</v>
      </c>
      <c r="AK97" s="353">
        <v>0</v>
      </c>
      <c r="AL97" s="354">
        <v>0</v>
      </c>
      <c r="AM97" s="353">
        <v>0</v>
      </c>
      <c r="AN97" s="353">
        <f t="shared" si="261"/>
        <v>0</v>
      </c>
      <c r="AO97" s="353">
        <f t="shared" si="262"/>
        <v>0</v>
      </c>
      <c r="AP97" s="353">
        <f t="shared" si="262"/>
        <v>0</v>
      </c>
      <c r="AQ97" s="353">
        <v>0</v>
      </c>
      <c r="AS97" s="354"/>
    </row>
    <row r="98" spans="1:93" s="353" customFormat="1" x14ac:dyDescent="0.25">
      <c r="A98" s="352" t="str">
        <f>Language!$G102</f>
        <v>Tijoá</v>
      </c>
      <c r="B98" s="353">
        <v>0</v>
      </c>
      <c r="C98" s="353">
        <v>0</v>
      </c>
      <c r="D98" s="353">
        <v>0</v>
      </c>
      <c r="E98" s="354">
        <v>0</v>
      </c>
      <c r="F98" s="353">
        <v>0</v>
      </c>
      <c r="G98" s="353">
        <v>0</v>
      </c>
      <c r="H98" s="353">
        <v>0</v>
      </c>
      <c r="I98" s="354">
        <v>0</v>
      </c>
      <c r="J98" s="353">
        <v>0</v>
      </c>
      <c r="K98" s="353">
        <v>0</v>
      </c>
      <c r="L98" s="353">
        <v>0</v>
      </c>
      <c r="M98" s="354">
        <v>0</v>
      </c>
      <c r="N98" s="353">
        <v>0</v>
      </c>
      <c r="O98" s="353">
        <v>0</v>
      </c>
      <c r="P98" s="353">
        <v>0</v>
      </c>
      <c r="Q98" s="354">
        <v>0</v>
      </c>
      <c r="R98" s="353">
        <v>-4016</v>
      </c>
      <c r="S98" s="353">
        <v>-1940</v>
      </c>
      <c r="T98" s="353">
        <v>-1881</v>
      </c>
      <c r="U98" s="353">
        <v>-2676</v>
      </c>
      <c r="V98" s="353">
        <v>-5956</v>
      </c>
      <c r="W98" s="353">
        <v>-7837</v>
      </c>
      <c r="X98" s="354">
        <v>-10513</v>
      </c>
      <c r="Y98" s="353">
        <v>-516</v>
      </c>
      <c r="Z98" s="353">
        <f t="shared" si="263"/>
        <v>-845</v>
      </c>
      <c r="AA98" s="353">
        <f>AD98-Z98-Y98</f>
        <v>-1154</v>
      </c>
      <c r="AB98" s="353">
        <f t="shared" si="259"/>
        <v>-2037</v>
      </c>
      <c r="AC98" s="353">
        <v>-1361</v>
      </c>
      <c r="AD98" s="353">
        <v>-2515</v>
      </c>
      <c r="AE98" s="354">
        <v>-4552</v>
      </c>
      <c r="AF98" s="353">
        <v>-1139</v>
      </c>
      <c r="AG98" s="353">
        <f>AJ98-AF98</f>
        <v>-234</v>
      </c>
      <c r="AH98" s="353">
        <f>AK98-AG98-AF98</f>
        <v>-891</v>
      </c>
      <c r="AI98" s="353">
        <f t="shared" si="476"/>
        <v>-2065</v>
      </c>
      <c r="AJ98" s="353">
        <v>-1373</v>
      </c>
      <c r="AK98" s="353">
        <v>-2264</v>
      </c>
      <c r="AL98" s="354">
        <v>-4329</v>
      </c>
      <c r="AM98" s="353">
        <v>-2253</v>
      </c>
      <c r="AN98" s="353">
        <f t="shared" si="261"/>
        <v>-2846</v>
      </c>
      <c r="AO98" s="353">
        <f t="shared" si="262"/>
        <v>-2569</v>
      </c>
      <c r="AP98" s="353">
        <f t="shared" si="262"/>
        <v>-4088</v>
      </c>
      <c r="AQ98" s="353">
        <v>-5099</v>
      </c>
      <c r="AR98" s="353">
        <v>-7668</v>
      </c>
      <c r="AS98" s="354">
        <v>-11756</v>
      </c>
      <c r="AT98" s="353">
        <v>-2693</v>
      </c>
      <c r="AU98" s="353">
        <f>AX98-AT98</f>
        <v>-2504</v>
      </c>
      <c r="AV98" s="353">
        <f>AY98-AX98</f>
        <v>-3189</v>
      </c>
      <c r="AW98" s="353">
        <f>AZ98-AY98</f>
        <v>-3389</v>
      </c>
      <c r="AX98" s="353">
        <v>-5197</v>
      </c>
      <c r="AY98" s="353">
        <v>-8386</v>
      </c>
      <c r="AZ98" s="353">
        <v>-11775</v>
      </c>
      <c r="BA98" s="353">
        <v>-2129</v>
      </c>
      <c r="BB98" s="353">
        <f>BE98-BA98</f>
        <v>-1728</v>
      </c>
      <c r="BC98" s="353">
        <f>BF98-BE98</f>
        <v>-2231</v>
      </c>
      <c r="BD98" s="353">
        <f>BG98-BF98</f>
        <v>-3148</v>
      </c>
      <c r="BE98" s="353">
        <v>-3857</v>
      </c>
      <c r="BF98" s="353">
        <v>-6088</v>
      </c>
      <c r="BG98" s="353">
        <v>-9236</v>
      </c>
      <c r="BH98" s="353">
        <v>-1847</v>
      </c>
      <c r="BI98" s="353">
        <f>BL98-BH98</f>
        <v>-2110</v>
      </c>
      <c r="BJ98" s="353">
        <f>BM98-BL98</f>
        <v>-1796</v>
      </c>
      <c r="BK98" s="353">
        <f>BN98-BM98</f>
        <v>-2600</v>
      </c>
      <c r="BL98" s="353">
        <v>-3957</v>
      </c>
      <c r="BM98" s="353">
        <v>-5753</v>
      </c>
      <c r="BN98" s="353">
        <v>-8353</v>
      </c>
      <c r="BO98" s="353">
        <v>-1424</v>
      </c>
      <c r="BP98" s="353">
        <f>BS98-BO98</f>
        <v>-1445</v>
      </c>
      <c r="BQ98" s="353">
        <f>BT98-BS98</f>
        <v>-1471</v>
      </c>
      <c r="BR98" s="353">
        <f>BU98-BT98</f>
        <v>-3229</v>
      </c>
      <c r="BS98" s="353">
        <v>-2869</v>
      </c>
      <c r="BT98" s="353">
        <v>-4340</v>
      </c>
      <c r="BU98" s="353">
        <v>-7569</v>
      </c>
      <c r="BV98" s="353">
        <v>-1165</v>
      </c>
      <c r="BW98" s="353">
        <f>BZ98-BV98</f>
        <v>-1483</v>
      </c>
      <c r="BX98" s="353">
        <f>CA98-BZ98</f>
        <v>-1551</v>
      </c>
      <c r="BY98" s="353">
        <f>CB98-CA98</f>
        <v>-1959</v>
      </c>
      <c r="BZ98" s="353">
        <v>-2648</v>
      </c>
      <c r="CA98" s="353">
        <v>-4199</v>
      </c>
      <c r="CB98" s="353">
        <v>-6158</v>
      </c>
      <c r="CC98" s="353">
        <v>-1697</v>
      </c>
      <c r="CD98" s="353">
        <f>CG98-CC98</f>
        <v>-1855</v>
      </c>
      <c r="CE98" s="353">
        <f>CH98-CG98</f>
        <v>-1924</v>
      </c>
      <c r="CF98" s="353">
        <f>CI98-CH98</f>
        <v>-2657</v>
      </c>
      <c r="CG98" s="353">
        <v>-3552</v>
      </c>
      <c r="CH98" s="353">
        <v>-5476</v>
      </c>
      <c r="CI98" s="353">
        <v>-8133</v>
      </c>
      <c r="CJ98" s="353">
        <v>-1373</v>
      </c>
      <c r="CK98" s="353">
        <f>CN98-CJ98</f>
        <v>-1880</v>
      </c>
      <c r="CN98" s="353">
        <v>-3253</v>
      </c>
    </row>
    <row r="99" spans="1:93" s="353" customFormat="1" x14ac:dyDescent="0.25">
      <c r="A99" s="352" t="str">
        <f>Language!$G103</f>
        <v>Outros</v>
      </c>
      <c r="B99" s="353">
        <v>0</v>
      </c>
      <c r="C99" s="353">
        <v>0</v>
      </c>
      <c r="D99" s="353">
        <v>0</v>
      </c>
      <c r="E99" s="354">
        <v>0</v>
      </c>
      <c r="F99" s="353">
        <v>0</v>
      </c>
      <c r="G99" s="353">
        <v>0</v>
      </c>
      <c r="H99" s="353">
        <v>0</v>
      </c>
      <c r="I99" s="354">
        <v>0</v>
      </c>
      <c r="J99" s="353">
        <v>0</v>
      </c>
      <c r="K99" s="353">
        <v>0</v>
      </c>
      <c r="L99" s="353">
        <v>-6244</v>
      </c>
      <c r="M99" s="354">
        <v>-1271</v>
      </c>
      <c r="N99" s="353">
        <v>0</v>
      </c>
      <c r="O99" s="353">
        <v>0</v>
      </c>
      <c r="P99" s="353">
        <v>-0.13879000002634712</v>
      </c>
      <c r="Q99" s="354">
        <v>-2358.8612099999737</v>
      </c>
      <c r="R99" s="353">
        <v>0</v>
      </c>
      <c r="S99" s="353">
        <v>5847</v>
      </c>
      <c r="T99" s="353">
        <v>3497</v>
      </c>
      <c r="U99" s="353">
        <v>1395</v>
      </c>
      <c r="V99" s="353">
        <v>5847</v>
      </c>
      <c r="W99" s="353">
        <v>9344</v>
      </c>
      <c r="X99" s="354">
        <v>10739</v>
      </c>
      <c r="Y99" s="353">
        <v>0</v>
      </c>
      <c r="Z99" s="353">
        <f t="shared" si="263"/>
        <v>0</v>
      </c>
      <c r="AA99" s="353">
        <f>AD99-Z99-Y99</f>
        <v>0</v>
      </c>
      <c r="AB99" s="353">
        <f t="shared" si="259"/>
        <v>0</v>
      </c>
      <c r="AC99" s="353">
        <v>0</v>
      </c>
      <c r="AD99" s="353">
        <v>0</v>
      </c>
      <c r="AE99" s="354">
        <v>0</v>
      </c>
      <c r="AF99" s="353">
        <v>0</v>
      </c>
      <c r="AG99" s="353">
        <f>AJ99-AF99</f>
        <v>0</v>
      </c>
      <c r="AH99" s="353">
        <f>AK99-AG99-AF99</f>
        <v>0</v>
      </c>
      <c r="AI99" s="353">
        <f t="shared" si="476"/>
        <v>-2219</v>
      </c>
      <c r="AJ99" s="353">
        <v>0</v>
      </c>
      <c r="AK99" s="353">
        <v>0</v>
      </c>
      <c r="AL99" s="354">
        <v>-2219</v>
      </c>
      <c r="AM99" s="353">
        <v>-424</v>
      </c>
      <c r="AN99" s="353">
        <f t="shared" si="261"/>
        <v>-419</v>
      </c>
      <c r="AO99" s="353">
        <f t="shared" si="262"/>
        <v>-519</v>
      </c>
      <c r="AP99" s="353">
        <f t="shared" si="262"/>
        <v>-420</v>
      </c>
      <c r="AQ99" s="353">
        <v>-843</v>
      </c>
      <c r="AR99" s="353">
        <v>-1362</v>
      </c>
      <c r="AS99" s="354">
        <v>-1782</v>
      </c>
      <c r="AT99" s="353">
        <v>-396</v>
      </c>
      <c r="AU99" s="353">
        <f t="shared" ref="AU99:AU100" si="477">AX99-AT99</f>
        <v>-339</v>
      </c>
      <c r="AV99" s="353">
        <f t="shared" ref="AV99:AW100" si="478">AY99-AX99</f>
        <v>-323</v>
      </c>
      <c r="AW99" s="353">
        <f t="shared" si="478"/>
        <v>-344</v>
      </c>
      <c r="AX99" s="353">
        <v>-735</v>
      </c>
      <c r="AY99" s="353">
        <v>-1058</v>
      </c>
      <c r="AZ99" s="353">
        <v>-1402</v>
      </c>
      <c r="BA99" s="353">
        <v>-208</v>
      </c>
      <c r="BB99" s="353">
        <f t="shared" ref="BB99:BB100" si="479">BE99-BA99</f>
        <v>31</v>
      </c>
      <c r="BC99" s="353">
        <f t="shared" ref="BC99:BC100" si="480">BF99-BE99</f>
        <v>3</v>
      </c>
      <c r="BD99" s="353">
        <f t="shared" ref="BD99:BD100" si="481">BG99-BF99</f>
        <v>-6</v>
      </c>
      <c r="BE99" s="353">
        <v>-177</v>
      </c>
      <c r="BF99" s="353">
        <v>-174</v>
      </c>
      <c r="BG99" s="353">
        <v>-180</v>
      </c>
      <c r="BH99" s="353">
        <v>-2</v>
      </c>
      <c r="BI99" s="353">
        <f t="shared" ref="BI99:BI100" si="482">BL99-BH99</f>
        <v>2</v>
      </c>
      <c r="BJ99" s="353">
        <f t="shared" ref="BJ99:BJ100" si="483">BM99-BL99</f>
        <v>-1</v>
      </c>
      <c r="BK99" s="353">
        <f t="shared" ref="BK99:BK100" si="484">BN99-BM99</f>
        <v>-2</v>
      </c>
      <c r="BL99" s="353">
        <v>0</v>
      </c>
      <c r="BM99" s="353">
        <v>-1</v>
      </c>
      <c r="BN99" s="353">
        <v>-3</v>
      </c>
      <c r="BO99" s="353">
        <v>0</v>
      </c>
      <c r="BP99" s="353">
        <f t="shared" ref="BP99:BP100" si="485">BS99-BO99</f>
        <v>0</v>
      </c>
      <c r="BQ99" s="353">
        <f t="shared" ref="BQ99:BQ100" si="486">BT99-BS99</f>
        <v>0</v>
      </c>
      <c r="BR99" s="353">
        <f t="shared" ref="BR99:BR100" si="487">BU99-BT99</f>
        <v>0</v>
      </c>
      <c r="BS99" s="353">
        <v>0</v>
      </c>
      <c r="BT99" s="353">
        <v>0</v>
      </c>
      <c r="BU99" s="353">
        <v>0</v>
      </c>
      <c r="BV99" s="353">
        <v>0</v>
      </c>
      <c r="BW99" s="353">
        <f t="shared" ref="BW99:BW100" si="488">BZ99-BV99</f>
        <v>0</v>
      </c>
      <c r="BX99" s="353">
        <f t="shared" ref="BX99:BX100" si="489">CA99-BZ99</f>
        <v>0</v>
      </c>
      <c r="BY99" s="353">
        <f t="shared" ref="BY99:BY100" si="490">CB99-CA99</f>
        <v>0</v>
      </c>
      <c r="BZ99" s="353">
        <v>0</v>
      </c>
      <c r="CA99" s="353">
        <v>0</v>
      </c>
      <c r="CB99" s="353">
        <v>0</v>
      </c>
      <c r="CC99" s="353">
        <v>0</v>
      </c>
      <c r="CD99" s="353">
        <f>CG99-CC99</f>
        <v>0</v>
      </c>
      <c r="CE99" s="353">
        <f t="shared" ref="CE99:CE100" si="491">CH99-CG99</f>
        <v>0</v>
      </c>
      <c r="CF99" s="353">
        <f t="shared" ref="CF99:CF100" si="492">CI99-CH99</f>
        <v>0</v>
      </c>
      <c r="CG99" s="353">
        <v>0</v>
      </c>
      <c r="CH99" s="353">
        <v>0</v>
      </c>
      <c r="CI99" s="353">
        <v>0</v>
      </c>
      <c r="CJ99" s="353">
        <v>0</v>
      </c>
      <c r="CK99" s="353">
        <f t="shared" ref="CK99:CK100" si="493">CN99-CJ99</f>
        <v>0</v>
      </c>
      <c r="CN99" s="353">
        <v>0</v>
      </c>
    </row>
    <row r="100" spans="1:93" s="353" customFormat="1" x14ac:dyDescent="0.25">
      <c r="A100" s="352" t="s">
        <v>320</v>
      </c>
      <c r="B100" s="355">
        <v>0</v>
      </c>
      <c r="C100" s="355">
        <v>0</v>
      </c>
      <c r="D100" s="355">
        <v>0</v>
      </c>
      <c r="E100" s="356">
        <v>0</v>
      </c>
      <c r="F100" s="355">
        <v>0</v>
      </c>
      <c r="G100" s="355">
        <v>0</v>
      </c>
      <c r="H100" s="355">
        <v>0</v>
      </c>
      <c r="I100" s="356">
        <v>0</v>
      </c>
      <c r="J100" s="355">
        <v>0</v>
      </c>
      <c r="K100" s="355">
        <v>0</v>
      </c>
      <c r="L100" s="355">
        <v>0</v>
      </c>
      <c r="M100" s="356">
        <v>0</v>
      </c>
      <c r="N100" s="355">
        <v>0</v>
      </c>
      <c r="O100" s="355">
        <v>0</v>
      </c>
      <c r="P100" s="355">
        <v>0</v>
      </c>
      <c r="Q100" s="356">
        <v>0</v>
      </c>
      <c r="R100" s="355">
        <v>0</v>
      </c>
      <c r="S100" s="355">
        <v>0</v>
      </c>
      <c r="T100" s="355">
        <v>0</v>
      </c>
      <c r="U100" s="355">
        <v>0</v>
      </c>
      <c r="V100" s="355">
        <v>0</v>
      </c>
      <c r="W100" s="357">
        <v>0</v>
      </c>
      <c r="X100" s="358">
        <v>0</v>
      </c>
      <c r="Y100" s="357">
        <v>0</v>
      </c>
      <c r="Z100" s="357">
        <v>0</v>
      </c>
      <c r="AA100" s="355">
        <v>0</v>
      </c>
      <c r="AB100" s="355">
        <v>0</v>
      </c>
      <c r="AC100" s="357">
        <v>0</v>
      </c>
      <c r="AD100" s="357">
        <v>0</v>
      </c>
      <c r="AE100" s="358">
        <v>0</v>
      </c>
      <c r="AF100" s="357">
        <v>0</v>
      </c>
      <c r="AG100" s="357">
        <v>0</v>
      </c>
      <c r="AH100" s="355">
        <v>0</v>
      </c>
      <c r="AI100" s="355">
        <v>0</v>
      </c>
      <c r="AJ100" s="357">
        <v>0</v>
      </c>
      <c r="AK100" s="357">
        <v>0</v>
      </c>
      <c r="AL100" s="358">
        <v>0</v>
      </c>
      <c r="AM100" s="357">
        <v>1574</v>
      </c>
      <c r="AN100" s="357">
        <f t="shared" si="261"/>
        <v>1574</v>
      </c>
      <c r="AO100" s="357">
        <f t="shared" si="262"/>
        <v>1475</v>
      </c>
      <c r="AP100" s="357">
        <f t="shared" si="262"/>
        <v>1277.277</v>
      </c>
      <c r="AQ100" s="357">
        <v>3148</v>
      </c>
      <c r="AR100" s="357">
        <v>4623</v>
      </c>
      <c r="AS100" s="358">
        <v>5900.277</v>
      </c>
      <c r="AT100" s="357">
        <v>1277.55</v>
      </c>
      <c r="AU100" s="353">
        <f t="shared" si="477"/>
        <v>1277.55</v>
      </c>
      <c r="AV100" s="353">
        <f t="shared" si="478"/>
        <v>1414.9</v>
      </c>
      <c r="AW100" s="353">
        <f t="shared" si="478"/>
        <v>0</v>
      </c>
      <c r="AX100" s="357">
        <v>2555.1</v>
      </c>
      <c r="AY100" s="357">
        <v>3970</v>
      </c>
      <c r="AZ100" s="357">
        <v>3970</v>
      </c>
      <c r="BA100" s="357">
        <v>0</v>
      </c>
      <c r="BB100" s="353">
        <f t="shared" si="479"/>
        <v>0</v>
      </c>
      <c r="BC100" s="353">
        <f t="shared" si="480"/>
        <v>0</v>
      </c>
      <c r="BD100" s="353">
        <f t="shared" si="481"/>
        <v>0</v>
      </c>
      <c r="BE100" s="357">
        <v>0</v>
      </c>
      <c r="BF100" s="357">
        <v>0</v>
      </c>
      <c r="BG100" s="357">
        <v>0</v>
      </c>
      <c r="BH100" s="357">
        <v>0</v>
      </c>
      <c r="BI100" s="353">
        <f t="shared" si="482"/>
        <v>0</v>
      </c>
      <c r="BJ100" s="353">
        <f t="shared" si="483"/>
        <v>0</v>
      </c>
      <c r="BK100" s="353">
        <f t="shared" si="484"/>
        <v>0</v>
      </c>
      <c r="BL100" s="357">
        <v>0</v>
      </c>
      <c r="BM100" s="357">
        <v>0</v>
      </c>
      <c r="BN100" s="357">
        <v>0</v>
      </c>
      <c r="BO100" s="357">
        <v>0</v>
      </c>
      <c r="BP100" s="353">
        <f t="shared" si="485"/>
        <v>0</v>
      </c>
      <c r="BQ100" s="353">
        <f t="shared" si="486"/>
        <v>0</v>
      </c>
      <c r="BR100" s="353">
        <f t="shared" si="487"/>
        <v>0</v>
      </c>
      <c r="BS100" s="357">
        <v>0</v>
      </c>
      <c r="BT100" s="357">
        <v>0</v>
      </c>
      <c r="BU100" s="357">
        <v>0</v>
      </c>
      <c r="BV100" s="357">
        <v>0</v>
      </c>
      <c r="BW100" s="353">
        <f t="shared" si="488"/>
        <v>0</v>
      </c>
      <c r="BX100" s="353">
        <f t="shared" si="489"/>
        <v>0</v>
      </c>
      <c r="BY100" s="353">
        <f t="shared" si="490"/>
        <v>0</v>
      </c>
      <c r="BZ100" s="357">
        <v>0</v>
      </c>
      <c r="CA100" s="357">
        <v>0</v>
      </c>
      <c r="CB100" s="357">
        <v>0</v>
      </c>
      <c r="CC100" s="357">
        <v>0</v>
      </c>
      <c r="CD100" s="357">
        <v>0</v>
      </c>
      <c r="CE100" s="353">
        <f t="shared" si="491"/>
        <v>0</v>
      </c>
      <c r="CF100" s="353">
        <f t="shared" si="492"/>
        <v>0</v>
      </c>
      <c r="CG100" s="357">
        <v>0</v>
      </c>
      <c r="CH100" s="357">
        <v>0</v>
      </c>
      <c r="CI100" s="357">
        <v>0</v>
      </c>
      <c r="CJ100" s="357">
        <v>0</v>
      </c>
      <c r="CK100" s="353">
        <f t="shared" si="493"/>
        <v>0</v>
      </c>
      <c r="CL100" s="357"/>
      <c r="CM100" s="357"/>
      <c r="CN100" s="357">
        <v>0</v>
      </c>
      <c r="CO100" s="357"/>
    </row>
    <row r="101" spans="1:93" s="700" customFormat="1" x14ac:dyDescent="0.25">
      <c r="A101" s="349" t="str">
        <f>Language!$G104</f>
        <v>Custos com Pessoal</v>
      </c>
      <c r="B101" s="350">
        <f t="shared" ref="B101:AM101" si="494">SUM(B102,B103,B104,B105)</f>
        <v>-169</v>
      </c>
      <c r="C101" s="350">
        <f t="shared" si="494"/>
        <v>-237</v>
      </c>
      <c r="D101" s="350">
        <f t="shared" si="494"/>
        <v>-75</v>
      </c>
      <c r="E101" s="351">
        <f t="shared" si="494"/>
        <v>-277</v>
      </c>
      <c r="F101" s="350">
        <f t="shared" si="494"/>
        <v>-139</v>
      </c>
      <c r="G101" s="350">
        <f t="shared" si="494"/>
        <v>-418</v>
      </c>
      <c r="H101" s="350">
        <f t="shared" si="494"/>
        <v>-188</v>
      </c>
      <c r="I101" s="351">
        <f t="shared" si="494"/>
        <v>-418</v>
      </c>
      <c r="J101" s="350">
        <f t="shared" si="494"/>
        <v>-324</v>
      </c>
      <c r="K101" s="350">
        <f t="shared" si="494"/>
        <v>-158</v>
      </c>
      <c r="L101" s="350">
        <f t="shared" si="494"/>
        <v>-144</v>
      </c>
      <c r="M101" s="351">
        <f t="shared" si="494"/>
        <v>-226</v>
      </c>
      <c r="N101" s="350">
        <f t="shared" si="494"/>
        <v>-387</v>
      </c>
      <c r="O101" s="350">
        <f t="shared" si="494"/>
        <v>-399</v>
      </c>
      <c r="P101" s="350">
        <f t="shared" si="494"/>
        <v>-577</v>
      </c>
      <c r="Q101" s="351">
        <f t="shared" si="494"/>
        <v>-737</v>
      </c>
      <c r="R101" s="350">
        <v>-963</v>
      </c>
      <c r="S101" s="350">
        <v>-1903</v>
      </c>
      <c r="T101" s="350">
        <v>-2393</v>
      </c>
      <c r="U101" s="350">
        <v>-2091</v>
      </c>
      <c r="V101" s="350">
        <v>-2866</v>
      </c>
      <c r="W101" s="350">
        <v>-5259</v>
      </c>
      <c r="X101" s="351">
        <v>-7350</v>
      </c>
      <c r="Y101" s="350">
        <f t="shared" si="494"/>
        <v>-1370</v>
      </c>
      <c r="Z101" s="350">
        <f t="shared" si="494"/>
        <v>-1375</v>
      </c>
      <c r="AA101" s="350">
        <f t="shared" si="494"/>
        <v>-1516</v>
      </c>
      <c r="AB101" s="350">
        <f t="shared" si="494"/>
        <v>-1501</v>
      </c>
      <c r="AC101" s="350">
        <f t="shared" si="494"/>
        <v>-2745</v>
      </c>
      <c r="AD101" s="350">
        <f t="shared" si="494"/>
        <v>-4261</v>
      </c>
      <c r="AE101" s="351">
        <f t="shared" si="494"/>
        <v>-5762</v>
      </c>
      <c r="AF101" s="350">
        <f t="shared" si="494"/>
        <v>-1595</v>
      </c>
      <c r="AG101" s="350">
        <f t="shared" si="494"/>
        <v>-1840</v>
      </c>
      <c r="AH101" s="350">
        <f t="shared" si="494"/>
        <v>-2129</v>
      </c>
      <c r="AI101" s="350">
        <f t="shared" si="494"/>
        <v>-1806</v>
      </c>
      <c r="AJ101" s="350">
        <f t="shared" si="494"/>
        <v>-3435</v>
      </c>
      <c r="AK101" s="350">
        <f t="shared" si="494"/>
        <v>-5564</v>
      </c>
      <c r="AL101" s="351">
        <f t="shared" si="494"/>
        <v>-7370</v>
      </c>
      <c r="AM101" s="350">
        <f t="shared" si="494"/>
        <v>-2012</v>
      </c>
      <c r="AN101" s="350">
        <f t="shared" si="261"/>
        <v>-1984</v>
      </c>
      <c r="AO101" s="350">
        <f t="shared" si="262"/>
        <v>-1813</v>
      </c>
      <c r="AP101" s="350">
        <f t="shared" si="262"/>
        <v>-1882</v>
      </c>
      <c r="AQ101" s="350">
        <f t="shared" ref="AQ101:AR101" si="495">SUM(AQ102,AQ103,AQ104,AQ105)</f>
        <v>-3996</v>
      </c>
      <c r="AR101" s="350">
        <f t="shared" si="495"/>
        <v>-5809</v>
      </c>
      <c r="AS101" s="351">
        <f t="shared" ref="AS101:AU101" si="496">SUM(AS102,AS103,AS104,AS105)</f>
        <v>-7691</v>
      </c>
      <c r="AT101" s="350">
        <f t="shared" si="496"/>
        <v>-2138</v>
      </c>
      <c r="AU101" s="350">
        <f t="shared" si="496"/>
        <v>-1832</v>
      </c>
      <c r="AV101" s="350">
        <f t="shared" ref="AV101:AW101" si="497">SUM(AV102,AV103,AV104,AV105)</f>
        <v>-1932</v>
      </c>
      <c r="AW101" s="350">
        <f t="shared" si="497"/>
        <v>-1344</v>
      </c>
      <c r="AX101" s="350">
        <f t="shared" ref="AX101:AZ101" si="498">SUM(AX102,AX103,AX104,AX105)</f>
        <v>-3970</v>
      </c>
      <c r="AY101" s="350">
        <f t="shared" si="498"/>
        <v>-5902</v>
      </c>
      <c r="AZ101" s="740">
        <f t="shared" si="498"/>
        <v>-7246</v>
      </c>
      <c r="BA101" s="740">
        <f t="shared" ref="BA101:BD101" si="499">SUM(BA102,BA103,BA104,BA105)</f>
        <v>-1342</v>
      </c>
      <c r="BB101" s="740">
        <f t="shared" si="499"/>
        <v>-1277</v>
      </c>
      <c r="BC101" s="740">
        <f t="shared" si="499"/>
        <v>-1309</v>
      </c>
      <c r="BD101" s="740">
        <f t="shared" si="499"/>
        <v>-1255</v>
      </c>
      <c r="BE101" s="740">
        <f t="shared" ref="BE101:BF101" si="500">SUM(BE102,BE103,BE104,BE105)</f>
        <v>-2619</v>
      </c>
      <c r="BF101" s="740">
        <f t="shared" si="500"/>
        <v>-3928</v>
      </c>
      <c r="BG101" s="740">
        <f t="shared" ref="BG101:BH101" si="501">SUM(BG102,BG103,BG104,BG105)</f>
        <v>-5183</v>
      </c>
      <c r="BH101" s="740">
        <f t="shared" si="501"/>
        <v>-1304</v>
      </c>
      <c r="BI101" s="740">
        <f t="shared" ref="BI101:BL101" si="502">SUM(BI102,BI103,BI104,BI105)</f>
        <v>-1705</v>
      </c>
      <c r="BJ101" s="740">
        <f t="shared" si="502"/>
        <v>-1462</v>
      </c>
      <c r="BK101" s="740">
        <f t="shared" si="502"/>
        <v>-1893</v>
      </c>
      <c r="BL101" s="740">
        <f t="shared" si="502"/>
        <v>-3009</v>
      </c>
      <c r="BM101" s="740">
        <f t="shared" ref="BM101:BN101" si="503">SUM(BM102,BM103,BM104,BM105)</f>
        <v>-4471</v>
      </c>
      <c r="BN101" s="740">
        <f t="shared" si="503"/>
        <v>-6364</v>
      </c>
      <c r="BO101" s="740">
        <f t="shared" ref="BO101:BS101" si="504">SUM(BO102,BO103,BO104,BO105)</f>
        <v>-1558</v>
      </c>
      <c r="BP101" s="740">
        <f t="shared" si="504"/>
        <v>-1702</v>
      </c>
      <c r="BQ101" s="740">
        <f t="shared" si="504"/>
        <v>-1788</v>
      </c>
      <c r="BR101" s="740">
        <f t="shared" si="504"/>
        <v>-1909</v>
      </c>
      <c r="BS101" s="740">
        <f t="shared" si="504"/>
        <v>-3260</v>
      </c>
      <c r="BT101" s="740">
        <f t="shared" ref="BT101:BU101" si="505">SUM(BT102,BT103,BT104,BT105)</f>
        <v>-5048</v>
      </c>
      <c r="BU101" s="740">
        <f t="shared" si="505"/>
        <v>-6957</v>
      </c>
      <c r="BV101" s="740">
        <f t="shared" ref="BV101:BZ101" si="506">SUM(BV102,BV103,BV104,BV105)</f>
        <v>-1767</v>
      </c>
      <c r="BW101" s="740">
        <f t="shared" si="506"/>
        <v>-1882</v>
      </c>
      <c r="BX101" s="740">
        <f t="shared" si="506"/>
        <v>-1540</v>
      </c>
      <c r="BY101" s="740">
        <f t="shared" si="506"/>
        <v>-2192</v>
      </c>
      <c r="BZ101" s="740">
        <f t="shared" si="506"/>
        <v>-3649</v>
      </c>
      <c r="CA101" s="740">
        <f t="shared" ref="CA101:CB101" si="507">SUM(CA102,CA103,CA104,CA105)</f>
        <v>-5189</v>
      </c>
      <c r="CB101" s="740">
        <f t="shared" si="507"/>
        <v>-7381</v>
      </c>
      <c r="CC101" s="740">
        <f t="shared" ref="CC101:CD101" si="508">SUM(CC102,CC103,CC104,CC105)</f>
        <v>-1810</v>
      </c>
      <c r="CD101" s="740">
        <f t="shared" si="508"/>
        <v>-1939</v>
      </c>
      <c r="CE101" s="740">
        <f t="shared" ref="CE101:CG101" si="509">SUM(CE102,CE103,CE104,CE105)</f>
        <v>-1864</v>
      </c>
      <c r="CF101" s="740">
        <f t="shared" si="509"/>
        <v>-2021</v>
      </c>
      <c r="CG101" s="740">
        <f t="shared" si="509"/>
        <v>-3749</v>
      </c>
      <c r="CH101" s="740">
        <f t="shared" ref="CH101:CI101" si="510">SUM(CH102,CH103,CH104,CH105)</f>
        <v>-5613</v>
      </c>
      <c r="CI101" s="740">
        <f t="shared" si="510"/>
        <v>-7634</v>
      </c>
      <c r="CJ101" s="740">
        <v>-1947</v>
      </c>
      <c r="CK101" s="740">
        <f t="shared" ref="CK101:CO101" si="511">SUM(CK102,CK103,CK104,CK105)</f>
        <v>-1847</v>
      </c>
      <c r="CL101" s="740">
        <f t="shared" si="511"/>
        <v>0</v>
      </c>
      <c r="CM101" s="740">
        <f t="shared" si="511"/>
        <v>0</v>
      </c>
      <c r="CN101" s="740">
        <f t="shared" si="511"/>
        <v>-3794</v>
      </c>
      <c r="CO101" s="740">
        <f t="shared" si="511"/>
        <v>0</v>
      </c>
    </row>
    <row r="102" spans="1:93" s="353" customFormat="1" x14ac:dyDescent="0.25">
      <c r="A102" s="352" t="str">
        <f>Language!$G105</f>
        <v>Rio Verde</v>
      </c>
      <c r="B102" s="353">
        <v>-169</v>
      </c>
      <c r="C102" s="353">
        <v>-237</v>
      </c>
      <c r="D102" s="353">
        <v>-75</v>
      </c>
      <c r="E102" s="354">
        <v>-277</v>
      </c>
      <c r="F102" s="353">
        <v>-139</v>
      </c>
      <c r="G102" s="353">
        <v>-418</v>
      </c>
      <c r="H102" s="353">
        <v>-188</v>
      </c>
      <c r="I102" s="354">
        <v>-418</v>
      </c>
      <c r="J102" s="353">
        <v>-324</v>
      </c>
      <c r="K102" s="353">
        <v>-158</v>
      </c>
      <c r="L102" s="353">
        <v>-144</v>
      </c>
      <c r="M102" s="354">
        <v>-226</v>
      </c>
      <c r="N102" s="353">
        <v>-40</v>
      </c>
      <c r="O102" s="353">
        <v>0</v>
      </c>
      <c r="P102" s="353">
        <v>-134</v>
      </c>
      <c r="Q102" s="354">
        <v>-98</v>
      </c>
      <c r="R102" s="353">
        <v>-24</v>
      </c>
      <c r="S102" s="353">
        <v>-40</v>
      </c>
      <c r="T102" s="353">
        <v>-36</v>
      </c>
      <c r="U102" s="353">
        <v>-544</v>
      </c>
      <c r="V102" s="353">
        <v>-64</v>
      </c>
      <c r="W102" s="353">
        <v>-100</v>
      </c>
      <c r="X102" s="354">
        <v>-644</v>
      </c>
      <c r="Y102" s="353">
        <v>0</v>
      </c>
      <c r="Z102" s="353">
        <f t="shared" si="263"/>
        <v>0</v>
      </c>
      <c r="AA102" s="353">
        <f t="shared" ref="AA102:AA105" si="512">AD102-Z102-Y102</f>
        <v>0</v>
      </c>
      <c r="AB102" s="353">
        <f t="shared" si="259"/>
        <v>0</v>
      </c>
      <c r="AC102" s="353">
        <v>0</v>
      </c>
      <c r="AD102" s="353">
        <v>0</v>
      </c>
      <c r="AE102" s="354">
        <v>0</v>
      </c>
      <c r="AF102" s="353">
        <v>0</v>
      </c>
      <c r="AG102" s="353">
        <f>AJ102-AF102</f>
        <v>0</v>
      </c>
      <c r="AH102" s="353">
        <f t="shared" ref="AH102:AH105" si="513">AK102-AG102-AF102</f>
        <v>0</v>
      </c>
      <c r="AI102" s="353">
        <f t="shared" ref="AI102:AI105" si="514">AL102-AF102-AG102-AH102</f>
        <v>0</v>
      </c>
      <c r="AJ102" s="353">
        <v>0</v>
      </c>
      <c r="AK102" s="353">
        <v>0</v>
      </c>
      <c r="AL102" s="354">
        <v>0</v>
      </c>
      <c r="AM102" s="353">
        <v>0</v>
      </c>
      <c r="AN102" s="353">
        <f t="shared" si="261"/>
        <v>0</v>
      </c>
      <c r="AO102" s="353">
        <f t="shared" si="262"/>
        <v>0</v>
      </c>
      <c r="AP102" s="353">
        <f t="shared" si="262"/>
        <v>0</v>
      </c>
      <c r="AQ102" s="353">
        <v>0</v>
      </c>
      <c r="AS102" s="354"/>
    </row>
    <row r="103" spans="1:93" s="353" customFormat="1" x14ac:dyDescent="0.25">
      <c r="A103" s="352" t="str">
        <f>Language!$G106</f>
        <v>Rio Canoas</v>
      </c>
      <c r="B103" s="353">
        <v>0</v>
      </c>
      <c r="C103" s="353">
        <v>0</v>
      </c>
      <c r="D103" s="353">
        <v>0</v>
      </c>
      <c r="E103" s="354">
        <v>0</v>
      </c>
      <c r="F103" s="353">
        <v>0</v>
      </c>
      <c r="G103" s="353">
        <v>0</v>
      </c>
      <c r="H103" s="353">
        <v>0</v>
      </c>
      <c r="I103" s="354">
        <v>0</v>
      </c>
      <c r="J103" s="353">
        <v>0</v>
      </c>
      <c r="K103" s="353">
        <v>0</v>
      </c>
      <c r="L103" s="353">
        <v>0</v>
      </c>
      <c r="M103" s="354">
        <v>0</v>
      </c>
      <c r="N103" s="353">
        <v>-347</v>
      </c>
      <c r="O103" s="353">
        <v>-399</v>
      </c>
      <c r="P103" s="353">
        <v>-443</v>
      </c>
      <c r="Q103" s="354">
        <v>-292</v>
      </c>
      <c r="R103" s="353">
        <v>-259</v>
      </c>
      <c r="S103" s="353">
        <v>-68</v>
      </c>
      <c r="T103" s="353">
        <v>-122</v>
      </c>
      <c r="U103" s="353">
        <v>-563</v>
      </c>
      <c r="V103" s="353">
        <v>-327</v>
      </c>
      <c r="W103" s="353">
        <v>-449</v>
      </c>
      <c r="X103" s="354">
        <v>-1012</v>
      </c>
      <c r="Y103" s="353">
        <v>0</v>
      </c>
      <c r="Z103" s="353">
        <f t="shared" si="263"/>
        <v>0</v>
      </c>
      <c r="AA103" s="353">
        <f t="shared" si="512"/>
        <v>0</v>
      </c>
      <c r="AB103" s="353">
        <f t="shared" si="259"/>
        <v>0</v>
      </c>
      <c r="AC103" s="353">
        <v>0</v>
      </c>
      <c r="AD103" s="353">
        <v>0</v>
      </c>
      <c r="AE103" s="354">
        <v>0</v>
      </c>
      <c r="AF103" s="353">
        <v>0</v>
      </c>
      <c r="AG103" s="353">
        <f>AJ103-AF103</f>
        <v>0</v>
      </c>
      <c r="AH103" s="353">
        <f t="shared" si="513"/>
        <v>0</v>
      </c>
      <c r="AI103" s="353">
        <f t="shared" si="514"/>
        <v>0</v>
      </c>
      <c r="AJ103" s="353">
        <v>0</v>
      </c>
      <c r="AK103" s="353">
        <v>0</v>
      </c>
      <c r="AL103" s="354">
        <v>0</v>
      </c>
      <c r="AM103" s="353">
        <v>0</v>
      </c>
      <c r="AN103" s="353">
        <f t="shared" si="261"/>
        <v>0</v>
      </c>
      <c r="AO103" s="353">
        <f t="shared" si="262"/>
        <v>0</v>
      </c>
      <c r="AP103" s="353">
        <f t="shared" si="262"/>
        <v>0</v>
      </c>
      <c r="AQ103" s="353">
        <v>0</v>
      </c>
      <c r="AS103" s="354"/>
    </row>
    <row r="104" spans="1:93" s="353" customFormat="1" x14ac:dyDescent="0.25">
      <c r="A104" s="352" t="str">
        <f>Language!$G107</f>
        <v>Tijoá</v>
      </c>
      <c r="B104" s="353">
        <v>0</v>
      </c>
      <c r="C104" s="353">
        <v>0</v>
      </c>
      <c r="D104" s="353">
        <v>0</v>
      </c>
      <c r="E104" s="354">
        <v>0</v>
      </c>
      <c r="F104" s="353">
        <v>0</v>
      </c>
      <c r="G104" s="353">
        <v>0</v>
      </c>
      <c r="H104" s="353">
        <v>0</v>
      </c>
      <c r="I104" s="354">
        <v>0</v>
      </c>
      <c r="J104" s="353">
        <v>0</v>
      </c>
      <c r="K104" s="353">
        <v>0</v>
      </c>
      <c r="L104" s="353">
        <v>0</v>
      </c>
      <c r="M104" s="354">
        <v>0</v>
      </c>
      <c r="N104" s="353">
        <v>0</v>
      </c>
      <c r="O104" s="353">
        <v>0</v>
      </c>
      <c r="P104" s="353">
        <v>0</v>
      </c>
      <c r="Q104" s="354">
        <v>0</v>
      </c>
      <c r="R104" s="353">
        <v>-428</v>
      </c>
      <c r="S104" s="353">
        <v>-143</v>
      </c>
      <c r="T104" s="353">
        <v>-511</v>
      </c>
      <c r="U104" s="353">
        <v>-645</v>
      </c>
      <c r="V104" s="353">
        <v>-571</v>
      </c>
      <c r="W104" s="353">
        <v>-1082</v>
      </c>
      <c r="X104" s="354">
        <v>-1727</v>
      </c>
      <c r="Y104" s="353">
        <v>-1370</v>
      </c>
      <c r="Z104" s="353">
        <f t="shared" si="263"/>
        <v>-1375</v>
      </c>
      <c r="AA104" s="353">
        <f t="shared" si="512"/>
        <v>-1516</v>
      </c>
      <c r="AB104" s="353">
        <f t="shared" si="259"/>
        <v>-1501</v>
      </c>
      <c r="AC104" s="353">
        <v>-2745</v>
      </c>
      <c r="AD104" s="353">
        <v>-4261</v>
      </c>
      <c r="AE104" s="354">
        <v>-5762</v>
      </c>
      <c r="AF104" s="353">
        <v>-1595</v>
      </c>
      <c r="AG104" s="353">
        <f>AJ104-AF104</f>
        <v>-1840</v>
      </c>
      <c r="AH104" s="353">
        <f t="shared" si="513"/>
        <v>1319</v>
      </c>
      <c r="AI104" s="353">
        <f t="shared" si="514"/>
        <v>-763</v>
      </c>
      <c r="AJ104" s="353">
        <v>-3435</v>
      </c>
      <c r="AK104" s="353">
        <v>-2116</v>
      </c>
      <c r="AL104" s="354">
        <v>-2879</v>
      </c>
      <c r="AM104" s="353">
        <v>-946</v>
      </c>
      <c r="AN104" s="353">
        <f t="shared" si="261"/>
        <v>-839</v>
      </c>
      <c r="AO104" s="353">
        <f t="shared" si="262"/>
        <v>-520</v>
      </c>
      <c r="AP104" s="353">
        <f t="shared" si="262"/>
        <v>-792</v>
      </c>
      <c r="AQ104" s="353">
        <v>-1785</v>
      </c>
      <c r="AR104" s="353">
        <v>-2305</v>
      </c>
      <c r="AS104" s="354">
        <v>-3097</v>
      </c>
      <c r="AT104" s="353">
        <v>-993</v>
      </c>
      <c r="AU104" s="353">
        <f t="shared" ref="AU104:AU105" si="515">AX104-AT104</f>
        <v>-753</v>
      </c>
      <c r="AV104" s="353">
        <f>AY104-AX104</f>
        <v>-960</v>
      </c>
      <c r="AW104" s="353">
        <f>AZ104-AY104</f>
        <v>-1601</v>
      </c>
      <c r="AX104" s="353">
        <v>-1746</v>
      </c>
      <c r="AY104" s="353">
        <v>-2706</v>
      </c>
      <c r="AZ104" s="353">
        <v>-4307</v>
      </c>
      <c r="BA104" s="353">
        <v>-1290</v>
      </c>
      <c r="BB104" s="353">
        <f>BE104-BA104</f>
        <v>-1277</v>
      </c>
      <c r="BC104" s="353">
        <f>BF104-BE104</f>
        <v>-1309</v>
      </c>
      <c r="BD104" s="353">
        <f>BG104-BF104</f>
        <v>-1255</v>
      </c>
      <c r="BE104" s="353">
        <v>-2567</v>
      </c>
      <c r="BF104" s="353">
        <v>-3876</v>
      </c>
      <c r="BG104" s="353">
        <v>-5131</v>
      </c>
      <c r="BH104" s="353">
        <v>-1304</v>
      </c>
      <c r="BI104" s="353">
        <f>BL104-BH104</f>
        <v>-1705</v>
      </c>
      <c r="BJ104" s="353">
        <f>BM104-BL104</f>
        <v>-1462</v>
      </c>
      <c r="BK104" s="353">
        <f>BN104-BM104</f>
        <v>-1893</v>
      </c>
      <c r="BL104" s="353">
        <v>-3009</v>
      </c>
      <c r="BM104" s="353">
        <v>-4471</v>
      </c>
      <c r="BN104" s="353">
        <v>-6364</v>
      </c>
      <c r="BO104" s="353">
        <v>-1558</v>
      </c>
      <c r="BP104" s="353">
        <f>BS104-BO104</f>
        <v>-1702</v>
      </c>
      <c r="BQ104" s="353">
        <f>BT104-BS104</f>
        <v>-1788</v>
      </c>
      <c r="BR104" s="353">
        <f>BU104-BT104</f>
        <v>-1909</v>
      </c>
      <c r="BS104" s="353">
        <v>-3260</v>
      </c>
      <c r="BT104" s="353">
        <v>-5048</v>
      </c>
      <c r="BU104" s="353">
        <v>-6957</v>
      </c>
      <c r="BV104" s="353">
        <v>-1767</v>
      </c>
      <c r="BW104" s="353">
        <f>BZ104-BV104</f>
        <v>-1882</v>
      </c>
      <c r="BX104" s="353">
        <f>CA104-BZ104</f>
        <v>-1540</v>
      </c>
      <c r="BY104" s="353">
        <f>CB104-CA104</f>
        <v>-2192</v>
      </c>
      <c r="BZ104" s="353">
        <v>-3649</v>
      </c>
      <c r="CA104" s="353">
        <v>-5189</v>
      </c>
      <c r="CB104" s="353">
        <v>-7381</v>
      </c>
      <c r="CC104" s="353">
        <v>-1810</v>
      </c>
      <c r="CD104" s="353">
        <f>CG104-CC104</f>
        <v>-1939</v>
      </c>
      <c r="CE104" s="353">
        <f>CH104-CG104</f>
        <v>-1864</v>
      </c>
      <c r="CF104" s="353">
        <f>CI104-CH104</f>
        <v>-2021</v>
      </c>
      <c r="CG104" s="353">
        <v>-3749</v>
      </c>
      <c r="CH104" s="353">
        <v>-5613</v>
      </c>
      <c r="CI104" s="353">
        <v>-7634</v>
      </c>
      <c r="CJ104" s="353">
        <v>-1947</v>
      </c>
      <c r="CK104" s="353">
        <f>CN104-CJ104</f>
        <v>-1847</v>
      </c>
      <c r="CN104" s="353">
        <v>-3794</v>
      </c>
    </row>
    <row r="105" spans="1:93" s="353" customFormat="1" x14ac:dyDescent="0.25">
      <c r="A105" s="352" t="str">
        <f>Language!$G108</f>
        <v>Outros</v>
      </c>
      <c r="B105" s="353">
        <v>0</v>
      </c>
      <c r="C105" s="353">
        <v>0</v>
      </c>
      <c r="D105" s="353">
        <v>0</v>
      </c>
      <c r="E105" s="354">
        <v>0</v>
      </c>
      <c r="F105" s="353">
        <v>0</v>
      </c>
      <c r="G105" s="353">
        <v>0</v>
      </c>
      <c r="H105" s="353">
        <v>0</v>
      </c>
      <c r="I105" s="354">
        <v>0</v>
      </c>
      <c r="J105" s="353">
        <v>0</v>
      </c>
      <c r="K105" s="353">
        <v>0</v>
      </c>
      <c r="L105" s="353">
        <v>0</v>
      </c>
      <c r="M105" s="354">
        <v>0</v>
      </c>
      <c r="N105" s="353">
        <v>0</v>
      </c>
      <c r="O105" s="353">
        <v>0</v>
      </c>
      <c r="P105" s="353">
        <v>0</v>
      </c>
      <c r="Q105" s="354">
        <v>-347</v>
      </c>
      <c r="R105" s="353">
        <v>-252</v>
      </c>
      <c r="S105" s="353">
        <v>-1652</v>
      </c>
      <c r="T105" s="353">
        <v>-1724</v>
      </c>
      <c r="U105" s="353">
        <v>-339</v>
      </c>
      <c r="V105" s="353">
        <v>-1904</v>
      </c>
      <c r="W105" s="353">
        <v>-3628</v>
      </c>
      <c r="X105" s="354">
        <v>-3967</v>
      </c>
      <c r="Y105" s="353">
        <v>0</v>
      </c>
      <c r="Z105" s="353">
        <f t="shared" si="263"/>
        <v>0</v>
      </c>
      <c r="AA105" s="353">
        <f t="shared" si="512"/>
        <v>0</v>
      </c>
      <c r="AB105" s="353">
        <f t="shared" si="259"/>
        <v>0</v>
      </c>
      <c r="AC105" s="353">
        <v>0</v>
      </c>
      <c r="AD105" s="353">
        <v>0</v>
      </c>
      <c r="AE105" s="354">
        <v>0</v>
      </c>
      <c r="AF105" s="353">
        <v>0</v>
      </c>
      <c r="AG105" s="353">
        <f>AJ105-AF105</f>
        <v>0</v>
      </c>
      <c r="AH105" s="353">
        <f t="shared" si="513"/>
        <v>-3448</v>
      </c>
      <c r="AI105" s="353">
        <f t="shared" si="514"/>
        <v>-1043</v>
      </c>
      <c r="AJ105" s="353">
        <v>0</v>
      </c>
      <c r="AK105" s="353">
        <v>-3448</v>
      </c>
      <c r="AL105" s="354">
        <v>-4491</v>
      </c>
      <c r="AM105" s="353">
        <v>-1066</v>
      </c>
      <c r="AN105" s="353">
        <f t="shared" si="261"/>
        <v>-1145</v>
      </c>
      <c r="AO105" s="353">
        <f t="shared" si="262"/>
        <v>-1293</v>
      </c>
      <c r="AP105" s="353">
        <f t="shared" si="262"/>
        <v>-1090</v>
      </c>
      <c r="AQ105" s="353">
        <v>-2211</v>
      </c>
      <c r="AR105" s="353">
        <v>-3504</v>
      </c>
      <c r="AS105" s="354">
        <v>-4594</v>
      </c>
      <c r="AT105" s="353">
        <v>-1145</v>
      </c>
      <c r="AU105" s="353">
        <f t="shared" si="515"/>
        <v>-1079</v>
      </c>
      <c r="AV105" s="353">
        <f>AY105-AX105</f>
        <v>-972</v>
      </c>
      <c r="AW105" s="353">
        <f>AZ105-AY105</f>
        <v>257</v>
      </c>
      <c r="AX105" s="353">
        <v>-2224</v>
      </c>
      <c r="AY105" s="353">
        <v>-3196</v>
      </c>
      <c r="AZ105" s="353">
        <v>-2939</v>
      </c>
      <c r="BA105" s="353">
        <v>-52</v>
      </c>
      <c r="BB105" s="353">
        <f>BE105-BA105</f>
        <v>0</v>
      </c>
      <c r="BC105" s="353">
        <f>BF105-BE105</f>
        <v>0</v>
      </c>
      <c r="BD105" s="353">
        <f>BG105-BF105</f>
        <v>0</v>
      </c>
      <c r="BE105" s="353">
        <v>-52</v>
      </c>
      <c r="BF105" s="353">
        <v>-52</v>
      </c>
      <c r="BG105" s="353">
        <v>-52</v>
      </c>
      <c r="BH105" s="353">
        <v>0</v>
      </c>
      <c r="BI105" s="353">
        <f>BL105-BH105</f>
        <v>0</v>
      </c>
      <c r="BJ105" s="353">
        <f>BM105-BL105</f>
        <v>0</v>
      </c>
      <c r="BK105" s="353">
        <f>BN105-BM105</f>
        <v>0</v>
      </c>
      <c r="BL105" s="353">
        <v>0</v>
      </c>
      <c r="BM105" s="353">
        <v>0</v>
      </c>
      <c r="BN105" s="353">
        <v>0</v>
      </c>
      <c r="BO105" s="353">
        <v>0</v>
      </c>
      <c r="BP105" s="353">
        <f>BS105-BO105</f>
        <v>0</v>
      </c>
      <c r="BQ105" s="353">
        <f>BT105-BS105</f>
        <v>0</v>
      </c>
      <c r="BR105" s="353">
        <f>BU105-BT105</f>
        <v>0</v>
      </c>
      <c r="BS105" s="353">
        <v>0</v>
      </c>
      <c r="BT105" s="353">
        <v>0</v>
      </c>
      <c r="BU105" s="353">
        <v>0</v>
      </c>
      <c r="BV105" s="353">
        <v>0</v>
      </c>
      <c r="BW105" s="353">
        <f>BZ105-BV105</f>
        <v>0</v>
      </c>
      <c r="BX105" s="353">
        <f>CA105-BZ105</f>
        <v>0</v>
      </c>
      <c r="BY105" s="353">
        <f>CB105-CA105</f>
        <v>0</v>
      </c>
      <c r="BZ105" s="353">
        <v>0</v>
      </c>
      <c r="CA105" s="353">
        <v>0</v>
      </c>
      <c r="CB105" s="353">
        <v>0</v>
      </c>
      <c r="CC105" s="353">
        <v>0</v>
      </c>
      <c r="CD105" s="353">
        <f>CG105*CC105</f>
        <v>0</v>
      </c>
      <c r="CE105" s="353">
        <f>CH105-CG105</f>
        <v>0</v>
      </c>
      <c r="CF105" s="353">
        <f>CI105-CH105</f>
        <v>0</v>
      </c>
      <c r="CG105" s="353">
        <v>0</v>
      </c>
      <c r="CH105" s="353">
        <v>0</v>
      </c>
      <c r="CI105" s="353">
        <v>0</v>
      </c>
      <c r="CJ105" s="353">
        <v>0</v>
      </c>
      <c r="CK105" s="353">
        <f>CN105-CJ105</f>
        <v>0</v>
      </c>
      <c r="CN105" s="353">
        <v>0</v>
      </c>
    </row>
    <row r="106" spans="1:93" s="700" customFormat="1" x14ac:dyDescent="0.25">
      <c r="A106" s="349" t="str">
        <f>Language!$G109</f>
        <v>Depreciação e Amortização</v>
      </c>
      <c r="B106" s="350">
        <f t="shared" ref="B106:Q106" si="516">SUM(B107,B108,B109,B110)</f>
        <v>-5770</v>
      </c>
      <c r="C106" s="350">
        <f t="shared" si="516"/>
        <v>-5610</v>
      </c>
      <c r="D106" s="350">
        <f t="shared" si="516"/>
        <v>-5787</v>
      </c>
      <c r="E106" s="351">
        <f t="shared" si="516"/>
        <v>-5423</v>
      </c>
      <c r="F106" s="350">
        <f t="shared" si="516"/>
        <v>-5772</v>
      </c>
      <c r="G106" s="350">
        <f t="shared" si="516"/>
        <v>-5775</v>
      </c>
      <c r="H106" s="350">
        <f t="shared" si="516"/>
        <v>-5772</v>
      </c>
      <c r="I106" s="351">
        <f t="shared" si="516"/>
        <v>-5380</v>
      </c>
      <c r="J106" s="350">
        <f t="shared" si="516"/>
        <v>-5735</v>
      </c>
      <c r="K106" s="350">
        <f t="shared" si="516"/>
        <v>-5735</v>
      </c>
      <c r="L106" s="350">
        <f t="shared" si="516"/>
        <v>-5737</v>
      </c>
      <c r="M106" s="351">
        <f t="shared" si="516"/>
        <v>-9192</v>
      </c>
      <c r="N106" s="350">
        <f t="shared" si="516"/>
        <v>-10306</v>
      </c>
      <c r="O106" s="350">
        <f t="shared" si="516"/>
        <v>-10305</v>
      </c>
      <c r="P106" s="350">
        <f t="shared" si="516"/>
        <v>-10305</v>
      </c>
      <c r="Q106" s="351">
        <f t="shared" si="516"/>
        <v>-16665</v>
      </c>
      <c r="R106" s="350">
        <v>-14556</v>
      </c>
      <c r="S106" s="350">
        <v>-14817</v>
      </c>
      <c r="T106" s="350">
        <v>-14570</v>
      </c>
      <c r="U106" s="350">
        <v>-9537</v>
      </c>
      <c r="V106" s="350">
        <v>-29373</v>
      </c>
      <c r="W106" s="350">
        <v>-43943</v>
      </c>
      <c r="X106" s="351">
        <v>-53480</v>
      </c>
      <c r="Y106" s="350">
        <f t="shared" ref="Y106:AB106" si="517">SUM(Y107,Y108,Y109,Y110)</f>
        <v>-54</v>
      </c>
      <c r="Z106" s="350">
        <f t="shared" si="517"/>
        <v>-63</v>
      </c>
      <c r="AA106" s="350">
        <f t="shared" si="517"/>
        <v>-60</v>
      </c>
      <c r="AB106" s="350">
        <f t="shared" si="517"/>
        <v>-48</v>
      </c>
      <c r="AC106" s="350">
        <f t="shared" ref="AC106:AD106" si="518">SUM(AC107,AC108,AC109,AC110)</f>
        <v>-117</v>
      </c>
      <c r="AD106" s="350">
        <f t="shared" si="518"/>
        <v>-177</v>
      </c>
      <c r="AE106" s="351">
        <f t="shared" ref="AE106:AJ106" si="519">SUM(AE107,AE108,AE109,AE110)</f>
        <v>-225</v>
      </c>
      <c r="AF106" s="350">
        <f t="shared" si="519"/>
        <v>-81</v>
      </c>
      <c r="AG106" s="350">
        <f t="shared" si="519"/>
        <v>-83</v>
      </c>
      <c r="AH106" s="350">
        <f t="shared" si="519"/>
        <v>-88</v>
      </c>
      <c r="AI106" s="350">
        <f t="shared" si="519"/>
        <v>-89</v>
      </c>
      <c r="AJ106" s="350">
        <f t="shared" si="519"/>
        <v>-164</v>
      </c>
      <c r="AK106" s="350">
        <f t="shared" ref="AK106:AM106" si="520">SUM(AK107,AK108,AK109,AK110)</f>
        <v>-252</v>
      </c>
      <c r="AL106" s="351">
        <f t="shared" si="520"/>
        <v>-341</v>
      </c>
      <c r="AM106" s="350">
        <f t="shared" si="520"/>
        <v>-56</v>
      </c>
      <c r="AN106" s="350">
        <f t="shared" si="261"/>
        <v>-58</v>
      </c>
      <c r="AO106" s="350">
        <f t="shared" si="262"/>
        <v>-60</v>
      </c>
      <c r="AP106" s="350">
        <f t="shared" si="262"/>
        <v>-26</v>
      </c>
      <c r="AQ106" s="350">
        <f t="shared" ref="AQ106:AR106" si="521">SUM(AQ107,AQ108,AQ109,AQ110)</f>
        <v>-114</v>
      </c>
      <c r="AR106" s="350">
        <f t="shared" si="521"/>
        <v>-174</v>
      </c>
      <c r="AS106" s="351">
        <f t="shared" ref="AS106:AU106" si="522">SUM(AS107,AS108,AS109,AS110)</f>
        <v>-200</v>
      </c>
      <c r="AT106" s="350">
        <f t="shared" si="522"/>
        <v>-97</v>
      </c>
      <c r="AU106" s="350">
        <f t="shared" si="522"/>
        <v>-108</v>
      </c>
      <c r="AV106" s="350">
        <f t="shared" ref="AV106:AW106" si="523">SUM(AV107,AV108,AV109,AV110)</f>
        <v>-103</v>
      </c>
      <c r="AW106" s="350">
        <f t="shared" si="523"/>
        <v>-89</v>
      </c>
      <c r="AX106" s="350">
        <f t="shared" ref="AX106:AZ106" si="524">SUM(AX107,AX108,AX109,AX110)</f>
        <v>-205</v>
      </c>
      <c r="AY106" s="350">
        <f t="shared" si="524"/>
        <v>-308</v>
      </c>
      <c r="AZ106" s="740">
        <f t="shared" si="524"/>
        <v>-397</v>
      </c>
      <c r="BA106" s="740">
        <f t="shared" ref="BA106:BD106" si="525">SUM(BA107,BA108,BA109,BA110)</f>
        <v>-45</v>
      </c>
      <c r="BB106" s="740">
        <f t="shared" si="525"/>
        <v>-23</v>
      </c>
      <c r="BC106" s="740">
        <f t="shared" si="525"/>
        <v>-23</v>
      </c>
      <c r="BD106" s="740">
        <f t="shared" si="525"/>
        <v>-115</v>
      </c>
      <c r="BE106" s="740">
        <f t="shared" ref="BE106:BF106" si="526">SUM(BE107,BE108,BE109,BE110)</f>
        <v>-68</v>
      </c>
      <c r="BF106" s="740">
        <f t="shared" si="526"/>
        <v>-91</v>
      </c>
      <c r="BG106" s="740">
        <f t="shared" ref="BG106:BH106" si="527">SUM(BG107,BG108,BG109,BG110)</f>
        <v>-206</v>
      </c>
      <c r="BH106" s="740">
        <f t="shared" si="527"/>
        <v>-62</v>
      </c>
      <c r="BI106" s="740">
        <f t="shared" ref="BI106:BL106" si="528">SUM(BI107,BI108,BI109,BI110)</f>
        <v>-61</v>
      </c>
      <c r="BJ106" s="740">
        <f t="shared" si="528"/>
        <v>-62</v>
      </c>
      <c r="BK106" s="740">
        <f t="shared" si="528"/>
        <v>-77</v>
      </c>
      <c r="BL106" s="740">
        <f t="shared" si="528"/>
        <v>-123</v>
      </c>
      <c r="BM106" s="740">
        <f t="shared" ref="BM106:BN106" si="529">SUM(BM107,BM108,BM109,BM110)</f>
        <v>-185</v>
      </c>
      <c r="BN106" s="740">
        <f t="shared" si="529"/>
        <v>-262</v>
      </c>
      <c r="BO106" s="740">
        <f t="shared" ref="BO106:BS106" si="530">SUM(BO107,BO108,BO109,BO110)</f>
        <v>-74</v>
      </c>
      <c r="BP106" s="740">
        <f t="shared" si="530"/>
        <v>-136</v>
      </c>
      <c r="BQ106" s="740">
        <f t="shared" si="530"/>
        <v>-115</v>
      </c>
      <c r="BR106" s="740">
        <f t="shared" si="530"/>
        <v>-2533</v>
      </c>
      <c r="BS106" s="740">
        <f t="shared" si="530"/>
        <v>-210</v>
      </c>
      <c r="BT106" s="740">
        <f t="shared" ref="BT106:BU106" si="531">SUM(BT107,BT108,BT109,BT110)</f>
        <v>-325</v>
      </c>
      <c r="BU106" s="740">
        <f t="shared" si="531"/>
        <v>-2858</v>
      </c>
      <c r="BV106" s="740">
        <f t="shared" ref="BV106:BZ106" si="532">SUM(BV107,BV108,BV109,BV110)</f>
        <v>-689</v>
      </c>
      <c r="BW106" s="740">
        <f t="shared" si="532"/>
        <v>-716</v>
      </c>
      <c r="BX106" s="740">
        <f t="shared" si="532"/>
        <v>-715</v>
      </c>
      <c r="BY106" s="740">
        <f t="shared" si="532"/>
        <v>-711</v>
      </c>
      <c r="BZ106" s="740">
        <f t="shared" si="532"/>
        <v>-1405</v>
      </c>
      <c r="CA106" s="740">
        <f>SUM(CA107,CA108,CA109,CA110)</f>
        <v>-2120</v>
      </c>
      <c r="CB106" s="740">
        <f t="shared" ref="CB106:CC106" si="533">SUM(CB107,CB108,CB109,CB110)</f>
        <v>-2831</v>
      </c>
      <c r="CC106" s="740">
        <f t="shared" si="533"/>
        <v>-735</v>
      </c>
      <c r="CD106" s="740">
        <f t="shared" ref="CD106" si="534">SUM(CD107,CD108,CD109,CD110)</f>
        <v>-736</v>
      </c>
      <c r="CE106" s="740">
        <f t="shared" ref="CE106:CG106" si="535">SUM(CE107,CE108,CE109,CE110)</f>
        <v>-736</v>
      </c>
      <c r="CF106" s="740">
        <f t="shared" si="535"/>
        <v>-749</v>
      </c>
      <c r="CG106" s="740">
        <f t="shared" si="535"/>
        <v>-1471</v>
      </c>
      <c r="CH106" s="740">
        <f t="shared" ref="CH106:CI106" si="536">SUM(CH107,CH108,CH109,CH110)</f>
        <v>-2207</v>
      </c>
      <c r="CI106" s="740">
        <f t="shared" si="536"/>
        <v>-2956</v>
      </c>
      <c r="CJ106" s="740">
        <v>-767</v>
      </c>
      <c r="CK106" s="740">
        <f t="shared" ref="CK106:CO106" si="537">SUM(CK107,CK108,CK109,CK110)</f>
        <v>-767</v>
      </c>
      <c r="CL106" s="740">
        <f t="shared" si="537"/>
        <v>0</v>
      </c>
      <c r="CM106" s="740">
        <f t="shared" si="537"/>
        <v>0</v>
      </c>
      <c r="CN106" s="740">
        <f t="shared" si="537"/>
        <v>-1534</v>
      </c>
      <c r="CO106" s="740">
        <f t="shared" si="537"/>
        <v>0</v>
      </c>
    </row>
    <row r="107" spans="1:93" s="353" customFormat="1" x14ac:dyDescent="0.25">
      <c r="A107" s="352" t="str">
        <f>Language!$G110</f>
        <v>Rio Verde</v>
      </c>
      <c r="B107" s="353">
        <v>-5770</v>
      </c>
      <c r="C107" s="353">
        <v>-5610</v>
      </c>
      <c r="D107" s="353">
        <v>-5787</v>
      </c>
      <c r="E107" s="354">
        <v>-5423</v>
      </c>
      <c r="F107" s="353">
        <v>-5772</v>
      </c>
      <c r="G107" s="353">
        <v>-5775</v>
      </c>
      <c r="H107" s="353">
        <v>-5772</v>
      </c>
      <c r="I107" s="354">
        <v>-5380</v>
      </c>
      <c r="J107" s="353">
        <v>-5735</v>
      </c>
      <c r="K107" s="353">
        <v>-5735</v>
      </c>
      <c r="L107" s="353">
        <v>-5737</v>
      </c>
      <c r="M107" s="354">
        <v>-5740</v>
      </c>
      <c r="N107" s="353">
        <v>-5742</v>
      </c>
      <c r="O107" s="353">
        <v>-5742</v>
      </c>
      <c r="P107" s="353">
        <v>-5742</v>
      </c>
      <c r="Q107" s="354">
        <v>-5742</v>
      </c>
      <c r="R107" s="353">
        <v>-5742</v>
      </c>
      <c r="S107" s="353">
        <v>-5742</v>
      </c>
      <c r="T107" s="353">
        <v>-5739</v>
      </c>
      <c r="U107" s="353">
        <v>-3833</v>
      </c>
      <c r="V107" s="353">
        <v>-11484</v>
      </c>
      <c r="W107" s="353">
        <v>-17223</v>
      </c>
      <c r="X107" s="354">
        <v>-21056</v>
      </c>
      <c r="Y107" s="353">
        <v>0</v>
      </c>
      <c r="Z107" s="353">
        <f t="shared" si="263"/>
        <v>0</v>
      </c>
      <c r="AA107" s="353">
        <f t="shared" ref="AA107:AA110" si="538">AD107-Z107-Y107</f>
        <v>0</v>
      </c>
      <c r="AB107" s="353">
        <f t="shared" si="259"/>
        <v>0</v>
      </c>
      <c r="AC107" s="353">
        <v>0</v>
      </c>
      <c r="AD107" s="353">
        <v>0</v>
      </c>
      <c r="AE107" s="354">
        <v>0</v>
      </c>
      <c r="AF107" s="353">
        <v>0</v>
      </c>
      <c r="AG107" s="353">
        <f>AJ107-AF107</f>
        <v>0</v>
      </c>
      <c r="AH107" s="353">
        <f t="shared" ref="AH107:AH110" si="539">AK107-AG107-AF107</f>
        <v>0</v>
      </c>
      <c r="AI107" s="353">
        <f t="shared" ref="AI107:AI110" si="540">AL107-AF107-AG107-AH107</f>
        <v>0</v>
      </c>
      <c r="AJ107" s="353">
        <v>0</v>
      </c>
      <c r="AK107" s="353">
        <v>0</v>
      </c>
      <c r="AL107" s="354">
        <v>0</v>
      </c>
      <c r="AM107" s="353">
        <v>0</v>
      </c>
      <c r="AN107" s="353">
        <f t="shared" si="261"/>
        <v>0</v>
      </c>
      <c r="AO107" s="353">
        <f t="shared" si="262"/>
        <v>0</v>
      </c>
      <c r="AP107" s="353">
        <f t="shared" si="262"/>
        <v>0</v>
      </c>
      <c r="AQ107" s="353">
        <v>0</v>
      </c>
      <c r="AS107" s="354"/>
    </row>
    <row r="108" spans="1:93" s="353" customFormat="1" x14ac:dyDescent="0.25">
      <c r="A108" s="352" t="str">
        <f>Language!$G111</f>
        <v>Rio Canoas</v>
      </c>
      <c r="B108" s="353">
        <v>0</v>
      </c>
      <c r="C108" s="353">
        <v>0</v>
      </c>
      <c r="D108" s="353">
        <v>0</v>
      </c>
      <c r="E108" s="354">
        <v>0</v>
      </c>
      <c r="F108" s="353">
        <v>0</v>
      </c>
      <c r="G108" s="353">
        <v>0</v>
      </c>
      <c r="H108" s="353">
        <v>0</v>
      </c>
      <c r="I108" s="354">
        <v>0</v>
      </c>
      <c r="J108" s="353">
        <v>0</v>
      </c>
      <c r="K108" s="353">
        <v>0</v>
      </c>
      <c r="L108" s="353">
        <v>0</v>
      </c>
      <c r="M108" s="354">
        <v>-3452</v>
      </c>
      <c r="N108" s="353">
        <v>-4564</v>
      </c>
      <c r="O108" s="353">
        <v>-4563</v>
      </c>
      <c r="P108" s="353">
        <v>-4563</v>
      </c>
      <c r="Q108" s="354">
        <v>-10923</v>
      </c>
      <c r="R108" s="353">
        <v>-8810</v>
      </c>
      <c r="S108" s="353">
        <v>-9069</v>
      </c>
      <c r="T108" s="353">
        <v>-8784</v>
      </c>
      <c r="U108" s="353">
        <v>-5651</v>
      </c>
      <c r="V108" s="353">
        <v>-17879</v>
      </c>
      <c r="W108" s="353">
        <v>-26663</v>
      </c>
      <c r="X108" s="354">
        <v>-32314</v>
      </c>
      <c r="Y108" s="353">
        <v>0</v>
      </c>
      <c r="Z108" s="353">
        <f t="shared" si="263"/>
        <v>0</v>
      </c>
      <c r="AA108" s="353">
        <f t="shared" si="538"/>
        <v>0</v>
      </c>
      <c r="AB108" s="353">
        <f t="shared" si="259"/>
        <v>0</v>
      </c>
      <c r="AC108" s="353">
        <v>0</v>
      </c>
      <c r="AD108" s="353">
        <v>0</v>
      </c>
      <c r="AE108" s="354">
        <v>0</v>
      </c>
      <c r="AF108" s="353">
        <v>0</v>
      </c>
      <c r="AG108" s="353">
        <f>AJ108-AF108</f>
        <v>0</v>
      </c>
      <c r="AH108" s="353">
        <f t="shared" si="539"/>
        <v>0</v>
      </c>
      <c r="AI108" s="353">
        <f t="shared" si="540"/>
        <v>0</v>
      </c>
      <c r="AJ108" s="353">
        <v>0</v>
      </c>
      <c r="AK108" s="353">
        <v>0</v>
      </c>
      <c r="AL108" s="354">
        <v>0</v>
      </c>
      <c r="AM108" s="353">
        <v>0</v>
      </c>
      <c r="AN108" s="353">
        <f t="shared" si="261"/>
        <v>0</v>
      </c>
      <c r="AO108" s="353">
        <f t="shared" si="262"/>
        <v>0</v>
      </c>
      <c r="AP108" s="353">
        <f t="shared" si="262"/>
        <v>0</v>
      </c>
      <c r="AQ108" s="353">
        <v>0</v>
      </c>
      <c r="AS108" s="354"/>
    </row>
    <row r="109" spans="1:93" s="353" customFormat="1" x14ac:dyDescent="0.25">
      <c r="A109" s="352" t="str">
        <f>Language!$G112</f>
        <v>Tijoá</v>
      </c>
      <c r="B109" s="353">
        <v>0</v>
      </c>
      <c r="C109" s="353">
        <v>0</v>
      </c>
      <c r="D109" s="353">
        <v>0</v>
      </c>
      <c r="E109" s="354">
        <v>0</v>
      </c>
      <c r="F109" s="353">
        <v>0</v>
      </c>
      <c r="G109" s="353">
        <v>0</v>
      </c>
      <c r="H109" s="353">
        <v>0</v>
      </c>
      <c r="I109" s="354">
        <v>0</v>
      </c>
      <c r="J109" s="353">
        <v>0</v>
      </c>
      <c r="K109" s="353">
        <v>0</v>
      </c>
      <c r="L109" s="353">
        <v>0</v>
      </c>
      <c r="M109" s="354">
        <v>0</v>
      </c>
      <c r="N109" s="353">
        <v>0</v>
      </c>
      <c r="O109" s="353">
        <v>0</v>
      </c>
      <c r="P109" s="353">
        <v>0</v>
      </c>
      <c r="Q109" s="354">
        <v>0</v>
      </c>
      <c r="R109" s="353">
        <v>-4</v>
      </c>
      <c r="S109" s="353">
        <v>-6</v>
      </c>
      <c r="T109" s="353">
        <v>-1</v>
      </c>
      <c r="U109" s="353">
        <v>-2</v>
      </c>
      <c r="V109" s="353">
        <v>-10</v>
      </c>
      <c r="W109" s="353">
        <v>-11</v>
      </c>
      <c r="X109" s="354">
        <v>-13</v>
      </c>
      <c r="Y109" s="353">
        <v>-54</v>
      </c>
      <c r="Z109" s="353">
        <f t="shared" si="263"/>
        <v>-63</v>
      </c>
      <c r="AA109" s="353">
        <f t="shared" si="538"/>
        <v>-60</v>
      </c>
      <c r="AB109" s="353">
        <f t="shared" si="259"/>
        <v>-48</v>
      </c>
      <c r="AC109" s="353">
        <v>-117</v>
      </c>
      <c r="AD109" s="353">
        <v>-177</v>
      </c>
      <c r="AE109" s="354">
        <v>-225</v>
      </c>
      <c r="AF109" s="353">
        <v>-81</v>
      </c>
      <c r="AG109" s="353">
        <f>AJ109-AF109</f>
        <v>-83</v>
      </c>
      <c r="AH109" s="353">
        <f t="shared" si="539"/>
        <v>102</v>
      </c>
      <c r="AI109" s="353">
        <f t="shared" si="540"/>
        <v>-24</v>
      </c>
      <c r="AJ109" s="353">
        <v>-164</v>
      </c>
      <c r="AK109" s="353">
        <v>-62</v>
      </c>
      <c r="AL109" s="354">
        <v>-86</v>
      </c>
      <c r="AM109" s="353">
        <v>-25</v>
      </c>
      <c r="AN109" s="353">
        <f t="shared" si="261"/>
        <v>-26</v>
      </c>
      <c r="AO109" s="353">
        <f t="shared" si="262"/>
        <v>-28</v>
      </c>
      <c r="AP109" s="353">
        <f t="shared" si="262"/>
        <v>2</v>
      </c>
      <c r="AQ109" s="353">
        <v>-51</v>
      </c>
      <c r="AR109" s="353">
        <v>-79</v>
      </c>
      <c r="AS109" s="354">
        <v>-77</v>
      </c>
      <c r="AT109" s="353">
        <v>-21</v>
      </c>
      <c r="AU109" s="353">
        <f t="shared" ref="AU109:AU110" si="541">AX109-AT109</f>
        <v>-20</v>
      </c>
      <c r="AV109" s="353">
        <f>AY109-AX109</f>
        <v>-22</v>
      </c>
      <c r="AW109" s="353">
        <f>AZ109-AY109</f>
        <v>-26</v>
      </c>
      <c r="AX109" s="353">
        <v>-41</v>
      </c>
      <c r="AY109" s="353">
        <v>-63</v>
      </c>
      <c r="AZ109" s="353">
        <v>-89</v>
      </c>
      <c r="BA109" s="353">
        <v>-25</v>
      </c>
      <c r="BB109" s="353">
        <f>BE109-BA109</f>
        <v>27</v>
      </c>
      <c r="BC109" s="353">
        <f>BF109-BE109</f>
        <v>-24</v>
      </c>
      <c r="BD109" s="353">
        <f>BG109-BF109</f>
        <v>-114</v>
      </c>
      <c r="BE109" s="353">
        <v>2</v>
      </c>
      <c r="BF109" s="353">
        <v>-22</v>
      </c>
      <c r="BG109" s="353">
        <v>-136</v>
      </c>
      <c r="BH109" s="353">
        <v>-62</v>
      </c>
      <c r="BI109" s="353">
        <f>BL109-BH109</f>
        <v>-61</v>
      </c>
      <c r="BJ109" s="353">
        <f>BM109-BL109</f>
        <v>-62</v>
      </c>
      <c r="BK109" s="353">
        <f>BN109-BM109</f>
        <v>-77</v>
      </c>
      <c r="BL109" s="353">
        <v>-123</v>
      </c>
      <c r="BM109" s="353">
        <v>-185</v>
      </c>
      <c r="BN109" s="353">
        <v>-262</v>
      </c>
      <c r="BO109" s="353">
        <v>-74</v>
      </c>
      <c r="BP109" s="353">
        <f>BS109-BO109</f>
        <v>-136</v>
      </c>
      <c r="BQ109" s="353">
        <f>BT109-BS109</f>
        <v>-115</v>
      </c>
      <c r="BR109" s="353">
        <f>BU109-BT109</f>
        <v>-2533</v>
      </c>
      <c r="BS109" s="353">
        <v>-210</v>
      </c>
      <c r="BT109" s="353">
        <v>-325</v>
      </c>
      <c r="BU109" s="353">
        <v>-2858</v>
      </c>
      <c r="BV109" s="353">
        <v>-689</v>
      </c>
      <c r="BW109" s="353">
        <f>BZ109-BV109</f>
        <v>-716</v>
      </c>
      <c r="BX109" s="353">
        <f>CA109-BZ109</f>
        <v>-715</v>
      </c>
      <c r="BY109" s="353">
        <f>CB109-CA109</f>
        <v>-711</v>
      </c>
      <c r="BZ109" s="353">
        <v>-1405</v>
      </c>
      <c r="CA109" s="353">
        <v>-2120</v>
      </c>
      <c r="CB109" s="353">
        <v>-2831</v>
      </c>
      <c r="CC109" s="353">
        <v>-735</v>
      </c>
      <c r="CD109" s="353">
        <f>CG109-CC109</f>
        <v>-736</v>
      </c>
      <c r="CE109" s="353">
        <f>CH109-CG109</f>
        <v>-736</v>
      </c>
      <c r="CF109" s="353">
        <f>CI109-CH109</f>
        <v>-749</v>
      </c>
      <c r="CG109" s="353">
        <v>-1471</v>
      </c>
      <c r="CH109" s="353">
        <v>-2207</v>
      </c>
      <c r="CI109" s="353">
        <v>-2956</v>
      </c>
      <c r="CJ109" s="353">
        <v>-767</v>
      </c>
      <c r="CK109" s="353">
        <f>CN109-CJ109</f>
        <v>-767</v>
      </c>
      <c r="CN109" s="353">
        <v>-1534</v>
      </c>
    </row>
    <row r="110" spans="1:93" s="353" customFormat="1" x14ac:dyDescent="0.25">
      <c r="A110" s="352" t="str">
        <f>Language!$G113</f>
        <v>Outros</v>
      </c>
      <c r="B110" s="353">
        <v>0</v>
      </c>
      <c r="C110" s="353">
        <v>0</v>
      </c>
      <c r="D110" s="353">
        <v>0</v>
      </c>
      <c r="E110" s="354">
        <v>0</v>
      </c>
      <c r="F110" s="353">
        <v>0</v>
      </c>
      <c r="G110" s="353">
        <v>0</v>
      </c>
      <c r="H110" s="353">
        <v>0</v>
      </c>
      <c r="I110" s="354">
        <v>0</v>
      </c>
      <c r="J110" s="353">
        <v>0</v>
      </c>
      <c r="K110" s="353">
        <v>0</v>
      </c>
      <c r="L110" s="353">
        <v>0</v>
      </c>
      <c r="M110" s="354">
        <v>0</v>
      </c>
      <c r="N110" s="353">
        <v>0</v>
      </c>
      <c r="O110" s="353">
        <v>0</v>
      </c>
      <c r="P110" s="353">
        <v>0</v>
      </c>
      <c r="Q110" s="354">
        <v>0</v>
      </c>
      <c r="R110" s="353">
        <v>0</v>
      </c>
      <c r="S110" s="353">
        <v>0</v>
      </c>
      <c r="T110" s="353">
        <v>-46</v>
      </c>
      <c r="U110" s="353">
        <v>-51</v>
      </c>
      <c r="V110" s="353">
        <v>0</v>
      </c>
      <c r="W110" s="353">
        <v>-46</v>
      </c>
      <c r="X110" s="354">
        <v>-97</v>
      </c>
      <c r="Y110" s="353">
        <v>0</v>
      </c>
      <c r="Z110" s="353">
        <f t="shared" si="263"/>
        <v>0</v>
      </c>
      <c r="AA110" s="353">
        <f t="shared" si="538"/>
        <v>0</v>
      </c>
      <c r="AB110" s="353">
        <f t="shared" si="259"/>
        <v>0</v>
      </c>
      <c r="AC110" s="353">
        <v>0</v>
      </c>
      <c r="AD110" s="353">
        <v>0</v>
      </c>
      <c r="AE110" s="354">
        <v>0</v>
      </c>
      <c r="AF110" s="353">
        <v>0</v>
      </c>
      <c r="AG110" s="353">
        <f>AJ110-AF110</f>
        <v>0</v>
      </c>
      <c r="AH110" s="353">
        <f t="shared" si="539"/>
        <v>-190</v>
      </c>
      <c r="AI110" s="353">
        <f t="shared" si="540"/>
        <v>-65</v>
      </c>
      <c r="AJ110" s="353">
        <v>0</v>
      </c>
      <c r="AK110" s="353">
        <v>-190</v>
      </c>
      <c r="AL110" s="354">
        <v>-255</v>
      </c>
      <c r="AM110" s="353">
        <v>-31</v>
      </c>
      <c r="AN110" s="353">
        <f t="shared" si="261"/>
        <v>-32</v>
      </c>
      <c r="AO110" s="353">
        <f t="shared" si="262"/>
        <v>-32</v>
      </c>
      <c r="AP110" s="353">
        <f t="shared" si="262"/>
        <v>-28</v>
      </c>
      <c r="AQ110" s="353">
        <v>-63</v>
      </c>
      <c r="AR110" s="353">
        <v>-95</v>
      </c>
      <c r="AS110" s="354">
        <v>-123</v>
      </c>
      <c r="AT110" s="353">
        <v>-76</v>
      </c>
      <c r="AU110" s="353">
        <f t="shared" si="541"/>
        <v>-88</v>
      </c>
      <c r="AV110" s="353">
        <f>AY110-AX110</f>
        <v>-81</v>
      </c>
      <c r="AW110" s="353">
        <f>AZ110-AY110</f>
        <v>-63</v>
      </c>
      <c r="AX110" s="353">
        <v>-164</v>
      </c>
      <c r="AY110" s="353">
        <v>-245</v>
      </c>
      <c r="AZ110" s="353">
        <v>-308</v>
      </c>
      <c r="BA110" s="353">
        <v>-20</v>
      </c>
      <c r="BB110" s="353">
        <f>BE110-BA110</f>
        <v>-50</v>
      </c>
      <c r="BC110" s="353">
        <f>BF110-BE110</f>
        <v>1</v>
      </c>
      <c r="BD110" s="353">
        <f>BG110-BF110</f>
        <v>-1</v>
      </c>
      <c r="BE110" s="353">
        <v>-70</v>
      </c>
      <c r="BF110" s="353">
        <v>-69</v>
      </c>
      <c r="BG110" s="353">
        <v>-70</v>
      </c>
      <c r="BH110" s="353">
        <v>0</v>
      </c>
      <c r="BI110" s="353">
        <f>BL110-BH110</f>
        <v>0</v>
      </c>
      <c r="BJ110" s="353">
        <f>BM110-BL110</f>
        <v>0</v>
      </c>
      <c r="BK110" s="353">
        <f>BN110-BM110</f>
        <v>0</v>
      </c>
      <c r="BL110" s="353">
        <v>0</v>
      </c>
      <c r="BM110" s="353">
        <v>0</v>
      </c>
      <c r="BN110" s="353">
        <v>0</v>
      </c>
      <c r="BO110" s="353">
        <v>0</v>
      </c>
      <c r="BP110" s="353">
        <f>BS110-BO110</f>
        <v>0</v>
      </c>
      <c r="BQ110" s="353">
        <f>BT110-BS110</f>
        <v>0</v>
      </c>
      <c r="BR110" s="353">
        <f>BU110-BT110</f>
        <v>0</v>
      </c>
      <c r="BS110" s="353">
        <v>0</v>
      </c>
      <c r="BT110" s="353">
        <v>0</v>
      </c>
      <c r="BU110" s="353">
        <v>0</v>
      </c>
      <c r="BV110" s="353">
        <v>0</v>
      </c>
      <c r="BW110" s="353">
        <f>BZ110-BV110</f>
        <v>0</v>
      </c>
      <c r="BX110" s="353">
        <f>CA110-BZ110</f>
        <v>0</v>
      </c>
      <c r="BZ110" s="353">
        <v>0</v>
      </c>
    </row>
    <row r="111" spans="1:93" s="700" customFormat="1" x14ac:dyDescent="0.25">
      <c r="A111" s="349" t="str">
        <f>Language!$G114</f>
        <v>Obrigações da Concessão</v>
      </c>
      <c r="B111" s="350">
        <f t="shared" ref="B111:Q111" si="542">SUM(B112,B113,B114,B115)</f>
        <v>-2871</v>
      </c>
      <c r="C111" s="350">
        <f t="shared" si="542"/>
        <v>-3315</v>
      </c>
      <c r="D111" s="350">
        <f t="shared" si="542"/>
        <v>-2948</v>
      </c>
      <c r="E111" s="351">
        <f t="shared" si="542"/>
        <v>-3092</v>
      </c>
      <c r="F111" s="350">
        <f t="shared" si="542"/>
        <v>-3257</v>
      </c>
      <c r="G111" s="350">
        <f t="shared" si="542"/>
        <v>-3186</v>
      </c>
      <c r="H111" s="350">
        <f t="shared" si="542"/>
        <v>-2939</v>
      </c>
      <c r="I111" s="351">
        <f t="shared" si="542"/>
        <v>-2865</v>
      </c>
      <c r="J111" s="350">
        <f t="shared" si="542"/>
        <v>-3241</v>
      </c>
      <c r="K111" s="350">
        <f t="shared" si="542"/>
        <v>-3234</v>
      </c>
      <c r="L111" s="350">
        <f t="shared" si="542"/>
        <v>-3690</v>
      </c>
      <c r="M111" s="351">
        <f t="shared" si="542"/>
        <v>-3399</v>
      </c>
      <c r="N111" s="350">
        <f t="shared" si="542"/>
        <v>-5770</v>
      </c>
      <c r="O111" s="350">
        <f t="shared" si="542"/>
        <v>-6383</v>
      </c>
      <c r="P111" s="350">
        <f t="shared" si="542"/>
        <v>-6500</v>
      </c>
      <c r="Q111" s="351">
        <f t="shared" si="542"/>
        <v>-12880</v>
      </c>
      <c r="R111" s="350">
        <v>-14247</v>
      </c>
      <c r="S111" s="350">
        <v>-12700</v>
      </c>
      <c r="T111" s="350">
        <v>-14771</v>
      </c>
      <c r="U111" s="350">
        <v>-12692</v>
      </c>
      <c r="V111" s="350">
        <v>-26947</v>
      </c>
      <c r="W111" s="350">
        <v>-41718</v>
      </c>
      <c r="X111" s="351">
        <v>-54410</v>
      </c>
      <c r="Y111" s="350">
        <f t="shared" ref="Y111:AB111" si="543">SUM(Y112,Y113,Y114,Y115)</f>
        <v>-8773</v>
      </c>
      <c r="Z111" s="350">
        <f t="shared" si="543"/>
        <v>-7424</v>
      </c>
      <c r="AA111" s="350">
        <f t="shared" si="543"/>
        <v>-2446</v>
      </c>
      <c r="AB111" s="350">
        <f t="shared" si="543"/>
        <v>-7076</v>
      </c>
      <c r="AC111" s="350">
        <f t="shared" ref="AC111:AD111" si="544">SUM(AC112,AC113,AC114,AC115)</f>
        <v>-16197</v>
      </c>
      <c r="AD111" s="350">
        <f t="shared" si="544"/>
        <v>-18643</v>
      </c>
      <c r="AE111" s="351">
        <f t="shared" ref="AE111:AJ111" si="545">SUM(AE112,AE113,AE114,AE115)</f>
        <v>-25719</v>
      </c>
      <c r="AF111" s="350">
        <f t="shared" si="545"/>
        <v>-8978</v>
      </c>
      <c r="AG111" s="350">
        <f t="shared" si="545"/>
        <v>-8690</v>
      </c>
      <c r="AH111" s="350">
        <f t="shared" si="545"/>
        <v>-10241</v>
      </c>
      <c r="AI111" s="350">
        <f t="shared" si="545"/>
        <v>-3004</v>
      </c>
      <c r="AJ111" s="350">
        <f t="shared" si="545"/>
        <v>-17668</v>
      </c>
      <c r="AK111" s="350">
        <f t="shared" ref="AK111" si="546">SUM(AK112,AK113,AK114,AK115)</f>
        <v>-27909</v>
      </c>
      <c r="AL111" s="351">
        <v>-36379</v>
      </c>
      <c r="AM111" s="350">
        <f>SUM(AM112:AM116)</f>
        <v>-9916</v>
      </c>
      <c r="AN111" s="350">
        <f t="shared" si="261"/>
        <v>-9922</v>
      </c>
      <c r="AO111" s="350">
        <f t="shared" si="262"/>
        <v>-9384</v>
      </c>
      <c r="AP111" s="350">
        <f t="shared" si="262"/>
        <v>-10269</v>
      </c>
      <c r="AQ111" s="350">
        <f>SUM(AQ112:AQ116)</f>
        <v>-19838</v>
      </c>
      <c r="AR111" s="350">
        <f>SUM(AR112:AR116)</f>
        <v>-29222</v>
      </c>
      <c r="AS111" s="351">
        <f t="shared" ref="AS111:BA111" si="547">SUM(AS112:AS115)-AS116</f>
        <v>-39491</v>
      </c>
      <c r="AT111" s="350">
        <f t="shared" si="547"/>
        <v>-9984</v>
      </c>
      <c r="AU111" s="350">
        <f t="shared" si="547"/>
        <v>-9173</v>
      </c>
      <c r="AV111" s="350">
        <f t="shared" si="547"/>
        <v>-11130</v>
      </c>
      <c r="AW111" s="350">
        <f t="shared" si="547"/>
        <v>-11678</v>
      </c>
      <c r="AX111" s="350">
        <f t="shared" si="547"/>
        <v>-19157</v>
      </c>
      <c r="AY111" s="350">
        <f t="shared" si="547"/>
        <v>-30287</v>
      </c>
      <c r="AZ111" s="740">
        <f t="shared" si="547"/>
        <v>-41965</v>
      </c>
      <c r="BA111" s="740">
        <f t="shared" si="547"/>
        <v>-12248</v>
      </c>
      <c r="BB111" s="740">
        <f t="shared" ref="BB111:BD111" si="548">SUM(BB112:BB115)-BB116</f>
        <v>-11075</v>
      </c>
      <c r="BC111" s="740">
        <f t="shared" si="548"/>
        <v>-13877</v>
      </c>
      <c r="BD111" s="740">
        <f t="shared" si="548"/>
        <v>-13441</v>
      </c>
      <c r="BE111" s="740">
        <f>SUM(BE112:BE115)-BE116</f>
        <v>-23323</v>
      </c>
      <c r="BF111" s="740">
        <f>SUM(BF112:BF115)-BF116</f>
        <v>-37200</v>
      </c>
      <c r="BG111" s="740">
        <f>SUM(BG112:BG115)-BG116</f>
        <v>-50641</v>
      </c>
      <c r="BH111" s="740">
        <f>SUM(BH112:BH115)-BH116</f>
        <v>-13110</v>
      </c>
      <c r="BI111" s="740">
        <f t="shared" ref="BI111:BL111" si="549">SUM(BI112:BI115)-BI116</f>
        <v>-12976</v>
      </c>
      <c r="BJ111" s="740">
        <f t="shared" si="549"/>
        <v>-12162</v>
      </c>
      <c r="BK111" s="740">
        <f t="shared" si="549"/>
        <v>-11942</v>
      </c>
      <c r="BL111" s="740">
        <f t="shared" si="549"/>
        <v>-26086</v>
      </c>
      <c r="BM111" s="740">
        <f t="shared" ref="BM111:BN111" si="550">SUM(BM112:BM115)-BM116</f>
        <v>-38248</v>
      </c>
      <c r="BN111" s="740">
        <f t="shared" si="550"/>
        <v>-50190</v>
      </c>
      <c r="BO111" s="740">
        <f t="shared" ref="BO111:BS111" si="551">SUM(BO112:BO115)-BO116</f>
        <v>-11937</v>
      </c>
      <c r="BP111" s="740">
        <f t="shared" si="551"/>
        <v>-11876</v>
      </c>
      <c r="BQ111" s="740">
        <f t="shared" si="551"/>
        <v>-13232</v>
      </c>
      <c r="BR111" s="740">
        <f t="shared" si="551"/>
        <v>-13254</v>
      </c>
      <c r="BS111" s="740">
        <f t="shared" si="551"/>
        <v>-23813</v>
      </c>
      <c r="BT111" s="740">
        <f t="shared" ref="BT111:BU111" si="552">SUM(BT112:BT115)-BT116</f>
        <v>-37045</v>
      </c>
      <c r="BU111" s="740">
        <f t="shared" si="552"/>
        <v>-50299</v>
      </c>
      <c r="BV111" s="740">
        <f t="shared" ref="BV111:BZ111" si="553">SUM(BV112:BV115)-BV116</f>
        <v>-15323</v>
      </c>
      <c r="BW111" s="740">
        <f t="shared" si="553"/>
        <v>-13952</v>
      </c>
      <c r="BX111" s="740">
        <f t="shared" si="553"/>
        <v>-14866</v>
      </c>
      <c r="BY111" s="740">
        <f t="shared" si="553"/>
        <v>-15659</v>
      </c>
      <c r="BZ111" s="740">
        <f t="shared" si="553"/>
        <v>-29275</v>
      </c>
      <c r="CA111" s="740">
        <f t="shared" ref="CA111:CB111" si="554">SUM(CA112:CA115)-CA116</f>
        <v>-44141</v>
      </c>
      <c r="CB111" s="740">
        <f t="shared" si="554"/>
        <v>-59800</v>
      </c>
      <c r="CC111" s="740">
        <f t="shared" ref="CC111:CD111" si="555">SUM(CC112:CC115)-CC116</f>
        <v>-15489</v>
      </c>
      <c r="CD111" s="740">
        <f t="shared" si="555"/>
        <v>-14574</v>
      </c>
      <c r="CE111" s="740">
        <f t="shared" ref="CE111:CG111" si="556">SUM(CE112:CE115)-CE116</f>
        <v>-13764</v>
      </c>
      <c r="CF111" s="740">
        <f t="shared" si="556"/>
        <v>-14045</v>
      </c>
      <c r="CG111" s="740">
        <f t="shared" si="556"/>
        <v>-30063</v>
      </c>
      <c r="CH111" s="740">
        <f t="shared" ref="CH111:CI111" si="557">SUM(CH112:CH115)-CH116</f>
        <v>-43827</v>
      </c>
      <c r="CI111" s="740">
        <f t="shared" si="557"/>
        <v>-57872</v>
      </c>
      <c r="CJ111" s="740">
        <v>-15090</v>
      </c>
      <c r="CK111" s="740">
        <f t="shared" ref="CK111:CO111" si="558">SUM(CK112:CK115)-CK116</f>
        <v>-14159</v>
      </c>
      <c r="CL111" s="740">
        <f t="shared" si="558"/>
        <v>0</v>
      </c>
      <c r="CM111" s="740">
        <f t="shared" si="558"/>
        <v>0</v>
      </c>
      <c r="CN111" s="740">
        <f t="shared" si="558"/>
        <v>-29249</v>
      </c>
      <c r="CO111" s="740">
        <f t="shared" si="558"/>
        <v>0</v>
      </c>
    </row>
    <row r="112" spans="1:93" s="353" customFormat="1" x14ac:dyDescent="0.25">
      <c r="A112" s="352" t="str">
        <f>Language!$G115</f>
        <v>Rio Verde</v>
      </c>
      <c r="B112" s="353">
        <v>-2871</v>
      </c>
      <c r="C112" s="353">
        <v>-3315</v>
      </c>
      <c r="D112" s="353">
        <v>-2948</v>
      </c>
      <c r="E112" s="354">
        <v>-3092</v>
      </c>
      <c r="F112" s="353">
        <v>-3257</v>
      </c>
      <c r="G112" s="353">
        <v>-3186</v>
      </c>
      <c r="H112" s="353">
        <v>-2939</v>
      </c>
      <c r="I112" s="354">
        <v>-2865</v>
      </c>
      <c r="J112" s="353">
        <v>-3241</v>
      </c>
      <c r="K112" s="353">
        <v>-3234</v>
      </c>
      <c r="L112" s="353">
        <v>-2931</v>
      </c>
      <c r="M112" s="354">
        <v>-3166</v>
      </c>
      <c r="N112" s="353">
        <v>-2876</v>
      </c>
      <c r="O112" s="353">
        <v>-2871</v>
      </c>
      <c r="P112" s="353">
        <v>-2787</v>
      </c>
      <c r="Q112" s="354">
        <v>-3080</v>
      </c>
      <c r="R112" s="353">
        <v>-3331</v>
      </c>
      <c r="S112" s="353">
        <v>-3290</v>
      </c>
      <c r="T112" s="353">
        <v>-3073</v>
      </c>
      <c r="U112" s="353">
        <v>-2063</v>
      </c>
      <c r="V112" s="353">
        <v>-6621</v>
      </c>
      <c r="W112" s="353">
        <v>-9694</v>
      </c>
      <c r="X112" s="354">
        <v>-11757</v>
      </c>
      <c r="Y112" s="353">
        <v>0</v>
      </c>
      <c r="Z112" s="353">
        <f t="shared" si="263"/>
        <v>0</v>
      </c>
      <c r="AA112" s="353">
        <f t="shared" ref="AA112:AA115" si="559">AD112-Z112-Y112</f>
        <v>0</v>
      </c>
      <c r="AB112" s="353">
        <f t="shared" si="259"/>
        <v>0</v>
      </c>
      <c r="AC112" s="353">
        <v>0</v>
      </c>
      <c r="AD112" s="353">
        <v>0</v>
      </c>
      <c r="AE112" s="354">
        <v>0</v>
      </c>
      <c r="AF112" s="353">
        <v>0</v>
      </c>
      <c r="AG112" s="353">
        <f>AJ112-AF112</f>
        <v>0</v>
      </c>
      <c r="AH112" s="353">
        <f t="shared" ref="AH112:AH115" si="560">AK112-AG112-AF112</f>
        <v>0</v>
      </c>
      <c r="AI112" s="353">
        <f t="shared" ref="AI112:AI115" si="561">AL112-AF112-AG112-AH112</f>
        <v>0</v>
      </c>
      <c r="AJ112" s="353">
        <v>0</v>
      </c>
      <c r="AK112" s="353">
        <v>0</v>
      </c>
      <c r="AL112" s="354">
        <v>0</v>
      </c>
      <c r="AM112" s="353">
        <v>0</v>
      </c>
      <c r="AN112" s="353">
        <f t="shared" si="261"/>
        <v>0</v>
      </c>
      <c r="AO112" s="353">
        <f t="shared" si="262"/>
        <v>0</v>
      </c>
      <c r="AP112" s="353">
        <f t="shared" si="262"/>
        <v>0</v>
      </c>
      <c r="AQ112" s="353">
        <v>0</v>
      </c>
      <c r="AS112" s="354"/>
    </row>
    <row r="113" spans="1:93" s="353" customFormat="1" x14ac:dyDescent="0.25">
      <c r="A113" s="352" t="str">
        <f>Language!$G116</f>
        <v>Rio Canoas</v>
      </c>
      <c r="B113" s="353">
        <v>0</v>
      </c>
      <c r="C113" s="353">
        <v>0</v>
      </c>
      <c r="D113" s="353">
        <v>0</v>
      </c>
      <c r="E113" s="354">
        <v>0</v>
      </c>
      <c r="F113" s="353">
        <v>0</v>
      </c>
      <c r="G113" s="353">
        <v>0</v>
      </c>
      <c r="H113" s="353">
        <v>0</v>
      </c>
      <c r="I113" s="354">
        <v>0</v>
      </c>
      <c r="J113" s="353">
        <v>0</v>
      </c>
      <c r="K113" s="353">
        <v>0</v>
      </c>
      <c r="L113" s="353">
        <v>-759</v>
      </c>
      <c r="M113" s="354">
        <v>-233</v>
      </c>
      <c r="N113" s="353">
        <v>-2894</v>
      </c>
      <c r="O113" s="353">
        <v>-3512</v>
      </c>
      <c r="P113" s="353">
        <v>-3713</v>
      </c>
      <c r="Q113" s="354">
        <v>-4057</v>
      </c>
      <c r="R113" s="353">
        <v>-4207</v>
      </c>
      <c r="S113" s="353">
        <v>-3418</v>
      </c>
      <c r="T113" s="353">
        <v>-4948</v>
      </c>
      <c r="U113" s="353">
        <v>-3544</v>
      </c>
      <c r="V113" s="353">
        <v>-7625</v>
      </c>
      <c r="W113" s="353">
        <v>-12573</v>
      </c>
      <c r="X113" s="354">
        <v>-16117</v>
      </c>
      <c r="Y113" s="353">
        <v>0</v>
      </c>
      <c r="Z113" s="353">
        <f t="shared" si="263"/>
        <v>0</v>
      </c>
      <c r="AA113" s="353">
        <f t="shared" si="559"/>
        <v>0</v>
      </c>
      <c r="AB113" s="353">
        <f t="shared" si="259"/>
        <v>0</v>
      </c>
      <c r="AC113" s="353">
        <v>0</v>
      </c>
      <c r="AD113" s="353">
        <v>0</v>
      </c>
      <c r="AE113" s="354">
        <v>0</v>
      </c>
      <c r="AF113" s="353">
        <v>0</v>
      </c>
      <c r="AG113" s="353">
        <f>AJ113-AF113</f>
        <v>0</v>
      </c>
      <c r="AH113" s="353">
        <f t="shared" si="560"/>
        <v>0</v>
      </c>
      <c r="AI113" s="353">
        <f t="shared" si="561"/>
        <v>0</v>
      </c>
      <c r="AJ113" s="353">
        <v>0</v>
      </c>
      <c r="AK113" s="353">
        <v>0</v>
      </c>
      <c r="AL113" s="354">
        <v>0</v>
      </c>
      <c r="AM113" s="353">
        <v>0</v>
      </c>
      <c r="AN113" s="353">
        <f t="shared" si="261"/>
        <v>0</v>
      </c>
      <c r="AO113" s="353">
        <f t="shared" si="262"/>
        <v>0</v>
      </c>
      <c r="AP113" s="353">
        <f t="shared" si="262"/>
        <v>0</v>
      </c>
      <c r="AQ113" s="353">
        <v>0</v>
      </c>
      <c r="AS113" s="354"/>
    </row>
    <row r="114" spans="1:93" s="353" customFormat="1" x14ac:dyDescent="0.25">
      <c r="A114" s="352" t="str">
        <f>Language!$G117</f>
        <v>Tijoá</v>
      </c>
      <c r="B114" s="353">
        <v>0</v>
      </c>
      <c r="C114" s="353">
        <v>0</v>
      </c>
      <c r="D114" s="353">
        <v>0</v>
      </c>
      <c r="E114" s="354">
        <v>0</v>
      </c>
      <c r="F114" s="353">
        <v>0</v>
      </c>
      <c r="G114" s="353">
        <v>0</v>
      </c>
      <c r="H114" s="353">
        <v>0</v>
      </c>
      <c r="I114" s="354">
        <v>0</v>
      </c>
      <c r="J114" s="353">
        <v>0</v>
      </c>
      <c r="K114" s="353">
        <v>0</v>
      </c>
      <c r="L114" s="353">
        <v>0</v>
      </c>
      <c r="M114" s="354">
        <v>0</v>
      </c>
      <c r="N114" s="353">
        <v>0</v>
      </c>
      <c r="O114" s="353">
        <v>0</v>
      </c>
      <c r="P114" s="353">
        <v>0</v>
      </c>
      <c r="Q114" s="354">
        <v>0</v>
      </c>
      <c r="R114" s="353">
        <v>-6709</v>
      </c>
      <c r="S114" s="353">
        <v>-5992</v>
      </c>
      <c r="T114" s="353">
        <v>-6750</v>
      </c>
      <c r="U114" s="353">
        <v>-7085</v>
      </c>
      <c r="V114" s="353">
        <v>-12701</v>
      </c>
      <c r="W114" s="353">
        <v>-19451</v>
      </c>
      <c r="X114" s="354">
        <v>-26536</v>
      </c>
      <c r="Y114" s="353">
        <v>-8773</v>
      </c>
      <c r="Z114" s="353">
        <f t="shared" si="263"/>
        <v>-7424</v>
      </c>
      <c r="AA114" s="353">
        <f t="shared" si="559"/>
        <v>-2446</v>
      </c>
      <c r="AB114" s="353">
        <f t="shared" si="259"/>
        <v>-7076</v>
      </c>
      <c r="AC114" s="353">
        <v>-16197</v>
      </c>
      <c r="AD114" s="353">
        <v>-18643</v>
      </c>
      <c r="AE114" s="354">
        <v>-25719</v>
      </c>
      <c r="AF114" s="353">
        <v>-8978</v>
      </c>
      <c r="AG114" s="353">
        <f>AJ114-AF114</f>
        <v>-8690</v>
      </c>
      <c r="AH114" s="353">
        <f t="shared" si="560"/>
        <v>-10241</v>
      </c>
      <c r="AI114" s="353">
        <f t="shared" si="561"/>
        <v>-3004</v>
      </c>
      <c r="AJ114" s="353">
        <v>-17668</v>
      </c>
      <c r="AK114" s="353">
        <v>-27909</v>
      </c>
      <c r="AL114" s="354">
        <v>-30913</v>
      </c>
      <c r="AM114" s="353">
        <v>-8684</v>
      </c>
      <c r="AN114" s="353">
        <f t="shared" si="261"/>
        <v>-8458</v>
      </c>
      <c r="AO114" s="353">
        <f t="shared" si="262"/>
        <v>-7966</v>
      </c>
      <c r="AP114" s="353">
        <f t="shared" si="262"/>
        <v>-8160</v>
      </c>
      <c r="AQ114" s="353">
        <v>-17142</v>
      </c>
      <c r="AR114" s="353">
        <v>-25108</v>
      </c>
      <c r="AS114" s="354">
        <v>-33268</v>
      </c>
      <c r="AT114" s="353">
        <v>-8027</v>
      </c>
      <c r="AU114" s="353">
        <f t="shared" ref="AU114:AU116" si="562">AX114-AT114</f>
        <v>-8094</v>
      </c>
      <c r="AV114" s="353">
        <f>AY114-AX114</f>
        <v>-9504</v>
      </c>
      <c r="AW114" s="353">
        <f>AZ114-AY114</f>
        <v>-9434</v>
      </c>
      <c r="AX114" s="353">
        <v>-16121</v>
      </c>
      <c r="AY114" s="353">
        <v>-25625</v>
      </c>
      <c r="AZ114" s="353">
        <v>-35059</v>
      </c>
      <c r="BA114" s="353">
        <v>-9500</v>
      </c>
      <c r="BB114" s="353">
        <f>BE114-BA114</f>
        <v>-9500</v>
      </c>
      <c r="BC114" s="353">
        <f>BF114-BE114</f>
        <v>-12051</v>
      </c>
      <c r="BD114" s="353">
        <f>BG114-BF114</f>
        <v>-12014</v>
      </c>
      <c r="BE114" s="353">
        <v>-19000</v>
      </c>
      <c r="BF114" s="353">
        <v>-31051</v>
      </c>
      <c r="BG114" s="353">
        <v>-43065</v>
      </c>
      <c r="BH114" s="353">
        <v>-12004</v>
      </c>
      <c r="BI114" s="353">
        <f>BL114-BH114</f>
        <v>-12033</v>
      </c>
      <c r="BJ114" s="353">
        <f>BM114-BL114</f>
        <v>-10858</v>
      </c>
      <c r="BK114" s="353">
        <f>BN114-BM114</f>
        <v>-10933</v>
      </c>
      <c r="BL114" s="353">
        <v>-24037</v>
      </c>
      <c r="BM114" s="353">
        <v>-34895</v>
      </c>
      <c r="BN114" s="353">
        <v>-45828</v>
      </c>
      <c r="BO114" s="353">
        <v>-11116</v>
      </c>
      <c r="BP114" s="353">
        <f>BS114-BO114</f>
        <v>-11039</v>
      </c>
      <c r="BQ114" s="353">
        <f>BT114-BS114</f>
        <v>-12341</v>
      </c>
      <c r="BR114" s="353">
        <f>BU114-BT114</f>
        <v>-12336</v>
      </c>
      <c r="BS114" s="353">
        <v>-22155</v>
      </c>
      <c r="BT114" s="353">
        <v>-34496</v>
      </c>
      <c r="BU114" s="353">
        <v>-46832</v>
      </c>
      <c r="BV114" s="353">
        <v>-12249</v>
      </c>
      <c r="BW114" s="353">
        <f>BZ114-BV114</f>
        <v>-12337</v>
      </c>
      <c r="BX114" s="353">
        <f>CA114-BZ114</f>
        <v>-13112</v>
      </c>
      <c r="BY114" s="353">
        <f>CB114-CA114</f>
        <v>-12999</v>
      </c>
      <c r="BZ114" s="353">
        <v>-24586</v>
      </c>
      <c r="CA114" s="353">
        <v>-37698</v>
      </c>
      <c r="CB114" s="353">
        <v>-50697</v>
      </c>
      <c r="CC114" s="353">
        <v>-13096</v>
      </c>
      <c r="CD114" s="353">
        <f>CG114-CC114</f>
        <v>-13116</v>
      </c>
      <c r="CE114" s="353">
        <f>CH114-CG114</f>
        <v>-11922</v>
      </c>
      <c r="CF114" s="353">
        <f>CI114-CH114</f>
        <v>-11881</v>
      </c>
      <c r="CG114" s="353">
        <v>-26212</v>
      </c>
      <c r="CH114" s="353">
        <v>-38134</v>
      </c>
      <c r="CI114" s="353">
        <v>-50015</v>
      </c>
      <c r="CJ114" s="353">
        <v>-11865</v>
      </c>
      <c r="CK114" s="353">
        <f>CN114-CJ114</f>
        <v>-11937</v>
      </c>
      <c r="CN114" s="353">
        <v>-23802</v>
      </c>
    </row>
    <row r="115" spans="1:93" s="353" customFormat="1" x14ac:dyDescent="0.25">
      <c r="A115" s="352" t="str">
        <f>Language!$G118</f>
        <v>Outros</v>
      </c>
      <c r="B115" s="353">
        <v>0</v>
      </c>
      <c r="C115" s="353">
        <v>0</v>
      </c>
      <c r="D115" s="353">
        <v>0</v>
      </c>
      <c r="E115" s="354">
        <v>0</v>
      </c>
      <c r="F115" s="353">
        <v>0</v>
      </c>
      <c r="G115" s="353">
        <v>0</v>
      </c>
      <c r="H115" s="353">
        <v>0</v>
      </c>
      <c r="I115" s="354">
        <v>0</v>
      </c>
      <c r="J115" s="353">
        <v>0</v>
      </c>
      <c r="K115" s="353">
        <v>0</v>
      </c>
      <c r="L115" s="353">
        <v>0</v>
      </c>
      <c r="M115" s="354">
        <v>0</v>
      </c>
      <c r="N115" s="353">
        <v>0</v>
      </c>
      <c r="O115" s="353">
        <v>0</v>
      </c>
      <c r="P115" s="353">
        <v>0</v>
      </c>
      <c r="Q115" s="354">
        <v>-5743</v>
      </c>
      <c r="R115" s="353">
        <v>0</v>
      </c>
      <c r="S115" s="353">
        <v>0</v>
      </c>
      <c r="T115" s="353">
        <v>0</v>
      </c>
      <c r="U115" s="353">
        <v>0</v>
      </c>
      <c r="V115" s="353">
        <v>0</v>
      </c>
      <c r="W115" s="353">
        <v>0</v>
      </c>
      <c r="X115" s="354">
        <v>0</v>
      </c>
      <c r="Y115" s="353">
        <v>0</v>
      </c>
      <c r="Z115" s="353">
        <f t="shared" si="263"/>
        <v>0</v>
      </c>
      <c r="AA115" s="353">
        <f t="shared" si="559"/>
        <v>0</v>
      </c>
      <c r="AB115" s="353">
        <f t="shared" si="259"/>
        <v>0</v>
      </c>
      <c r="AC115" s="353">
        <v>0</v>
      </c>
      <c r="AD115" s="353">
        <v>0</v>
      </c>
      <c r="AE115" s="354">
        <v>0</v>
      </c>
      <c r="AF115" s="353">
        <v>0</v>
      </c>
      <c r="AG115" s="353">
        <f>AJ115-AF115</f>
        <v>0</v>
      </c>
      <c r="AH115" s="353">
        <f t="shared" si="560"/>
        <v>0</v>
      </c>
      <c r="AI115" s="353">
        <f t="shared" si="561"/>
        <v>0</v>
      </c>
      <c r="AJ115" s="353">
        <v>0</v>
      </c>
      <c r="AK115" s="353">
        <v>0</v>
      </c>
      <c r="AL115" s="354">
        <v>0</v>
      </c>
      <c r="AM115" s="353">
        <v>0</v>
      </c>
      <c r="AN115" s="353">
        <f t="shared" si="261"/>
        <v>0</v>
      </c>
      <c r="AO115" s="353">
        <f t="shared" si="262"/>
        <v>0</v>
      </c>
      <c r="AP115" s="353">
        <f t="shared" si="262"/>
        <v>0</v>
      </c>
      <c r="AQ115" s="353">
        <v>0</v>
      </c>
      <c r="AS115" s="354"/>
      <c r="BA115" s="353">
        <v>-7</v>
      </c>
      <c r="BB115" s="353">
        <f>BE115-BA115</f>
        <v>7</v>
      </c>
      <c r="BC115" s="353">
        <f t="shared" ref="BC115:BC116" si="563">BF115-BE115</f>
        <v>0</v>
      </c>
      <c r="BD115" s="353">
        <f t="shared" ref="BD115:BD116" si="564">BG115-BF115</f>
        <v>0</v>
      </c>
      <c r="BI115" s="353">
        <f t="shared" ref="BI115:BI116" si="565">BL115-BH115</f>
        <v>0</v>
      </c>
      <c r="BJ115" s="353">
        <f t="shared" ref="BJ115:BJ116" si="566">BM115-BL115</f>
        <v>0</v>
      </c>
      <c r="BK115" s="353">
        <f t="shared" ref="BK115:BK116" si="567">BN115-BM115</f>
        <v>0</v>
      </c>
      <c r="BP115" s="353">
        <f t="shared" ref="BP115:BP116" si="568">BS115-BO115</f>
        <v>0</v>
      </c>
      <c r="BQ115" s="353">
        <f t="shared" ref="BQ115:BQ116" si="569">BT115-BS115</f>
        <v>0</v>
      </c>
      <c r="BR115" s="353">
        <f t="shared" ref="BR115:BR116" si="570">BU115-BT115</f>
        <v>0</v>
      </c>
      <c r="BW115" s="353">
        <f t="shared" ref="BW115:BW116" si="571">BZ115-BV115</f>
        <v>0</v>
      </c>
      <c r="BX115" s="353">
        <f t="shared" ref="BX115:BX116" si="572">CA115-BZ115</f>
        <v>0</v>
      </c>
      <c r="BY115" s="353">
        <f t="shared" ref="BY115:BY116" si="573">CB115-CA115</f>
        <v>0</v>
      </c>
      <c r="CE115" s="353">
        <f t="shared" ref="CE115:CE116" si="574">CH115-CG115</f>
        <v>0</v>
      </c>
      <c r="CF115" s="353">
        <f t="shared" ref="CF115:CF116" si="575">CI115-CH115</f>
        <v>0</v>
      </c>
      <c r="CK115" s="353">
        <f t="shared" ref="CK115:CK116" si="576">CN115-CJ115</f>
        <v>0</v>
      </c>
    </row>
    <row r="116" spans="1:93" s="353" customFormat="1" x14ac:dyDescent="0.25">
      <c r="A116" s="352" t="s">
        <v>320</v>
      </c>
      <c r="B116" s="355">
        <v>0</v>
      </c>
      <c r="C116" s="355">
        <v>0</v>
      </c>
      <c r="D116" s="355">
        <v>0</v>
      </c>
      <c r="E116" s="356">
        <v>0</v>
      </c>
      <c r="F116" s="355">
        <v>0</v>
      </c>
      <c r="G116" s="355">
        <v>0</v>
      </c>
      <c r="H116" s="355">
        <v>0</v>
      </c>
      <c r="I116" s="356">
        <v>0</v>
      </c>
      <c r="J116" s="355">
        <v>0</v>
      </c>
      <c r="K116" s="355">
        <v>0</v>
      </c>
      <c r="L116" s="355">
        <v>0</v>
      </c>
      <c r="M116" s="356">
        <v>0</v>
      </c>
      <c r="N116" s="355">
        <v>0</v>
      </c>
      <c r="O116" s="355">
        <v>0</v>
      </c>
      <c r="P116" s="355">
        <v>0</v>
      </c>
      <c r="Q116" s="356">
        <v>0</v>
      </c>
      <c r="R116" s="355">
        <v>0</v>
      </c>
      <c r="S116" s="355">
        <v>0</v>
      </c>
      <c r="T116" s="355">
        <v>0</v>
      </c>
      <c r="U116" s="355">
        <v>0</v>
      </c>
      <c r="V116" s="355">
        <v>0</v>
      </c>
      <c r="W116" s="357">
        <v>0</v>
      </c>
      <c r="X116" s="358">
        <v>0</v>
      </c>
      <c r="Y116" s="357">
        <v>0</v>
      </c>
      <c r="Z116" s="357">
        <v>0</v>
      </c>
      <c r="AA116" s="355">
        <v>0</v>
      </c>
      <c r="AB116" s="355">
        <v>0</v>
      </c>
      <c r="AC116" s="357">
        <v>0</v>
      </c>
      <c r="AD116" s="357">
        <v>0</v>
      </c>
      <c r="AE116" s="358">
        <v>0</v>
      </c>
      <c r="AF116" s="357">
        <v>0</v>
      </c>
      <c r="AG116" s="357">
        <v>0</v>
      </c>
      <c r="AH116" s="355">
        <v>0</v>
      </c>
      <c r="AI116" s="355">
        <v>0</v>
      </c>
      <c r="AJ116" s="357">
        <v>0</v>
      </c>
      <c r="AK116" s="357">
        <v>0</v>
      </c>
      <c r="AL116" s="358">
        <v>0</v>
      </c>
      <c r="AM116" s="357">
        <v>-1232</v>
      </c>
      <c r="AN116" s="357">
        <f t="shared" si="261"/>
        <v>-1464</v>
      </c>
      <c r="AO116" s="357">
        <f t="shared" si="262"/>
        <v>-1418</v>
      </c>
      <c r="AP116" s="357">
        <f t="shared" si="262"/>
        <v>10337</v>
      </c>
      <c r="AQ116" s="357">
        <v>-2696</v>
      </c>
      <c r="AR116" s="357">
        <v>-4114</v>
      </c>
      <c r="AS116" s="358">
        <v>6223</v>
      </c>
      <c r="AT116" s="357">
        <v>1957</v>
      </c>
      <c r="AU116" s="357">
        <f t="shared" si="562"/>
        <v>1079</v>
      </c>
      <c r="AV116" s="357">
        <f>AY116-AX116</f>
        <v>1626</v>
      </c>
      <c r="AW116" s="357">
        <f>AZ116-AY116</f>
        <v>2244</v>
      </c>
      <c r="AX116" s="357">
        <v>3036</v>
      </c>
      <c r="AY116" s="357">
        <v>4662</v>
      </c>
      <c r="AZ116" s="357">
        <v>6906</v>
      </c>
      <c r="BA116" s="357">
        <v>2741</v>
      </c>
      <c r="BB116" s="357">
        <f>BE116-BA116</f>
        <v>1582</v>
      </c>
      <c r="BC116" s="353">
        <f t="shared" si="563"/>
        <v>1826</v>
      </c>
      <c r="BD116" s="353">
        <f t="shared" si="564"/>
        <v>1427</v>
      </c>
      <c r="BE116" s="357">
        <v>4323</v>
      </c>
      <c r="BF116" s="357">
        <v>6149</v>
      </c>
      <c r="BG116" s="357">
        <v>7576</v>
      </c>
      <c r="BH116" s="357">
        <v>1106</v>
      </c>
      <c r="BI116" s="353">
        <f t="shared" si="565"/>
        <v>943</v>
      </c>
      <c r="BJ116" s="353">
        <f t="shared" si="566"/>
        <v>1304</v>
      </c>
      <c r="BK116" s="353">
        <f t="shared" si="567"/>
        <v>1009</v>
      </c>
      <c r="BL116" s="357">
        <v>2049</v>
      </c>
      <c r="BM116" s="357">
        <v>3353</v>
      </c>
      <c r="BN116" s="357">
        <v>4362</v>
      </c>
      <c r="BO116" s="357">
        <v>821</v>
      </c>
      <c r="BP116" s="357">
        <f t="shared" si="568"/>
        <v>837</v>
      </c>
      <c r="BQ116" s="357">
        <f t="shared" si="569"/>
        <v>891</v>
      </c>
      <c r="BR116" s="357">
        <f t="shared" si="570"/>
        <v>918</v>
      </c>
      <c r="BS116" s="357">
        <v>1658</v>
      </c>
      <c r="BT116" s="357">
        <v>2549</v>
      </c>
      <c r="BU116" s="357">
        <v>3467</v>
      </c>
      <c r="BV116" s="357">
        <v>3074</v>
      </c>
      <c r="BW116" s="353">
        <f t="shared" si="571"/>
        <v>1615</v>
      </c>
      <c r="BX116" s="353">
        <f t="shared" si="572"/>
        <v>1754</v>
      </c>
      <c r="BY116" s="353">
        <f t="shared" si="573"/>
        <v>2660</v>
      </c>
      <c r="BZ116" s="357">
        <v>4689</v>
      </c>
      <c r="CA116" s="357">
        <v>6443</v>
      </c>
      <c r="CB116" s="357">
        <v>9103</v>
      </c>
      <c r="CC116" s="357">
        <v>2393</v>
      </c>
      <c r="CD116" s="357">
        <f>CG116-CC116</f>
        <v>1458</v>
      </c>
      <c r="CE116" s="353">
        <f t="shared" si="574"/>
        <v>1842</v>
      </c>
      <c r="CF116" s="353">
        <f t="shared" si="575"/>
        <v>2164</v>
      </c>
      <c r="CG116" s="357">
        <v>3851</v>
      </c>
      <c r="CH116" s="357">
        <v>5693</v>
      </c>
      <c r="CI116" s="357">
        <v>7857</v>
      </c>
      <c r="CJ116" s="357">
        <v>3225</v>
      </c>
      <c r="CK116" s="353">
        <f t="shared" si="576"/>
        <v>2222</v>
      </c>
      <c r="CL116" s="357"/>
      <c r="CM116" s="357"/>
      <c r="CN116" s="357">
        <v>5447</v>
      </c>
      <c r="CO116" s="357"/>
    </row>
    <row r="117" spans="1:93" s="361" customFormat="1" ht="13" x14ac:dyDescent="0.3">
      <c r="A117" s="696" t="str">
        <f>Language!$G119</f>
        <v>Despesas Operacionais</v>
      </c>
      <c r="B117" s="359">
        <f>SUM(B118,B119,B121)</f>
        <v>-1334</v>
      </c>
      <c r="C117" s="359">
        <f t="shared" ref="C117:K117" si="577">SUM(C118,C119,C121)</f>
        <v>-1981</v>
      </c>
      <c r="D117" s="359">
        <f t="shared" si="577"/>
        <v>-2640</v>
      </c>
      <c r="E117" s="360">
        <f t="shared" si="577"/>
        <v>-71</v>
      </c>
      <c r="F117" s="359">
        <f t="shared" si="577"/>
        <v>-1546</v>
      </c>
      <c r="G117" s="359">
        <f t="shared" si="577"/>
        <v>-2918</v>
      </c>
      <c r="H117" s="359">
        <f t="shared" si="577"/>
        <v>-1527</v>
      </c>
      <c r="I117" s="360">
        <f t="shared" si="577"/>
        <v>-2500</v>
      </c>
      <c r="J117" s="359">
        <f t="shared" si="577"/>
        <v>-1229</v>
      </c>
      <c r="K117" s="359">
        <f t="shared" si="577"/>
        <v>-2059</v>
      </c>
      <c r="L117" s="359">
        <f t="shared" ref="L117:M117" si="578">SUM(L118,L119,L121)</f>
        <v>-3010</v>
      </c>
      <c r="M117" s="360">
        <f t="shared" si="578"/>
        <v>-4336</v>
      </c>
      <c r="N117" s="359">
        <f t="shared" ref="N117:O117" si="579">SUM(N118,N119,N121)</f>
        <v>-4420</v>
      </c>
      <c r="O117" s="359">
        <f t="shared" si="579"/>
        <v>-9486</v>
      </c>
      <c r="P117" s="359">
        <f t="shared" ref="P117:Q117" si="580">SUM(P118,P119,P121)</f>
        <v>-4919</v>
      </c>
      <c r="Q117" s="360">
        <f t="shared" si="580"/>
        <v>-4237</v>
      </c>
      <c r="R117" s="359">
        <v>-5130</v>
      </c>
      <c r="S117" s="359">
        <v>-3466</v>
      </c>
      <c r="T117" s="359">
        <v>-987</v>
      </c>
      <c r="U117" s="359">
        <v>-4000</v>
      </c>
      <c r="V117" s="359">
        <v>-9122</v>
      </c>
      <c r="W117" s="359">
        <v>-10109</v>
      </c>
      <c r="X117" s="360">
        <v>-14109</v>
      </c>
      <c r="Y117" s="359">
        <f t="shared" ref="Y117:Z117" si="581">SUM(Y118,Y119,Y120,Y121)</f>
        <v>-1574</v>
      </c>
      <c r="Z117" s="359">
        <f t="shared" si="581"/>
        <v>-1460</v>
      </c>
      <c r="AA117" s="359">
        <f t="shared" ref="AA117:AB117" si="582">SUM(AA118,AA119,AA120,AA121)</f>
        <v>-1786</v>
      </c>
      <c r="AB117" s="361">
        <f t="shared" si="582"/>
        <v>550</v>
      </c>
      <c r="AC117" s="361">
        <f t="shared" ref="AC117:AD117" si="583">SUM(AC118,AC119,AC120,AC121)</f>
        <v>-3034</v>
      </c>
      <c r="AD117" s="361">
        <f t="shared" si="583"/>
        <v>-4820</v>
      </c>
      <c r="AE117" s="360">
        <f t="shared" ref="AE117:AJ117" si="584">SUM(AE118,AE119,AE120,AE121)</f>
        <v>-4270</v>
      </c>
      <c r="AF117" s="361">
        <f t="shared" si="584"/>
        <v>-639</v>
      </c>
      <c r="AG117" s="361">
        <f t="shared" si="584"/>
        <v>-1380</v>
      </c>
      <c r="AH117" s="359">
        <f t="shared" si="584"/>
        <v>1431</v>
      </c>
      <c r="AI117" s="361">
        <f t="shared" si="584"/>
        <v>-2815</v>
      </c>
      <c r="AJ117" s="361">
        <f t="shared" si="584"/>
        <v>-2019</v>
      </c>
      <c r="AK117" s="361">
        <f t="shared" ref="AK117:AL117" si="585">SUM(AK118,AK119,AK120,AK121)</f>
        <v>-588</v>
      </c>
      <c r="AL117" s="360">
        <f t="shared" si="585"/>
        <v>-3403</v>
      </c>
      <c r="AM117" s="361">
        <f t="shared" ref="AM117:AQ117" si="586">SUM(AM118,AM119,AM120,AM121)</f>
        <v>-958</v>
      </c>
      <c r="AN117" s="361">
        <f t="shared" si="261"/>
        <v>-704</v>
      </c>
      <c r="AO117" s="361">
        <f t="shared" si="262"/>
        <v>-764</v>
      </c>
      <c r="AP117" s="361">
        <f t="shared" si="262"/>
        <v>-989</v>
      </c>
      <c r="AQ117" s="361">
        <f t="shared" si="586"/>
        <v>-1662</v>
      </c>
      <c r="AR117" s="361">
        <f t="shared" ref="AR117:AS117" si="587">SUM(AR118,AR119,AR120,AR121)</f>
        <v>-2426</v>
      </c>
      <c r="AS117" s="360">
        <f t="shared" si="587"/>
        <v>-3415</v>
      </c>
      <c r="AT117" s="361">
        <f t="shared" ref="AT117" si="588">SUM(AT118,AT119,AT120,AT121)</f>
        <v>-685</v>
      </c>
      <c r="AU117" s="361">
        <f t="shared" ref="AU117:AW117" si="589">SUM(AU118,AU119,AU120,AU121)</f>
        <v>-766</v>
      </c>
      <c r="AV117" s="361">
        <f t="shared" si="589"/>
        <v>-581</v>
      </c>
      <c r="AW117" s="361">
        <f t="shared" si="589"/>
        <v>-1405</v>
      </c>
      <c r="AX117" s="361">
        <f t="shared" ref="AX117:AZ117" si="590">SUM(AX118,AX119,AX120,AX121)</f>
        <v>-1451</v>
      </c>
      <c r="AY117" s="361">
        <f t="shared" si="590"/>
        <v>-2032</v>
      </c>
      <c r="AZ117" s="361">
        <f t="shared" si="590"/>
        <v>-3437</v>
      </c>
      <c r="BA117" s="361">
        <f t="shared" ref="BA117:BD117" si="591">SUM(BA118,BA119,BA120,BA121)</f>
        <v>-994</v>
      </c>
      <c r="BB117" s="361">
        <f t="shared" si="591"/>
        <v>-1045</v>
      </c>
      <c r="BC117" s="361">
        <f t="shared" si="591"/>
        <v>-740</v>
      </c>
      <c r="BD117" s="361">
        <f t="shared" si="591"/>
        <v>-907</v>
      </c>
      <c r="BE117" s="361">
        <f t="shared" ref="BE117:BF117" si="592">SUM(BE118,BE119,BE120,BE121)</f>
        <v>-2039</v>
      </c>
      <c r="BF117" s="361">
        <f t="shared" si="592"/>
        <v>-2779</v>
      </c>
      <c r="BG117" s="361">
        <f t="shared" ref="BG117:BH117" si="593">SUM(BG118,BG119,BG120,BG121)</f>
        <v>-3686</v>
      </c>
      <c r="BH117" s="361">
        <f t="shared" si="593"/>
        <v>-838</v>
      </c>
      <c r="BI117" s="361">
        <f t="shared" ref="BI117:BL117" si="594">SUM(BI118,BI119,BI120,BI121)</f>
        <v>-1077</v>
      </c>
      <c r="BJ117" s="361">
        <f t="shared" si="594"/>
        <v>-981</v>
      </c>
      <c r="BK117" s="361">
        <f t="shared" si="594"/>
        <v>-1406</v>
      </c>
      <c r="BL117" s="361">
        <f t="shared" si="594"/>
        <v>-1915</v>
      </c>
      <c r="BM117" s="361">
        <f t="shared" ref="BM117:BN117" si="595">SUM(BM118,BM119,BM120,BM121)</f>
        <v>-2896</v>
      </c>
      <c r="BN117" s="361">
        <f t="shared" si="595"/>
        <v>-4302</v>
      </c>
      <c r="BO117" s="361">
        <f t="shared" ref="BO117:BS117" si="596">SUM(BO118,BO119,BO120,BO121)</f>
        <v>-1265</v>
      </c>
      <c r="BP117" s="361">
        <f t="shared" si="596"/>
        <v>-1271</v>
      </c>
      <c r="BQ117" s="361">
        <f t="shared" si="596"/>
        <v>-1445</v>
      </c>
      <c r="BR117" s="361">
        <f t="shared" si="596"/>
        <v>-664</v>
      </c>
      <c r="BS117" s="361">
        <f t="shared" si="596"/>
        <v>-2536</v>
      </c>
      <c r="BT117" s="361">
        <f t="shared" ref="BT117:BU117" si="597">SUM(BT118,BT119,BT120,BT121)</f>
        <v>-3992</v>
      </c>
      <c r="BU117" s="361">
        <f t="shared" si="597"/>
        <v>-4646</v>
      </c>
      <c r="BV117" s="361">
        <f t="shared" ref="BV117:BZ117" si="598">SUM(BV118,BV119,BV120,BV121)</f>
        <v>-1014</v>
      </c>
      <c r="BW117" s="361">
        <f t="shared" si="598"/>
        <v>-1158</v>
      </c>
      <c r="BX117" s="361">
        <f t="shared" si="598"/>
        <v>-818</v>
      </c>
      <c r="BY117" s="361">
        <f t="shared" si="598"/>
        <v>-1788</v>
      </c>
      <c r="BZ117" s="361">
        <f t="shared" si="598"/>
        <v>-2172</v>
      </c>
      <c r="CA117" s="361">
        <f t="shared" ref="CA117:CB117" si="599">SUM(CA118,CA119,CA120,CA121)</f>
        <v>-2990</v>
      </c>
      <c r="CB117" s="361">
        <f t="shared" si="599"/>
        <v>-4778</v>
      </c>
      <c r="CC117" s="361">
        <f t="shared" ref="CC117:CD117" si="600">SUM(CC118,CC119,CC120,CC121)</f>
        <v>-1129</v>
      </c>
      <c r="CD117" s="361">
        <f t="shared" si="600"/>
        <v>-868</v>
      </c>
      <c r="CE117" s="361">
        <f t="shared" ref="CE117:CG117" si="601">SUM(CE118,CE119,CE120,CE121)</f>
        <v>-1157</v>
      </c>
      <c r="CF117" s="361">
        <f t="shared" si="601"/>
        <v>-1397</v>
      </c>
      <c r="CG117" s="361">
        <f t="shared" si="601"/>
        <v>-1997</v>
      </c>
      <c r="CH117" s="361">
        <f t="shared" ref="CH117:CI117" si="602">SUM(CH118,CH119,CH120,CH121)</f>
        <v>-3154</v>
      </c>
      <c r="CI117" s="361">
        <f t="shared" si="602"/>
        <v>-4551</v>
      </c>
      <c r="CJ117" s="361">
        <v>-2872</v>
      </c>
      <c r="CK117" s="361">
        <f t="shared" ref="CK117:CO117" si="603">SUM(CK118,CK119,CK120,CK121)</f>
        <v>-1853</v>
      </c>
      <c r="CL117" s="361">
        <f t="shared" si="603"/>
        <v>0</v>
      </c>
      <c r="CM117" s="361">
        <f t="shared" si="603"/>
        <v>0</v>
      </c>
      <c r="CN117" s="361">
        <f t="shared" si="603"/>
        <v>-4725</v>
      </c>
      <c r="CO117" s="361">
        <f t="shared" si="603"/>
        <v>0</v>
      </c>
    </row>
    <row r="118" spans="1:93" x14ac:dyDescent="0.25">
      <c r="A118" s="341" t="str">
        <f>Language!$G120</f>
        <v>Rio Verde</v>
      </c>
      <c r="B118" s="309">
        <f t="shared" ref="B118:K118" si="604">SUM(B123,B128,B133)</f>
        <v>-945</v>
      </c>
      <c r="C118" s="309">
        <f t="shared" si="604"/>
        <v>-1081</v>
      </c>
      <c r="D118" s="309">
        <f t="shared" si="604"/>
        <v>-1015</v>
      </c>
      <c r="E118" s="325">
        <f t="shared" si="604"/>
        <v>-1739</v>
      </c>
      <c r="F118" s="309">
        <f t="shared" si="604"/>
        <v>-1099</v>
      </c>
      <c r="G118" s="309">
        <f t="shared" si="604"/>
        <v>-2427</v>
      </c>
      <c r="H118" s="309">
        <f t="shared" si="604"/>
        <v>-1131</v>
      </c>
      <c r="I118" s="325">
        <f t="shared" si="604"/>
        <v>-1660</v>
      </c>
      <c r="J118" s="309">
        <f t="shared" si="604"/>
        <v>-1387</v>
      </c>
      <c r="K118" s="309">
        <f t="shared" si="604"/>
        <v>-1196</v>
      </c>
      <c r="L118" s="309">
        <f t="shared" ref="L118:M120" si="605">SUM(L123,L128,L133)</f>
        <v>-1078</v>
      </c>
      <c r="M118" s="325">
        <f t="shared" si="605"/>
        <v>-3828</v>
      </c>
      <c r="N118" s="309">
        <f t="shared" ref="N118:O118" si="606">SUM(N123,N128,N133)</f>
        <v>-2376</v>
      </c>
      <c r="O118" s="309">
        <f t="shared" si="606"/>
        <v>-3566</v>
      </c>
      <c r="P118" s="309">
        <f t="shared" ref="P118:Q118" si="607">SUM(P123,P128,P133)</f>
        <v>-3394</v>
      </c>
      <c r="Q118" s="325">
        <f t="shared" si="607"/>
        <v>-1639</v>
      </c>
      <c r="R118" s="309">
        <v>-2089</v>
      </c>
      <c r="S118" s="309">
        <v>-1269</v>
      </c>
      <c r="T118" s="309">
        <v>-1688</v>
      </c>
      <c r="U118" s="309">
        <v>-720</v>
      </c>
      <c r="V118" s="309">
        <v>-3358</v>
      </c>
      <c r="W118" s="309">
        <v>-5046</v>
      </c>
      <c r="X118" s="325">
        <v>-5766</v>
      </c>
      <c r="Y118" s="309">
        <f t="shared" ref="Y118" si="608">SUM(Y123,Y128,Y133)</f>
        <v>0</v>
      </c>
      <c r="Z118" s="309">
        <f t="shared" si="263"/>
        <v>0</v>
      </c>
      <c r="AA118" s="309">
        <f t="shared" ref="AA118" si="609">SUM(AA123,AA128,AA133)</f>
        <v>0</v>
      </c>
      <c r="AB118" s="310">
        <f t="shared" si="259"/>
        <v>0</v>
      </c>
      <c r="AC118" s="310">
        <f t="shared" ref="AC118:AD118" si="610">SUM(AC123,AC128,AC133)</f>
        <v>0</v>
      </c>
      <c r="AD118" s="310">
        <f t="shared" si="610"/>
        <v>0</v>
      </c>
      <c r="AE118" s="325">
        <f t="shared" ref="AE118:AF118" si="611">SUM(AE123,AE128,AE133)</f>
        <v>0</v>
      </c>
      <c r="AF118" s="310">
        <f t="shared" si="611"/>
        <v>0</v>
      </c>
      <c r="AG118" s="310">
        <f>AJ118-AF118</f>
        <v>0</v>
      </c>
      <c r="AH118" s="309">
        <f t="shared" ref="AH118:AH121" si="612">SUM(AH123,AH128,AH133)</f>
        <v>0</v>
      </c>
      <c r="AI118" s="310">
        <f t="shared" ref="AI118:AI121" si="613">AL118-AF118-AG118-AH118</f>
        <v>0</v>
      </c>
      <c r="AJ118" s="310">
        <f t="shared" ref="AJ118:AK118" si="614">SUM(AJ123,AJ128,AJ133)</f>
        <v>0</v>
      </c>
      <c r="AK118" s="310">
        <f t="shared" si="614"/>
        <v>0</v>
      </c>
      <c r="AL118" s="325">
        <f t="shared" ref="AL118:AM118" si="615">SUM(AL123,AL128,AL133)</f>
        <v>0</v>
      </c>
      <c r="AM118" s="310">
        <f t="shared" si="615"/>
        <v>0</v>
      </c>
      <c r="AN118" s="310">
        <f t="shared" si="261"/>
        <v>0</v>
      </c>
      <c r="AO118" s="310">
        <f t="shared" si="262"/>
        <v>0</v>
      </c>
      <c r="AP118" s="310">
        <f t="shared" si="262"/>
        <v>0</v>
      </c>
      <c r="AQ118" s="310">
        <f t="shared" ref="AQ118:AR118" si="616">SUM(AQ123,AQ128,AQ133)</f>
        <v>0</v>
      </c>
      <c r="AR118" s="310">
        <f t="shared" si="616"/>
        <v>0</v>
      </c>
      <c r="AS118" s="325">
        <f t="shared" ref="AS118:AU118" si="617">SUM(AS123,AS128,AS133)</f>
        <v>0</v>
      </c>
      <c r="AT118" s="310">
        <f t="shared" si="617"/>
        <v>0</v>
      </c>
      <c r="AU118" s="310">
        <f t="shared" si="617"/>
        <v>0</v>
      </c>
      <c r="AV118" s="310">
        <f t="shared" ref="AV118:AX118" si="618">SUM(AV123,AV128,AV133)</f>
        <v>0</v>
      </c>
      <c r="AW118" s="310">
        <f t="shared" si="618"/>
        <v>0</v>
      </c>
      <c r="AX118" s="310">
        <f t="shared" si="618"/>
        <v>0</v>
      </c>
      <c r="AY118" s="310">
        <f t="shared" ref="AY118:AZ118" si="619">SUM(AY123,AY128,AY133)</f>
        <v>0</v>
      </c>
      <c r="AZ118" s="310">
        <f t="shared" si="619"/>
        <v>0</v>
      </c>
      <c r="BA118" s="310">
        <f t="shared" ref="BA118:BD118" si="620">SUM(BA123,BA128,BA133)</f>
        <v>0</v>
      </c>
      <c r="BB118" s="310">
        <f t="shared" si="620"/>
        <v>0</v>
      </c>
      <c r="BC118" s="310">
        <f t="shared" si="620"/>
        <v>0</v>
      </c>
      <c r="BD118" s="310">
        <f t="shared" si="620"/>
        <v>0</v>
      </c>
      <c r="BE118" s="310">
        <f t="shared" ref="BE118:BF118" si="621">SUM(BE123,BE128,BE133)</f>
        <v>0</v>
      </c>
      <c r="BF118" s="310">
        <f t="shared" si="621"/>
        <v>0</v>
      </c>
      <c r="BG118" s="310">
        <f t="shared" ref="BG118:BH118" si="622">SUM(BG123,BG128,BG133)</f>
        <v>0</v>
      </c>
      <c r="BH118" s="310">
        <f t="shared" si="622"/>
        <v>0</v>
      </c>
      <c r="BI118" s="310">
        <f t="shared" ref="BI118:BL118" si="623">SUM(BI123,BI128,BI133)</f>
        <v>0</v>
      </c>
      <c r="BJ118" s="310">
        <f t="shared" si="623"/>
        <v>0</v>
      </c>
      <c r="BK118" s="310">
        <f t="shared" si="623"/>
        <v>0</v>
      </c>
      <c r="BL118" s="310">
        <f t="shared" si="623"/>
        <v>0</v>
      </c>
      <c r="BM118" s="310">
        <f t="shared" ref="BM118:BN118" si="624">SUM(BM123,BM128,BM133)</f>
        <v>0</v>
      </c>
      <c r="BN118" s="310">
        <f t="shared" si="624"/>
        <v>0</v>
      </c>
      <c r="BO118" s="310">
        <f t="shared" ref="BO118:BS118" si="625">SUM(BO123,BO128,BO133)</f>
        <v>0</v>
      </c>
      <c r="BP118" s="310">
        <f t="shared" si="625"/>
        <v>0</v>
      </c>
      <c r="BQ118" s="310">
        <f t="shared" si="625"/>
        <v>0</v>
      </c>
      <c r="BR118" s="310">
        <f t="shared" si="625"/>
        <v>0</v>
      </c>
      <c r="BS118" s="310">
        <f t="shared" si="625"/>
        <v>0</v>
      </c>
      <c r="BT118" s="310">
        <f t="shared" ref="BT118:BU118" si="626">SUM(BT123,BT128,BT133)</f>
        <v>0</v>
      </c>
      <c r="BU118" s="310">
        <f t="shared" si="626"/>
        <v>0</v>
      </c>
      <c r="BV118" s="310">
        <f t="shared" ref="BV118:BZ118" si="627">SUM(BV123,BV128,BV133)</f>
        <v>0</v>
      </c>
      <c r="BW118" s="310">
        <f t="shared" si="627"/>
        <v>0</v>
      </c>
      <c r="BX118" s="310">
        <f t="shared" si="627"/>
        <v>0</v>
      </c>
      <c r="BY118" s="310">
        <f t="shared" si="627"/>
        <v>0</v>
      </c>
      <c r="BZ118" s="310">
        <f t="shared" si="627"/>
        <v>0</v>
      </c>
      <c r="CA118" s="310">
        <f t="shared" ref="CA118:CB118" si="628">SUM(CA123,CA128,CA133)</f>
        <v>0</v>
      </c>
      <c r="CB118" s="310">
        <f t="shared" si="628"/>
        <v>0</v>
      </c>
      <c r="CC118" s="310">
        <f t="shared" ref="CC118:CD118" si="629">SUM(CC123,CC128,CC133)</f>
        <v>0</v>
      </c>
      <c r="CD118" s="310">
        <f t="shared" si="629"/>
        <v>0</v>
      </c>
      <c r="CE118" s="310">
        <f t="shared" ref="CE118:CG118" si="630">SUM(CE123,CE128,CE133)</f>
        <v>0</v>
      </c>
      <c r="CF118" s="310">
        <f t="shared" si="630"/>
        <v>0</v>
      </c>
      <c r="CG118" s="310">
        <f t="shared" si="630"/>
        <v>0</v>
      </c>
      <c r="CH118" s="310">
        <f t="shared" ref="CH118:CI118" si="631">SUM(CH123,CH128,CH133)</f>
        <v>0</v>
      </c>
      <c r="CI118" s="310">
        <f t="shared" si="631"/>
        <v>0</v>
      </c>
      <c r="CJ118" s="310">
        <v>0</v>
      </c>
      <c r="CK118" s="310">
        <f t="shared" ref="CK118:CO118" si="632">SUM(CK123,CK128,CK133)</f>
        <v>0</v>
      </c>
      <c r="CL118" s="310">
        <f t="shared" si="632"/>
        <v>0</v>
      </c>
      <c r="CM118" s="310">
        <f t="shared" si="632"/>
        <v>0</v>
      </c>
      <c r="CN118" s="310">
        <f t="shared" si="632"/>
        <v>0</v>
      </c>
      <c r="CO118" s="310">
        <f t="shared" si="632"/>
        <v>0</v>
      </c>
    </row>
    <row r="119" spans="1:93" x14ac:dyDescent="0.25">
      <c r="A119" s="341" t="str">
        <f>Language!$G121</f>
        <v>Rio Canoas</v>
      </c>
      <c r="B119" s="309">
        <f t="shared" ref="B119:K120" si="633">SUM(B124,B129,B134)</f>
        <v>-367</v>
      </c>
      <c r="C119" s="309">
        <f>SUM(C124,C129,C134)</f>
        <v>-815</v>
      </c>
      <c r="D119" s="309">
        <f t="shared" si="633"/>
        <v>-1729</v>
      </c>
      <c r="E119" s="325">
        <f t="shared" si="633"/>
        <v>1674</v>
      </c>
      <c r="F119" s="309">
        <f t="shared" si="633"/>
        <v>-447</v>
      </c>
      <c r="G119" s="309">
        <f t="shared" si="633"/>
        <v>-489</v>
      </c>
      <c r="H119" s="309">
        <f t="shared" si="633"/>
        <v>-333</v>
      </c>
      <c r="I119" s="325">
        <f t="shared" si="633"/>
        <v>-576</v>
      </c>
      <c r="J119" s="309">
        <f t="shared" si="633"/>
        <v>-572</v>
      </c>
      <c r="K119" s="309">
        <f t="shared" si="633"/>
        <v>-501</v>
      </c>
      <c r="L119" s="309">
        <f t="shared" si="605"/>
        <v>-543</v>
      </c>
      <c r="M119" s="325">
        <f t="shared" si="605"/>
        <v>-676</v>
      </c>
      <c r="N119" s="309">
        <f t="shared" ref="N119:O120" si="634">SUM(N124,N129,N134)</f>
        <v>-1817</v>
      </c>
      <c r="O119" s="309">
        <f t="shared" si="634"/>
        <v>-5498</v>
      </c>
      <c r="P119" s="309">
        <f t="shared" ref="P119:Q120" si="635">SUM(P124,P129,P134)</f>
        <v>-1127</v>
      </c>
      <c r="Q119" s="325">
        <f t="shared" si="635"/>
        <v>-135</v>
      </c>
      <c r="R119" s="309">
        <v>-1941</v>
      </c>
      <c r="S119" s="309">
        <v>-1158</v>
      </c>
      <c r="T119" s="309">
        <v>-1584</v>
      </c>
      <c r="U119" s="309">
        <v>-797</v>
      </c>
      <c r="V119" s="309">
        <v>-3099</v>
      </c>
      <c r="W119" s="309">
        <v>-4683</v>
      </c>
      <c r="X119" s="325">
        <v>-5480</v>
      </c>
      <c r="Y119" s="309">
        <f t="shared" ref="Y119" si="636">SUM(Y124,Y129,Y134)</f>
        <v>0</v>
      </c>
      <c r="Z119" s="309">
        <f t="shared" si="263"/>
        <v>0</v>
      </c>
      <c r="AA119" s="309">
        <f t="shared" ref="AA119" si="637">SUM(AA124,AA129,AA134)</f>
        <v>0</v>
      </c>
      <c r="AB119" s="310">
        <f t="shared" si="259"/>
        <v>0</v>
      </c>
      <c r="AC119" s="310">
        <f t="shared" ref="AC119:AD119" si="638">SUM(AC124,AC129,AC134)</f>
        <v>0</v>
      </c>
      <c r="AD119" s="310">
        <f t="shared" si="638"/>
        <v>0</v>
      </c>
      <c r="AE119" s="325">
        <f t="shared" ref="AE119:AF119" si="639">SUM(AE124,AE129,AE134)</f>
        <v>0</v>
      </c>
      <c r="AF119" s="310">
        <f t="shared" si="639"/>
        <v>0</v>
      </c>
      <c r="AG119" s="310">
        <f>AJ119-AF119</f>
        <v>0</v>
      </c>
      <c r="AH119" s="309">
        <f t="shared" si="612"/>
        <v>0</v>
      </c>
      <c r="AI119" s="310">
        <f t="shared" si="613"/>
        <v>0</v>
      </c>
      <c r="AJ119" s="310">
        <f t="shared" ref="AJ119:AK119" si="640">SUM(AJ124,AJ129,AJ134)</f>
        <v>0</v>
      </c>
      <c r="AK119" s="310">
        <f t="shared" si="640"/>
        <v>0</v>
      </c>
      <c r="AL119" s="325">
        <f t="shared" ref="AL119:AM119" si="641">SUM(AL124,AL129,AL134)</f>
        <v>0</v>
      </c>
      <c r="AM119" s="310">
        <f t="shared" si="641"/>
        <v>0</v>
      </c>
      <c r="AN119" s="310">
        <f t="shared" si="261"/>
        <v>0</v>
      </c>
      <c r="AO119" s="310">
        <f t="shared" si="262"/>
        <v>0</v>
      </c>
      <c r="AP119" s="310">
        <f t="shared" si="262"/>
        <v>0</v>
      </c>
      <c r="AQ119" s="310">
        <f t="shared" ref="AQ119:AR119" si="642">SUM(AQ124,AQ129,AQ134)</f>
        <v>0</v>
      </c>
      <c r="AR119" s="310">
        <f t="shared" si="642"/>
        <v>0</v>
      </c>
      <c r="AS119" s="325">
        <f t="shared" ref="AS119:AU119" si="643">SUM(AS124,AS129,AS134)</f>
        <v>0</v>
      </c>
      <c r="AT119" s="310">
        <f t="shared" si="643"/>
        <v>0</v>
      </c>
      <c r="AU119" s="310">
        <f t="shared" si="643"/>
        <v>0</v>
      </c>
      <c r="AV119" s="310">
        <f t="shared" ref="AV119:AX119" si="644">SUM(AV124,AV129,AV134)</f>
        <v>0</v>
      </c>
      <c r="AW119" s="310">
        <f t="shared" si="644"/>
        <v>0</v>
      </c>
      <c r="AX119" s="310">
        <f t="shared" si="644"/>
        <v>0</v>
      </c>
      <c r="AY119" s="310">
        <f t="shared" ref="AY119:AZ119" si="645">SUM(AY124,AY129,AY134)</f>
        <v>0</v>
      </c>
      <c r="AZ119" s="310">
        <f t="shared" si="645"/>
        <v>0</v>
      </c>
      <c r="BA119" s="310">
        <f t="shared" ref="BA119:BD119" si="646">SUM(BA124,BA129,BA134)</f>
        <v>0</v>
      </c>
      <c r="BB119" s="310">
        <f t="shared" si="646"/>
        <v>0</v>
      </c>
      <c r="BC119" s="310">
        <f t="shared" si="646"/>
        <v>0</v>
      </c>
      <c r="BD119" s="310">
        <f t="shared" si="646"/>
        <v>0</v>
      </c>
      <c r="BE119" s="310">
        <f t="shared" ref="BE119:BF119" si="647">SUM(BE124,BE129,BE134)</f>
        <v>0</v>
      </c>
      <c r="BF119" s="310">
        <f t="shared" si="647"/>
        <v>0</v>
      </c>
      <c r="BG119" s="310">
        <f t="shared" ref="BG119:BH119" si="648">SUM(BG124,BG129,BG134)</f>
        <v>0</v>
      </c>
      <c r="BH119" s="310">
        <f t="shared" si="648"/>
        <v>0</v>
      </c>
      <c r="BI119" s="310">
        <f t="shared" ref="BI119:BL119" si="649">SUM(BI124,BI129,BI134)</f>
        <v>0</v>
      </c>
      <c r="BJ119" s="310">
        <f t="shared" si="649"/>
        <v>0</v>
      </c>
      <c r="BK119" s="310">
        <f t="shared" si="649"/>
        <v>0</v>
      </c>
      <c r="BL119" s="310">
        <f t="shared" si="649"/>
        <v>0</v>
      </c>
      <c r="BM119" s="310">
        <f t="shared" ref="BM119:BN119" si="650">SUM(BM124,BM129,BM134)</f>
        <v>0</v>
      </c>
      <c r="BN119" s="310">
        <f t="shared" si="650"/>
        <v>0</v>
      </c>
      <c r="BO119" s="310">
        <f t="shared" ref="BO119:BS119" si="651">SUM(BO124,BO129,BO134)</f>
        <v>0</v>
      </c>
      <c r="BP119" s="310">
        <f t="shared" si="651"/>
        <v>0</v>
      </c>
      <c r="BQ119" s="310">
        <f t="shared" si="651"/>
        <v>0</v>
      </c>
      <c r="BR119" s="310">
        <f t="shared" si="651"/>
        <v>0</v>
      </c>
      <c r="BS119" s="310">
        <f t="shared" si="651"/>
        <v>0</v>
      </c>
      <c r="BT119" s="310">
        <f t="shared" ref="BT119:BU119" si="652">SUM(BT124,BT129,BT134)</f>
        <v>0</v>
      </c>
      <c r="BU119" s="310">
        <f t="shared" si="652"/>
        <v>0</v>
      </c>
      <c r="BV119" s="310">
        <f t="shared" ref="BV119:BY119" si="653">SUM(BV124,BV129,BV134)</f>
        <v>0</v>
      </c>
      <c r="BW119" s="310">
        <f t="shared" si="653"/>
        <v>0</v>
      </c>
      <c r="BX119" s="310">
        <f t="shared" si="653"/>
        <v>0</v>
      </c>
      <c r="BY119" s="310">
        <f t="shared" si="653"/>
        <v>0</v>
      </c>
      <c r="BZ119" s="310">
        <f>SUM(BZ124,BZ129,BZ134)</f>
        <v>0</v>
      </c>
      <c r="CA119" s="310">
        <f>SUM(CA124,CA129,CA134)</f>
        <v>0</v>
      </c>
      <c r="CB119" s="310">
        <f>SUM(CB124,CB129,CB134)</f>
        <v>0</v>
      </c>
      <c r="CC119" s="310">
        <f>SUM(CC124,CC129,CC134)</f>
        <v>0</v>
      </c>
      <c r="CD119" s="310">
        <f>SUM(CD124,CD129,CD134)</f>
        <v>0</v>
      </c>
      <c r="CE119" s="310">
        <f t="shared" ref="CE119:CF119" si="654">SUM(CE124,CE129,CE134)</f>
        <v>0</v>
      </c>
      <c r="CF119" s="310">
        <f t="shared" si="654"/>
        <v>0</v>
      </c>
      <c r="CG119" s="310">
        <f>SUM(CG124,CG129,CG134)</f>
        <v>0</v>
      </c>
      <c r="CH119" s="310">
        <f t="shared" ref="CH119:CI119" si="655">SUM(CH124,CH129,CH134)</f>
        <v>0</v>
      </c>
      <c r="CI119" s="310">
        <f t="shared" si="655"/>
        <v>0</v>
      </c>
      <c r="CJ119" s="310">
        <v>0</v>
      </c>
      <c r="CK119" s="310">
        <f t="shared" ref="CK119:CO119" si="656">SUM(CK124,CK129,CK134)</f>
        <v>0</v>
      </c>
      <c r="CL119" s="310">
        <f t="shared" si="656"/>
        <v>0</v>
      </c>
      <c r="CM119" s="310">
        <f t="shared" si="656"/>
        <v>0</v>
      </c>
      <c r="CN119" s="310">
        <f t="shared" si="656"/>
        <v>0</v>
      </c>
      <c r="CO119" s="310">
        <f t="shared" si="656"/>
        <v>0</v>
      </c>
    </row>
    <row r="120" spans="1:93" x14ac:dyDescent="0.25">
      <c r="A120" s="341" t="str">
        <f>Language!$G122</f>
        <v>Tijoá</v>
      </c>
      <c r="B120" s="309">
        <f t="shared" si="633"/>
        <v>0</v>
      </c>
      <c r="C120" s="309">
        <f>SUM(C125,C130,C135)</f>
        <v>0</v>
      </c>
      <c r="D120" s="309">
        <f t="shared" si="633"/>
        <v>0</v>
      </c>
      <c r="E120" s="325">
        <f t="shared" si="633"/>
        <v>0</v>
      </c>
      <c r="F120" s="309">
        <f t="shared" si="633"/>
        <v>0</v>
      </c>
      <c r="G120" s="309">
        <f t="shared" si="633"/>
        <v>0</v>
      </c>
      <c r="H120" s="309">
        <f t="shared" si="633"/>
        <v>0</v>
      </c>
      <c r="I120" s="325">
        <f t="shared" si="633"/>
        <v>0</v>
      </c>
      <c r="J120" s="309">
        <f t="shared" si="633"/>
        <v>0</v>
      </c>
      <c r="K120" s="309">
        <f t="shared" si="633"/>
        <v>0</v>
      </c>
      <c r="L120" s="309">
        <f t="shared" si="605"/>
        <v>0</v>
      </c>
      <c r="M120" s="325">
        <f t="shared" si="605"/>
        <v>0</v>
      </c>
      <c r="N120" s="309">
        <f t="shared" si="634"/>
        <v>0</v>
      </c>
      <c r="O120" s="309">
        <f t="shared" si="634"/>
        <v>0</v>
      </c>
      <c r="P120" s="309">
        <f t="shared" si="635"/>
        <v>0</v>
      </c>
      <c r="Q120" s="325">
        <f t="shared" si="635"/>
        <v>0</v>
      </c>
      <c r="R120" s="309">
        <v>-240</v>
      </c>
      <c r="S120" s="309">
        <v>-526</v>
      </c>
      <c r="T120" s="309">
        <v>3802</v>
      </c>
      <c r="U120" s="309">
        <v>-1435</v>
      </c>
      <c r="V120" s="309">
        <v>-766</v>
      </c>
      <c r="W120" s="309">
        <v>3036</v>
      </c>
      <c r="X120" s="325">
        <v>1601</v>
      </c>
      <c r="Y120" s="309">
        <f t="shared" ref="Y120" si="657">SUM(Y125,Y130,Y135)</f>
        <v>-1574</v>
      </c>
      <c r="Z120" s="309">
        <f t="shared" si="263"/>
        <v>-1460</v>
      </c>
      <c r="AA120" s="309">
        <f t="shared" ref="AA120" si="658">SUM(AA125,AA130,AA135)</f>
        <v>-1786</v>
      </c>
      <c r="AB120" s="310">
        <f t="shared" si="259"/>
        <v>550</v>
      </c>
      <c r="AC120" s="310">
        <f t="shared" ref="AC120:AD120" si="659">SUM(AC125,AC130,AC135)</f>
        <v>-3034</v>
      </c>
      <c r="AD120" s="310">
        <f t="shared" si="659"/>
        <v>-4820</v>
      </c>
      <c r="AE120" s="325">
        <f t="shared" ref="AE120:AJ120" si="660">SUM(AE125,AE130,AE135)</f>
        <v>-4270</v>
      </c>
      <c r="AF120" s="310">
        <f t="shared" si="660"/>
        <v>-639</v>
      </c>
      <c r="AG120" s="310">
        <f>AJ120-AF120</f>
        <v>-1380</v>
      </c>
      <c r="AH120" s="309">
        <f t="shared" si="612"/>
        <v>1801</v>
      </c>
      <c r="AI120" s="310">
        <f t="shared" si="613"/>
        <v>-2664</v>
      </c>
      <c r="AJ120" s="310">
        <f t="shared" si="660"/>
        <v>-2019</v>
      </c>
      <c r="AK120" s="310">
        <f t="shared" ref="AK120:AL120" si="661">SUM(AK125,AK130,AK135)</f>
        <v>-218</v>
      </c>
      <c r="AL120" s="325">
        <f t="shared" si="661"/>
        <v>-2882</v>
      </c>
      <c r="AM120" s="310">
        <f t="shared" ref="AM120:AQ120" si="662">SUM(AM125,AM130,AM135)</f>
        <v>-580</v>
      </c>
      <c r="AN120" s="310">
        <f t="shared" si="261"/>
        <v>-345</v>
      </c>
      <c r="AO120" s="310">
        <f t="shared" si="262"/>
        <v>-1072</v>
      </c>
      <c r="AP120" s="310">
        <f t="shared" si="262"/>
        <v>-555.26995587645388</v>
      </c>
      <c r="AQ120" s="310">
        <f t="shared" si="662"/>
        <v>-925</v>
      </c>
      <c r="AR120" s="310">
        <f t="shared" ref="AR120:AS120" si="663">SUM(AR125,AR130,AR135)</f>
        <v>-1997</v>
      </c>
      <c r="AS120" s="325">
        <f t="shared" si="663"/>
        <v>-2552.2699558764539</v>
      </c>
      <c r="AT120" s="310">
        <f t="shared" ref="AT120:AU120" si="664">SUM(AT125,AT130,AT135)</f>
        <v>-365</v>
      </c>
      <c r="AU120" s="310">
        <f t="shared" si="664"/>
        <v>-428</v>
      </c>
      <c r="AV120" s="310">
        <f t="shared" ref="AV120:AX120" si="665">SUM(AV125,AV130,AV135)</f>
        <v>-369</v>
      </c>
      <c r="AW120" s="310">
        <f t="shared" si="665"/>
        <v>-1335</v>
      </c>
      <c r="AX120" s="310">
        <f t="shared" si="665"/>
        <v>-793</v>
      </c>
      <c r="AY120" s="310">
        <f t="shared" ref="AY120:AZ120" si="666">SUM(AY125,AY130,AY135)</f>
        <v>-1162</v>
      </c>
      <c r="AZ120" s="310">
        <f t="shared" si="666"/>
        <v>-2497</v>
      </c>
      <c r="BA120" s="310">
        <f t="shared" ref="BA120:BD120" si="667">SUM(BA125,BA130,BA135)</f>
        <v>-972</v>
      </c>
      <c r="BB120" s="310">
        <f t="shared" si="667"/>
        <v>-1015</v>
      </c>
      <c r="BC120" s="310">
        <f t="shared" si="667"/>
        <v>-873</v>
      </c>
      <c r="BD120" s="310">
        <f t="shared" si="667"/>
        <v>-885</v>
      </c>
      <c r="BE120" s="310">
        <f t="shared" ref="BE120:BF120" si="668">SUM(BE125,BE130,BE135)</f>
        <v>-1987</v>
      </c>
      <c r="BF120" s="310">
        <f t="shared" si="668"/>
        <v>-2860</v>
      </c>
      <c r="BG120" s="310">
        <f t="shared" ref="BG120:BH120" si="669">SUM(BG125,BG130,BG135)</f>
        <v>-3745</v>
      </c>
      <c r="BH120" s="310">
        <f t="shared" si="669"/>
        <v>-816</v>
      </c>
      <c r="BI120" s="310">
        <f t="shared" ref="BI120:BL120" si="670">SUM(BI125,BI130,BI135)</f>
        <v>-1031</v>
      </c>
      <c r="BJ120" s="310">
        <f t="shared" si="670"/>
        <v>-931</v>
      </c>
      <c r="BK120" s="310">
        <f t="shared" si="670"/>
        <v>-1356</v>
      </c>
      <c r="BL120" s="310">
        <f t="shared" si="670"/>
        <v>-1847</v>
      </c>
      <c r="BM120" s="310">
        <f t="shared" ref="BM120:BN120" si="671">SUM(BM125,BM130,BM135)</f>
        <v>-2778</v>
      </c>
      <c r="BN120" s="310">
        <f t="shared" si="671"/>
        <v>-4134</v>
      </c>
      <c r="BO120" s="310">
        <f t="shared" ref="BO120:BR120" si="672">SUM(BO125,BO130,BO135)</f>
        <v>-1141</v>
      </c>
      <c r="BP120" s="310">
        <f>SUM(BP125,BP130,BP135,BP140)</f>
        <v>-1134</v>
      </c>
      <c r="BQ120" s="310">
        <f t="shared" si="672"/>
        <v>-1266</v>
      </c>
      <c r="BR120" s="310">
        <f t="shared" si="672"/>
        <v>-652</v>
      </c>
      <c r="BS120" s="310">
        <f t="shared" ref="BS120:BU121" si="673">SUM(BS125,BS130,BS135,BS140)</f>
        <v>-2275</v>
      </c>
      <c r="BT120" s="310">
        <f t="shared" si="673"/>
        <v>-3541</v>
      </c>
      <c r="BU120" s="310">
        <f t="shared" si="673"/>
        <v>-4193</v>
      </c>
      <c r="BV120" s="310">
        <f t="shared" ref="BV120:BZ120" si="674">SUM(BV125,BV130,BV135,BV140)</f>
        <v>-949</v>
      </c>
      <c r="BW120" s="310">
        <f t="shared" si="674"/>
        <v>-1137</v>
      </c>
      <c r="BX120" s="310">
        <f t="shared" si="674"/>
        <v>-776</v>
      </c>
      <c r="BY120" s="310">
        <f t="shared" si="674"/>
        <v>-1774</v>
      </c>
      <c r="BZ120" s="310">
        <f t="shared" si="674"/>
        <v>-2086</v>
      </c>
      <c r="CA120" s="310">
        <f t="shared" ref="CA120:CB120" si="675">SUM(CA125,CA130,CA135,CA140)</f>
        <v>-2862</v>
      </c>
      <c r="CB120" s="310">
        <f t="shared" si="675"/>
        <v>-4636</v>
      </c>
      <c r="CC120" s="310">
        <f t="shared" ref="CC120:CD120" si="676">SUM(CC125,CC130,CC135,CC140)</f>
        <v>-927</v>
      </c>
      <c r="CD120" s="310">
        <f t="shared" si="676"/>
        <v>-847</v>
      </c>
      <c r="CE120" s="310">
        <f t="shared" ref="CE120:CG120" si="677">SUM(CE125,CE130,CE135,CE140)</f>
        <v>-1128</v>
      </c>
      <c r="CF120" s="310">
        <f t="shared" si="677"/>
        <v>-1206</v>
      </c>
      <c r="CG120" s="310">
        <f t="shared" si="677"/>
        <v>-1774</v>
      </c>
      <c r="CH120" s="310">
        <f t="shared" ref="CH120:CI120" si="678">SUM(CH125,CH130,CH135,CH140)</f>
        <v>-2902</v>
      </c>
      <c r="CI120" s="310">
        <f t="shared" si="678"/>
        <v>-4108</v>
      </c>
      <c r="CJ120" s="310">
        <v>-1080</v>
      </c>
      <c r="CK120" s="310">
        <f t="shared" ref="CK120:CO120" si="679">SUM(CK125,CK130,CK135,CK140)</f>
        <v>-686</v>
      </c>
      <c r="CL120" s="310">
        <f t="shared" si="679"/>
        <v>0</v>
      </c>
      <c r="CM120" s="310">
        <f t="shared" si="679"/>
        <v>0</v>
      </c>
      <c r="CN120" s="310">
        <f t="shared" si="679"/>
        <v>-1766</v>
      </c>
      <c r="CO120" s="310">
        <f t="shared" si="679"/>
        <v>0</v>
      </c>
    </row>
    <row r="121" spans="1:93" x14ac:dyDescent="0.25">
      <c r="A121" s="362" t="str">
        <f>Language!$G123</f>
        <v>Outros</v>
      </c>
      <c r="B121" s="309">
        <f t="shared" ref="B121:K121" si="680">SUM(B126,B131,B136)</f>
        <v>-22</v>
      </c>
      <c r="C121" s="309">
        <f>SUM(C126,C131,C136)</f>
        <v>-85</v>
      </c>
      <c r="D121" s="309">
        <f t="shared" si="680"/>
        <v>104</v>
      </c>
      <c r="E121" s="325">
        <f t="shared" si="680"/>
        <v>-6</v>
      </c>
      <c r="F121" s="309">
        <f t="shared" si="680"/>
        <v>0</v>
      </c>
      <c r="G121" s="309">
        <f t="shared" si="680"/>
        <v>-2</v>
      </c>
      <c r="H121" s="309">
        <f t="shared" si="680"/>
        <v>-63</v>
      </c>
      <c r="I121" s="325">
        <f t="shared" si="680"/>
        <v>-264</v>
      </c>
      <c r="J121" s="309">
        <f t="shared" si="680"/>
        <v>730</v>
      </c>
      <c r="K121" s="309">
        <f t="shared" si="680"/>
        <v>-362</v>
      </c>
      <c r="L121" s="309">
        <f t="shared" ref="L121:M121" si="681">SUM(L126,L131,L136)</f>
        <v>-1389</v>
      </c>
      <c r="M121" s="325">
        <f t="shared" si="681"/>
        <v>168</v>
      </c>
      <c r="N121" s="309">
        <f t="shared" ref="N121:O121" si="682">SUM(N126,N131,N136)</f>
        <v>-227</v>
      </c>
      <c r="O121" s="309">
        <f t="shared" si="682"/>
        <v>-422</v>
      </c>
      <c r="P121" s="309">
        <f t="shared" ref="P121:Q121" si="683">SUM(P126,P131,P136)</f>
        <v>-398</v>
      </c>
      <c r="Q121" s="325">
        <f t="shared" si="683"/>
        <v>-2463</v>
      </c>
      <c r="R121" s="309">
        <v>-860</v>
      </c>
      <c r="S121" s="309">
        <v>-1039</v>
      </c>
      <c r="T121" s="309">
        <v>-1517</v>
      </c>
      <c r="U121" s="309">
        <v>-1048</v>
      </c>
      <c r="V121" s="309">
        <v>-1899</v>
      </c>
      <c r="W121" s="309">
        <v>-3416</v>
      </c>
      <c r="X121" s="325">
        <v>-4464</v>
      </c>
      <c r="Y121" s="309">
        <f>SUM(Y126,Y131,Y136)</f>
        <v>0</v>
      </c>
      <c r="Z121" s="309">
        <f t="shared" si="263"/>
        <v>0</v>
      </c>
      <c r="AA121" s="309">
        <f t="shared" ref="AA121" si="684">SUM(AA126,AA131,AA136)</f>
        <v>0</v>
      </c>
      <c r="AB121" s="310">
        <f t="shared" si="259"/>
        <v>0</v>
      </c>
      <c r="AC121" s="310">
        <f>SUM(AC126,AC131,AC136)</f>
        <v>0</v>
      </c>
      <c r="AD121" s="310">
        <f>SUM(AD126,AD131,AD136)</f>
        <v>0</v>
      </c>
      <c r="AE121" s="325">
        <f>SUM(AE126,AE131,AE136)</f>
        <v>0</v>
      </c>
      <c r="AF121" s="310">
        <f>SUM(AF126,AF131,AF136)</f>
        <v>0</v>
      </c>
      <c r="AG121" s="310">
        <f>AJ121-AF121</f>
        <v>0</v>
      </c>
      <c r="AH121" s="309">
        <f t="shared" si="612"/>
        <v>-370</v>
      </c>
      <c r="AI121" s="310">
        <f t="shared" si="613"/>
        <v>-151</v>
      </c>
      <c r="AJ121" s="310">
        <f>SUM(AJ126,AJ131,AJ136)</f>
        <v>0</v>
      </c>
      <c r="AK121" s="310">
        <f>SUM(AK126,AK131,AK136)</f>
        <v>-370</v>
      </c>
      <c r="AL121" s="325">
        <f>SUM(AL126,AL131,AL136)</f>
        <v>-521</v>
      </c>
      <c r="AM121" s="310">
        <f>SUM(AM126,AM131,AM136)</f>
        <v>-378</v>
      </c>
      <c r="AN121" s="310">
        <f t="shared" si="261"/>
        <v>-359</v>
      </c>
      <c r="AO121" s="310">
        <f t="shared" si="262"/>
        <v>308</v>
      </c>
      <c r="AP121" s="310">
        <f t="shared" si="262"/>
        <v>-433.73004412354601</v>
      </c>
      <c r="AQ121" s="310">
        <f t="shared" ref="AQ121:BA121" si="685">SUM(AQ126,AQ131,AQ136)</f>
        <v>-737</v>
      </c>
      <c r="AR121" s="310">
        <f t="shared" si="685"/>
        <v>-429</v>
      </c>
      <c r="AS121" s="325">
        <f t="shared" si="685"/>
        <v>-862.73004412354601</v>
      </c>
      <c r="AT121" s="310">
        <f t="shared" si="685"/>
        <v>-320</v>
      </c>
      <c r="AU121" s="310">
        <f t="shared" si="685"/>
        <v>-338</v>
      </c>
      <c r="AV121" s="310">
        <f t="shared" si="685"/>
        <v>-212</v>
      </c>
      <c r="AW121" s="310">
        <f t="shared" si="685"/>
        <v>-70</v>
      </c>
      <c r="AX121" s="310">
        <f t="shared" si="685"/>
        <v>-658</v>
      </c>
      <c r="AY121" s="310">
        <f t="shared" si="685"/>
        <v>-870</v>
      </c>
      <c r="AZ121" s="310">
        <f t="shared" si="685"/>
        <v>-940</v>
      </c>
      <c r="BA121" s="310">
        <f t="shared" si="685"/>
        <v>-22</v>
      </c>
      <c r="BB121" s="310">
        <f t="shared" ref="BB121:BD121" si="686">SUM(BB126,BB131,BB136)</f>
        <v>-30</v>
      </c>
      <c r="BC121" s="310">
        <f t="shared" si="686"/>
        <v>133</v>
      </c>
      <c r="BD121" s="310">
        <f t="shared" si="686"/>
        <v>-22</v>
      </c>
      <c r="BE121" s="310">
        <f>SUM(BE126,BE131,BE136)</f>
        <v>-52</v>
      </c>
      <c r="BF121" s="310">
        <f>SUM(BF126,BF131,BF136)</f>
        <v>81</v>
      </c>
      <c r="BG121" s="310">
        <f>SUM(BG126,BG131,BG136)</f>
        <v>59</v>
      </c>
      <c r="BH121" s="310">
        <f>SUM(BH126,BH131,BH136)</f>
        <v>-22</v>
      </c>
      <c r="BI121" s="310">
        <f t="shared" ref="BI121:BL121" si="687">SUM(BI126,BI131,BI136)</f>
        <v>-46</v>
      </c>
      <c r="BJ121" s="310">
        <f t="shared" si="687"/>
        <v>-50</v>
      </c>
      <c r="BK121" s="310">
        <f t="shared" si="687"/>
        <v>-50</v>
      </c>
      <c r="BL121" s="310">
        <f t="shared" si="687"/>
        <v>-68</v>
      </c>
      <c r="BM121" s="310">
        <f t="shared" ref="BM121:BN121" si="688">SUM(BM126,BM131,BM136)</f>
        <v>-118</v>
      </c>
      <c r="BN121" s="310">
        <f t="shared" si="688"/>
        <v>-168</v>
      </c>
      <c r="BO121" s="310">
        <f t="shared" ref="BO121:BR121" si="689">SUM(BO126,BO131,BO136)</f>
        <v>-124</v>
      </c>
      <c r="BP121" s="310">
        <f>SUM(BP126,BP131,BP136,BP141)</f>
        <v>-137</v>
      </c>
      <c r="BQ121" s="310">
        <f t="shared" si="689"/>
        <v>-179</v>
      </c>
      <c r="BR121" s="310">
        <f t="shared" si="689"/>
        <v>-12</v>
      </c>
      <c r="BS121" s="310">
        <f t="shared" si="673"/>
        <v>-261</v>
      </c>
      <c r="BT121" s="310">
        <f t="shared" si="673"/>
        <v>-451</v>
      </c>
      <c r="BU121" s="310">
        <f t="shared" si="673"/>
        <v>-453</v>
      </c>
      <c r="BV121" s="310">
        <f t="shared" ref="BV121:BY121" si="690">SUM(BV126,BV131,BV136,BV141)</f>
        <v>-65</v>
      </c>
      <c r="BW121" s="310">
        <f t="shared" si="690"/>
        <v>-21</v>
      </c>
      <c r="BX121" s="310">
        <f t="shared" si="690"/>
        <v>-42</v>
      </c>
      <c r="BY121" s="310">
        <f t="shared" si="690"/>
        <v>-14</v>
      </c>
      <c r="BZ121" s="310">
        <f>SUM(BZ126,BZ131,BZ136,BZ141)</f>
        <v>-86</v>
      </c>
      <c r="CA121" s="310">
        <f>SUM(CA126,CA131,CA136,CA141)</f>
        <v>-128</v>
      </c>
      <c r="CB121" s="310">
        <f>SUM(CB126,CB131,CB136,CB141)</f>
        <v>-142</v>
      </c>
      <c r="CC121" s="310">
        <f>SUM(CC126,CC131,CC136,CC141)</f>
        <v>-202</v>
      </c>
      <c r="CD121" s="310">
        <f>SUM(CD126,CD131,CD136,CD141)</f>
        <v>-21</v>
      </c>
      <c r="CE121" s="310">
        <f t="shared" ref="CE121:CF121" si="691">SUM(CE126,CE131,CE136,CE141)</f>
        <v>-29</v>
      </c>
      <c r="CF121" s="310">
        <f t="shared" si="691"/>
        <v>-191</v>
      </c>
      <c r="CG121" s="310">
        <f>SUM(CG126,CG131,CG136,CG141)</f>
        <v>-223</v>
      </c>
      <c r="CH121" s="310">
        <f t="shared" ref="CH121:CI121" si="692">SUM(CH126,CH131,CH136,CH141)</f>
        <v>-252</v>
      </c>
      <c r="CI121" s="310">
        <f t="shared" si="692"/>
        <v>-443</v>
      </c>
      <c r="CJ121" s="310">
        <v>-1792</v>
      </c>
      <c r="CK121" s="310">
        <f t="shared" ref="CK121:CO121" si="693">SUM(CK126,CK131,CK136,CK141)</f>
        <v>-1167</v>
      </c>
      <c r="CL121" s="310">
        <f t="shared" si="693"/>
        <v>0</v>
      </c>
      <c r="CM121" s="310">
        <f t="shared" si="693"/>
        <v>0</v>
      </c>
      <c r="CN121" s="310">
        <f t="shared" si="693"/>
        <v>-2959</v>
      </c>
      <c r="CO121" s="310">
        <f t="shared" si="693"/>
        <v>0</v>
      </c>
    </row>
    <row r="122" spans="1:93" x14ac:dyDescent="0.25">
      <c r="A122" s="363" t="str">
        <f>Language!$G124</f>
        <v>Gerais e Administrativas</v>
      </c>
      <c r="B122" s="364">
        <f t="shared" ref="B122" si="694">SUM(B123,B124,B125,B126)</f>
        <v>-1141</v>
      </c>
      <c r="C122" s="364">
        <f t="shared" ref="C122" si="695">SUM(C123,C124,C125,C126)</f>
        <v>-1852</v>
      </c>
      <c r="D122" s="364">
        <f t="shared" ref="D122" si="696">SUM(D123,D124,D125,D126)</f>
        <v>-2448</v>
      </c>
      <c r="E122" s="365">
        <f t="shared" ref="E122" si="697">SUM(E123,E124,E125,E126)</f>
        <v>101</v>
      </c>
      <c r="F122" s="364">
        <f t="shared" ref="F122" si="698">SUM(F123,F124,F125,F126)</f>
        <v>-1314</v>
      </c>
      <c r="G122" s="364">
        <f t="shared" ref="G122" si="699">SUM(G123,G124,G125,G126)</f>
        <v>-2724</v>
      </c>
      <c r="H122" s="364">
        <f t="shared" ref="H122" si="700">SUM(H123,H124,H125,H126)</f>
        <v>-1268</v>
      </c>
      <c r="I122" s="365">
        <f t="shared" ref="I122" si="701">SUM(I123,I124,I125,I126)</f>
        <v>-2253</v>
      </c>
      <c r="J122" s="364">
        <f t="shared" ref="J122" si="702">SUM(J123,J124,J125,J126)</f>
        <v>-1627</v>
      </c>
      <c r="K122" s="364">
        <f t="shared" ref="K122" si="703">SUM(K123,K124,K125,K126)</f>
        <v>-1886</v>
      </c>
      <c r="L122" s="364">
        <f t="shared" ref="L122" si="704">SUM(L123,L124,L125,L126)</f>
        <v>-1822</v>
      </c>
      <c r="M122" s="365">
        <f t="shared" ref="M122" si="705">SUM(M123,M124,M125,M126)</f>
        <v>-3791</v>
      </c>
      <c r="N122" s="364">
        <f t="shared" ref="N122" si="706">SUM(N123,N124,N125,N126)</f>
        <v>-3792</v>
      </c>
      <c r="O122" s="364">
        <f t="shared" ref="O122" si="707">SUM(O123,O124,O125,O126)</f>
        <v>-3675</v>
      </c>
      <c r="P122" s="364">
        <f t="shared" ref="P122" si="708">SUM(P123,P124,P125,P126)</f>
        <v>-4036</v>
      </c>
      <c r="Q122" s="365">
        <f t="shared" ref="Q122" si="709">SUM(Q123,Q124,Q125,Q126)</f>
        <v>-10655</v>
      </c>
      <c r="R122" s="364">
        <v>-4872</v>
      </c>
      <c r="S122" s="364">
        <v>-3759</v>
      </c>
      <c r="T122" s="364">
        <v>-3794</v>
      </c>
      <c r="U122" s="364">
        <v>-3720</v>
      </c>
      <c r="V122" s="364">
        <v>-8631</v>
      </c>
      <c r="W122" s="364">
        <v>-12425</v>
      </c>
      <c r="X122" s="365">
        <v>-16145</v>
      </c>
      <c r="Y122" s="364">
        <f>SUM(Y123,Y124,Y125,Y126)</f>
        <v>-1408</v>
      </c>
      <c r="Z122" s="364">
        <f>SUM(Z123,Z124,Z125,Z126)</f>
        <v>-1276</v>
      </c>
      <c r="AA122" s="364">
        <f t="shared" ref="AA122:AB122" si="710">SUM(AA123,AA124,AA125,AA126)</f>
        <v>-1603</v>
      </c>
      <c r="AB122" s="364">
        <f t="shared" si="710"/>
        <v>237</v>
      </c>
      <c r="AC122" s="364">
        <f t="shared" ref="AC122:AJ122" si="711">SUM(AC123,AC124,AC125,AC126)</f>
        <v>-2684</v>
      </c>
      <c r="AD122" s="364">
        <f t="shared" si="711"/>
        <v>-4287</v>
      </c>
      <c r="AE122" s="365">
        <f t="shared" si="711"/>
        <v>-4050</v>
      </c>
      <c r="AF122" s="364">
        <f t="shared" si="711"/>
        <v>-568</v>
      </c>
      <c r="AG122" s="364">
        <f t="shared" si="711"/>
        <v>-1332</v>
      </c>
      <c r="AH122" s="364">
        <f t="shared" si="711"/>
        <v>1535</v>
      </c>
      <c r="AI122" s="364">
        <f t="shared" si="711"/>
        <v>-2839</v>
      </c>
      <c r="AJ122" s="364">
        <f t="shared" si="711"/>
        <v>-1900</v>
      </c>
      <c r="AK122" s="364">
        <f t="shared" ref="AK122" si="712">SUM(AK123,AK124,AK125,AK126)</f>
        <v>-365</v>
      </c>
      <c r="AL122" s="365">
        <v>-2196</v>
      </c>
      <c r="AM122" s="364">
        <f>SUM(AM123:AM126)</f>
        <v>-895</v>
      </c>
      <c r="AN122" s="364">
        <f t="shared" si="261"/>
        <v>-641</v>
      </c>
      <c r="AO122" s="364">
        <f t="shared" si="262"/>
        <v>-702</v>
      </c>
      <c r="AP122" s="364">
        <f t="shared" si="262"/>
        <v>-1076</v>
      </c>
      <c r="AQ122" s="364">
        <f t="shared" ref="AQ122:BA122" si="713">SUM(AQ123:AQ126)</f>
        <v>-1536</v>
      </c>
      <c r="AR122" s="364">
        <f t="shared" si="713"/>
        <v>-2238</v>
      </c>
      <c r="AS122" s="365">
        <f t="shared" si="713"/>
        <v>-3314</v>
      </c>
      <c r="AT122" s="364">
        <f t="shared" si="713"/>
        <v>-626</v>
      </c>
      <c r="AU122" s="364">
        <f t="shared" si="713"/>
        <v>-708</v>
      </c>
      <c r="AV122" s="364">
        <f t="shared" si="713"/>
        <v>-520</v>
      </c>
      <c r="AW122" s="364">
        <f t="shared" si="713"/>
        <v>-1329</v>
      </c>
      <c r="AX122" s="364">
        <f t="shared" si="713"/>
        <v>-1334</v>
      </c>
      <c r="AY122" s="364">
        <f t="shared" si="713"/>
        <v>-1854</v>
      </c>
      <c r="AZ122" s="364">
        <f t="shared" si="713"/>
        <v>-3183</v>
      </c>
      <c r="BA122" s="364">
        <f t="shared" si="713"/>
        <v>-887</v>
      </c>
      <c r="BB122" s="364">
        <f t="shared" ref="BB122:BD122" si="714">SUM(BB123:BB126)</f>
        <v>-956</v>
      </c>
      <c r="BC122" s="364">
        <f t="shared" si="714"/>
        <v>-652</v>
      </c>
      <c r="BD122" s="364">
        <f t="shared" si="714"/>
        <v>-820</v>
      </c>
      <c r="BE122" s="364">
        <f>SUM(BE123:BE126)</f>
        <v>-1843</v>
      </c>
      <c r="BF122" s="364">
        <f>SUM(BF123:BF126)</f>
        <v>-2495</v>
      </c>
      <c r="BG122" s="364">
        <f>SUM(BG123:BG126)</f>
        <v>-3315</v>
      </c>
      <c r="BH122" s="364">
        <f>SUM(BH123:BH126)</f>
        <v>-675</v>
      </c>
      <c r="BI122" s="364">
        <f t="shared" ref="BI122:BL122" si="715">SUM(BI123:BI126)</f>
        <v>-983</v>
      </c>
      <c r="BJ122" s="364">
        <f t="shared" si="715"/>
        <v>-852</v>
      </c>
      <c r="BK122" s="364">
        <f t="shared" si="715"/>
        <v>-1240</v>
      </c>
      <c r="BL122" s="364">
        <f t="shared" si="715"/>
        <v>-1658</v>
      </c>
      <c r="BM122" s="364">
        <f t="shared" ref="BM122:BN122" si="716">SUM(BM123:BM126)</f>
        <v>-2510</v>
      </c>
      <c r="BN122" s="364">
        <f t="shared" si="716"/>
        <v>-3750</v>
      </c>
      <c r="BO122" s="364">
        <f t="shared" ref="BO122:BS122" si="717">SUM(BO123:BO126)</f>
        <v>-975</v>
      </c>
      <c r="BP122" s="364">
        <f t="shared" si="717"/>
        <v>-1144</v>
      </c>
      <c r="BQ122" s="364">
        <f t="shared" si="717"/>
        <v>-1289</v>
      </c>
      <c r="BR122" s="364">
        <f t="shared" si="717"/>
        <v>-1087</v>
      </c>
      <c r="BS122" s="364">
        <f t="shared" si="717"/>
        <v>-2119</v>
      </c>
      <c r="BT122" s="364">
        <f t="shared" ref="BT122:BU122" si="718">SUM(BT123:BT126)</f>
        <v>-3408</v>
      </c>
      <c r="BU122" s="364">
        <f t="shared" si="718"/>
        <v>-4495</v>
      </c>
      <c r="BV122" s="364">
        <f t="shared" ref="BV122:BZ122" si="719">SUM(BV123:BV126)</f>
        <v>-975</v>
      </c>
      <c r="BW122" s="364">
        <f t="shared" si="719"/>
        <v>-1117</v>
      </c>
      <c r="BX122" s="364">
        <f t="shared" si="719"/>
        <v>-776</v>
      </c>
      <c r="BY122" s="364">
        <f t="shared" si="719"/>
        <v>-1747</v>
      </c>
      <c r="BZ122" s="364">
        <f t="shared" si="719"/>
        <v>-2092</v>
      </c>
      <c r="CA122" s="364">
        <f t="shared" ref="CA122:CB122" si="720">SUM(CA123:CA126)</f>
        <v>-2868</v>
      </c>
      <c r="CB122" s="364">
        <f t="shared" si="720"/>
        <v>-4615</v>
      </c>
      <c r="CC122" s="364">
        <f t="shared" ref="CC122:CD122" si="721">SUM(CC123:CC126)</f>
        <v>-1069</v>
      </c>
      <c r="CD122" s="364">
        <f t="shared" si="721"/>
        <v>-808</v>
      </c>
      <c r="CE122" s="364">
        <f t="shared" ref="CE122:CG122" si="722">SUM(CE123:CE126)</f>
        <v>-1096</v>
      </c>
      <c r="CF122" s="364">
        <f t="shared" si="722"/>
        <v>-1349</v>
      </c>
      <c r="CG122" s="364">
        <f t="shared" si="722"/>
        <v>-1877</v>
      </c>
      <c r="CH122" s="364">
        <f t="shared" ref="CH122:CI122" si="723">SUM(CH123:CH126)</f>
        <v>-2973</v>
      </c>
      <c r="CI122" s="364">
        <f t="shared" si="723"/>
        <v>-4322</v>
      </c>
      <c r="CJ122" s="364">
        <v>-2827</v>
      </c>
      <c r="CK122" s="364">
        <f t="shared" ref="CK122:CO122" si="724">SUM(CK123:CK126)</f>
        <v>-1812</v>
      </c>
      <c r="CL122" s="364">
        <f t="shared" si="724"/>
        <v>0</v>
      </c>
      <c r="CM122" s="364">
        <f t="shared" si="724"/>
        <v>0</v>
      </c>
      <c r="CN122" s="364">
        <f t="shared" si="724"/>
        <v>-4639</v>
      </c>
      <c r="CO122" s="364">
        <f t="shared" si="724"/>
        <v>0</v>
      </c>
    </row>
    <row r="123" spans="1:93" x14ac:dyDescent="0.25">
      <c r="A123" s="341" t="str">
        <f>Language!$G125</f>
        <v>Rio Verde</v>
      </c>
      <c r="B123" s="322">
        <v>-752</v>
      </c>
      <c r="C123" s="322">
        <v>-956</v>
      </c>
      <c r="D123" s="322">
        <v>-830</v>
      </c>
      <c r="E123" s="321">
        <v>-1577</v>
      </c>
      <c r="F123" s="322">
        <v>-880</v>
      </c>
      <c r="G123" s="322">
        <v>-2273</v>
      </c>
      <c r="H123" s="322">
        <v>-910</v>
      </c>
      <c r="I123" s="321">
        <v>-1396</v>
      </c>
      <c r="J123" s="322">
        <v>-779</v>
      </c>
      <c r="K123" s="322">
        <v>-1043</v>
      </c>
      <c r="L123" s="322">
        <v>-934</v>
      </c>
      <c r="M123" s="321">
        <v>-3327</v>
      </c>
      <c r="N123" s="322">
        <v>-1913</v>
      </c>
      <c r="O123" s="322">
        <v>-2022</v>
      </c>
      <c r="P123" s="322">
        <v>-2665</v>
      </c>
      <c r="Q123" s="321">
        <v>-3455</v>
      </c>
      <c r="R123" s="322">
        <v>-1985</v>
      </c>
      <c r="S123" s="322">
        <v>-1128</v>
      </c>
      <c r="T123" s="322">
        <v>-1238</v>
      </c>
      <c r="U123" s="322">
        <v>-688</v>
      </c>
      <c r="V123" s="322">
        <v>-3113</v>
      </c>
      <c r="W123" s="322">
        <v>-4351</v>
      </c>
      <c r="X123" s="321">
        <v>-5039</v>
      </c>
      <c r="Y123" s="322">
        <v>0</v>
      </c>
      <c r="Z123" s="322">
        <f t="shared" si="263"/>
        <v>0</v>
      </c>
      <c r="AA123" s="322">
        <f t="shared" ref="AA123:AA126" si="725">AD123-Z123-Y123</f>
        <v>0</v>
      </c>
      <c r="AB123" s="322">
        <f t="shared" si="259"/>
        <v>0</v>
      </c>
      <c r="AC123" s="322">
        <v>0</v>
      </c>
      <c r="AD123" s="322">
        <v>0</v>
      </c>
      <c r="AE123" s="321">
        <v>0</v>
      </c>
      <c r="AF123" s="322">
        <v>0</v>
      </c>
      <c r="AG123" s="322">
        <f>AJ123-AF123</f>
        <v>0</v>
      </c>
      <c r="AH123" s="322">
        <f t="shared" ref="AH123:AH126" si="726">AK123-AG123-AF123</f>
        <v>0</v>
      </c>
      <c r="AI123" s="322">
        <f t="shared" ref="AI123:AI126" si="727">AL123-AF123-AG123-AH123</f>
        <v>0</v>
      </c>
      <c r="AJ123" s="322">
        <v>0</v>
      </c>
      <c r="AK123" s="322">
        <v>0</v>
      </c>
      <c r="AL123" s="321"/>
      <c r="AM123" s="322">
        <v>0</v>
      </c>
      <c r="AN123" s="322">
        <f t="shared" si="261"/>
        <v>0</v>
      </c>
      <c r="AO123" s="322">
        <f t="shared" si="262"/>
        <v>0</v>
      </c>
      <c r="AP123" s="322">
        <f t="shared" si="262"/>
        <v>0</v>
      </c>
      <c r="AQ123" s="322">
        <v>0</v>
      </c>
      <c r="AR123" s="322"/>
      <c r="AS123" s="321"/>
      <c r="AT123" s="322"/>
      <c r="AU123" s="322"/>
      <c r="AV123" s="322"/>
      <c r="AW123" s="322"/>
      <c r="AX123" s="322"/>
      <c r="AY123" s="322"/>
      <c r="AZ123" s="322"/>
      <c r="BA123" s="322"/>
      <c r="BB123" s="322"/>
      <c r="BC123" s="322"/>
      <c r="BD123" s="322"/>
      <c r="BE123" s="322"/>
      <c r="BF123" s="322"/>
      <c r="BG123" s="322"/>
      <c r="BH123" s="322"/>
      <c r="BI123" s="322"/>
      <c r="BJ123" s="322"/>
      <c r="BK123" s="322"/>
      <c r="BL123" s="322"/>
      <c r="BM123" s="322"/>
      <c r="BN123" s="322"/>
      <c r="BO123" s="322"/>
      <c r="BP123" s="322"/>
      <c r="BQ123" s="322"/>
      <c r="BR123" s="322"/>
      <c r="BS123" s="322"/>
      <c r="BT123" s="322"/>
      <c r="BU123" s="322"/>
      <c r="BV123" s="322"/>
      <c r="BW123" s="322"/>
      <c r="BX123" s="322"/>
      <c r="BY123" s="322"/>
      <c r="BZ123" s="322"/>
      <c r="CA123" s="322"/>
      <c r="CB123" s="322"/>
      <c r="CC123" s="322"/>
      <c r="CD123" s="322"/>
      <c r="CE123" s="322"/>
      <c r="CF123" s="322"/>
      <c r="CG123" s="322"/>
      <c r="CH123" s="322"/>
      <c r="CI123" s="322"/>
      <c r="CJ123" s="322"/>
      <c r="CK123" s="322"/>
      <c r="CL123" s="322"/>
      <c r="CM123" s="322"/>
      <c r="CN123" s="322"/>
      <c r="CO123" s="322"/>
    </row>
    <row r="124" spans="1:93" x14ac:dyDescent="0.25">
      <c r="A124" s="341" t="str">
        <f>Language!$G126</f>
        <v>Rio Canoas</v>
      </c>
      <c r="B124" s="322">
        <v>-367</v>
      </c>
      <c r="C124" s="322">
        <v>-811</v>
      </c>
      <c r="D124" s="322">
        <v>-1722</v>
      </c>
      <c r="E124" s="321">
        <v>1684</v>
      </c>
      <c r="F124" s="322">
        <v>-434</v>
      </c>
      <c r="G124" s="322">
        <v>-449</v>
      </c>
      <c r="H124" s="322">
        <v>-295</v>
      </c>
      <c r="I124" s="321">
        <v>-593</v>
      </c>
      <c r="J124" s="322">
        <v>-547</v>
      </c>
      <c r="K124" s="322">
        <v>-481</v>
      </c>
      <c r="L124" s="322">
        <v>-530</v>
      </c>
      <c r="M124" s="321">
        <v>-632</v>
      </c>
      <c r="N124" s="322">
        <v>-1652</v>
      </c>
      <c r="O124" s="322">
        <v>-1231</v>
      </c>
      <c r="P124" s="322">
        <v>-974</v>
      </c>
      <c r="Q124" s="321">
        <v>-4614</v>
      </c>
      <c r="R124" s="322">
        <v>-1788</v>
      </c>
      <c r="S124" s="322">
        <v>-1081</v>
      </c>
      <c r="T124" s="322">
        <v>-1340</v>
      </c>
      <c r="U124" s="322">
        <v>-752</v>
      </c>
      <c r="V124" s="322">
        <v>-2869</v>
      </c>
      <c r="W124" s="322">
        <v>-4209</v>
      </c>
      <c r="X124" s="321">
        <v>-4961</v>
      </c>
      <c r="Y124" s="322">
        <v>0</v>
      </c>
      <c r="Z124" s="322">
        <f t="shared" si="263"/>
        <v>0</v>
      </c>
      <c r="AA124" s="322">
        <f t="shared" si="725"/>
        <v>0</v>
      </c>
      <c r="AB124" s="322">
        <f t="shared" si="259"/>
        <v>0</v>
      </c>
      <c r="AC124" s="322">
        <v>0</v>
      </c>
      <c r="AD124" s="322">
        <v>0</v>
      </c>
      <c r="AE124" s="321">
        <v>0</v>
      </c>
      <c r="AF124" s="322">
        <v>0</v>
      </c>
      <c r="AG124" s="322">
        <f>AJ124-AF124</f>
        <v>0</v>
      </c>
      <c r="AH124" s="322">
        <f t="shared" si="726"/>
        <v>0</v>
      </c>
      <c r="AI124" s="322">
        <f t="shared" si="727"/>
        <v>0</v>
      </c>
      <c r="AJ124" s="322">
        <v>0</v>
      </c>
      <c r="AK124" s="322">
        <v>0</v>
      </c>
      <c r="AL124" s="321">
        <v>0</v>
      </c>
      <c r="AM124" s="322">
        <v>0</v>
      </c>
      <c r="AN124" s="322">
        <f t="shared" si="261"/>
        <v>0</v>
      </c>
      <c r="AO124" s="322">
        <f t="shared" si="262"/>
        <v>0</v>
      </c>
      <c r="AP124" s="322">
        <f t="shared" si="262"/>
        <v>0</v>
      </c>
      <c r="AQ124" s="322">
        <v>0</v>
      </c>
      <c r="AR124" s="322"/>
      <c r="AS124" s="321"/>
      <c r="AT124" s="322"/>
      <c r="AU124" s="322"/>
      <c r="AV124" s="322"/>
      <c r="AW124" s="322"/>
      <c r="AX124" s="322"/>
      <c r="AY124" s="322"/>
      <c r="AZ124" s="322"/>
      <c r="BA124" s="322"/>
      <c r="BB124" s="322"/>
      <c r="BC124" s="322"/>
      <c r="BD124" s="322"/>
      <c r="BE124" s="322"/>
      <c r="BF124" s="322"/>
      <c r="BG124" s="322"/>
      <c r="BH124" s="322"/>
      <c r="BI124" s="322"/>
      <c r="BJ124" s="322"/>
      <c r="BK124" s="322"/>
      <c r="BL124" s="322"/>
      <c r="BM124" s="322"/>
      <c r="BN124" s="322"/>
      <c r="BO124" s="322"/>
      <c r="BP124" s="322"/>
      <c r="BQ124" s="322"/>
      <c r="BR124" s="322"/>
      <c r="BS124" s="322"/>
      <c r="BT124" s="322"/>
      <c r="BU124" s="322"/>
      <c r="BV124" s="322"/>
      <c r="BW124" s="322"/>
      <c r="BX124" s="322"/>
      <c r="BY124" s="322"/>
      <c r="BZ124" s="322"/>
      <c r="CA124" s="322"/>
      <c r="CB124" s="322"/>
      <c r="CC124" s="322"/>
      <c r="CD124" s="322"/>
      <c r="CE124" s="322"/>
      <c r="CF124" s="322"/>
      <c r="CG124" s="322"/>
      <c r="CH124" s="322"/>
      <c r="CI124" s="322"/>
      <c r="CJ124" s="322"/>
      <c r="CK124" s="322"/>
      <c r="CL124" s="322"/>
      <c r="CM124" s="322"/>
      <c r="CN124" s="322"/>
      <c r="CO124" s="322"/>
    </row>
    <row r="125" spans="1:93" x14ac:dyDescent="0.25">
      <c r="A125" s="341" t="str">
        <f>Language!$G127</f>
        <v>Tijoá</v>
      </c>
      <c r="B125" s="322">
        <v>0</v>
      </c>
      <c r="C125" s="322">
        <v>0</v>
      </c>
      <c r="D125" s="322">
        <v>0</v>
      </c>
      <c r="E125" s="321">
        <v>0</v>
      </c>
      <c r="F125" s="322">
        <v>0</v>
      </c>
      <c r="G125" s="322">
        <v>0</v>
      </c>
      <c r="H125" s="322">
        <v>0</v>
      </c>
      <c r="I125" s="321">
        <v>0</v>
      </c>
      <c r="J125" s="322">
        <v>0</v>
      </c>
      <c r="K125" s="322">
        <v>0</v>
      </c>
      <c r="L125" s="322">
        <v>0</v>
      </c>
      <c r="M125" s="321">
        <v>0</v>
      </c>
      <c r="N125" s="322">
        <v>0</v>
      </c>
      <c r="O125" s="322">
        <v>0</v>
      </c>
      <c r="P125" s="322">
        <v>0</v>
      </c>
      <c r="Q125" s="321">
        <v>0</v>
      </c>
      <c r="R125" s="322">
        <v>-239</v>
      </c>
      <c r="S125" s="322">
        <v>-518</v>
      </c>
      <c r="T125" s="322">
        <v>-576</v>
      </c>
      <c r="U125" s="322">
        <v>-1395</v>
      </c>
      <c r="V125" s="322">
        <v>-757</v>
      </c>
      <c r="W125" s="322">
        <v>-1333</v>
      </c>
      <c r="X125" s="321">
        <v>-2728</v>
      </c>
      <c r="Y125" s="322">
        <v>-1408</v>
      </c>
      <c r="Z125" s="322">
        <f t="shared" si="263"/>
        <v>-1276</v>
      </c>
      <c r="AA125" s="322">
        <f t="shared" si="725"/>
        <v>-1603</v>
      </c>
      <c r="AB125" s="322">
        <f t="shared" si="259"/>
        <v>237</v>
      </c>
      <c r="AC125" s="322">
        <v>-2684</v>
      </c>
      <c r="AD125" s="322">
        <v>-4287</v>
      </c>
      <c r="AE125" s="321">
        <v>-4050</v>
      </c>
      <c r="AF125" s="322">
        <v>-568</v>
      </c>
      <c r="AG125" s="322">
        <f>AJ125-AF125</f>
        <v>-1332</v>
      </c>
      <c r="AH125" s="322">
        <f t="shared" si="726"/>
        <v>1905</v>
      </c>
      <c r="AI125" s="322">
        <f t="shared" si="727"/>
        <v>-2688</v>
      </c>
      <c r="AJ125" s="322">
        <v>-1900</v>
      </c>
      <c r="AK125" s="322">
        <v>5</v>
      </c>
      <c r="AL125" s="321">
        <v>-2683</v>
      </c>
      <c r="AM125" s="322">
        <v>-517</v>
      </c>
      <c r="AN125" s="322">
        <f t="shared" si="261"/>
        <v>-282</v>
      </c>
      <c r="AO125" s="322">
        <f t="shared" si="262"/>
        <v>-1010</v>
      </c>
      <c r="AP125" s="322">
        <f t="shared" si="262"/>
        <v>-642.26995587645388</v>
      </c>
      <c r="AQ125" s="322">
        <v>-799</v>
      </c>
      <c r="AR125" s="322">
        <v>-1809</v>
      </c>
      <c r="AS125" s="321">
        <v>-2451.2699558764539</v>
      </c>
      <c r="AT125" s="322">
        <v>-306</v>
      </c>
      <c r="AU125" s="322">
        <f>AX125-AT125</f>
        <v>-370</v>
      </c>
      <c r="AV125" s="322">
        <f>AY125-AX125</f>
        <v>-308</v>
      </c>
      <c r="AW125" s="322">
        <f>AZ125-AY125</f>
        <v>-1259</v>
      </c>
      <c r="AX125" s="322">
        <v>-676</v>
      </c>
      <c r="AY125" s="322">
        <v>-984</v>
      </c>
      <c r="AZ125" s="322">
        <v>-2243</v>
      </c>
      <c r="BA125" s="322">
        <v>-865</v>
      </c>
      <c r="BB125" s="353">
        <f>BE125-BA125</f>
        <v>-926</v>
      </c>
      <c r="BC125" s="322">
        <f>BF125-BE125</f>
        <v>-785</v>
      </c>
      <c r="BD125" s="322">
        <f>BG125-BF125</f>
        <v>-798</v>
      </c>
      <c r="BE125" s="322">
        <v>-1791</v>
      </c>
      <c r="BF125" s="322">
        <v>-2576</v>
      </c>
      <c r="BG125" s="322">
        <v>-3374</v>
      </c>
      <c r="BH125" s="322">
        <v>-653</v>
      </c>
      <c r="BI125" s="322">
        <f>BL125-BH125</f>
        <v>-937</v>
      </c>
      <c r="BJ125" s="322">
        <f>BM125-BL125</f>
        <v>-802</v>
      </c>
      <c r="BK125" s="322">
        <f>BN125-BM125</f>
        <v>-1190</v>
      </c>
      <c r="BL125" s="322">
        <v>-1590</v>
      </c>
      <c r="BM125" s="322">
        <v>-2392</v>
      </c>
      <c r="BN125" s="322">
        <v>-3582</v>
      </c>
      <c r="BO125" s="322">
        <v>-851</v>
      </c>
      <c r="BP125" s="322">
        <f>BS125-BO125</f>
        <v>-986</v>
      </c>
      <c r="BQ125" s="322">
        <f>BT125-BS125</f>
        <v>-1120</v>
      </c>
      <c r="BR125" s="322">
        <f>BU125-BT125</f>
        <v>-1075</v>
      </c>
      <c r="BS125" s="322">
        <v>-1837</v>
      </c>
      <c r="BT125" s="322">
        <v>-2957</v>
      </c>
      <c r="BU125" s="322">
        <v>-4032</v>
      </c>
      <c r="BV125" s="322">
        <v>-910</v>
      </c>
      <c r="BW125" s="322">
        <f>BZ125-BV125</f>
        <v>-1096</v>
      </c>
      <c r="BX125" s="322">
        <f>CA125-BZ125</f>
        <v>-734</v>
      </c>
      <c r="BY125" s="322">
        <f>CB125-CA125</f>
        <v>-1733</v>
      </c>
      <c r="BZ125" s="322">
        <v>-2006</v>
      </c>
      <c r="CA125" s="322">
        <v>-2740</v>
      </c>
      <c r="CB125" s="322">
        <v>-4473</v>
      </c>
      <c r="CC125" s="322">
        <v>-867</v>
      </c>
      <c r="CD125" s="322">
        <f>CG125-CC125</f>
        <v>-787</v>
      </c>
      <c r="CE125" s="322">
        <f>CH125-CG125</f>
        <v>-1067</v>
      </c>
      <c r="CF125" s="322">
        <f>CI125-CH125</f>
        <v>-1158</v>
      </c>
      <c r="CG125" s="322">
        <v>-1654</v>
      </c>
      <c r="CH125" s="322">
        <v>-2721</v>
      </c>
      <c r="CI125" s="322">
        <v>-3879</v>
      </c>
      <c r="CJ125" s="322">
        <v>-1035</v>
      </c>
      <c r="CK125" s="322">
        <f>CN125-CJ125</f>
        <v>-645</v>
      </c>
      <c r="CL125" s="322"/>
      <c r="CM125" s="322"/>
      <c r="CN125" s="322">
        <v>-1680</v>
      </c>
      <c r="CO125" s="322"/>
    </row>
    <row r="126" spans="1:93" x14ac:dyDescent="0.25">
      <c r="A126" s="362" t="str">
        <f>Language!$G128</f>
        <v>Outros</v>
      </c>
      <c r="B126" s="322">
        <v>-22</v>
      </c>
      <c r="C126" s="322">
        <v>-85</v>
      </c>
      <c r="D126" s="322">
        <v>104</v>
      </c>
      <c r="E126" s="321">
        <v>-6</v>
      </c>
      <c r="F126" s="322">
        <v>0</v>
      </c>
      <c r="G126" s="322">
        <v>-2</v>
      </c>
      <c r="H126" s="322">
        <v>-63</v>
      </c>
      <c r="I126" s="321">
        <v>-264</v>
      </c>
      <c r="J126" s="322">
        <v>-301</v>
      </c>
      <c r="K126" s="322">
        <v>-362</v>
      </c>
      <c r="L126" s="322">
        <v>-358</v>
      </c>
      <c r="M126" s="321">
        <v>168</v>
      </c>
      <c r="N126" s="322">
        <v>-227</v>
      </c>
      <c r="O126" s="322">
        <v>-422</v>
      </c>
      <c r="P126" s="322">
        <v>-397</v>
      </c>
      <c r="Q126" s="321">
        <v>-2586</v>
      </c>
      <c r="R126" s="322">
        <v>-860</v>
      </c>
      <c r="S126" s="322">
        <v>-1032</v>
      </c>
      <c r="T126" s="322">
        <v>-640</v>
      </c>
      <c r="U126" s="322">
        <v>-885</v>
      </c>
      <c r="V126" s="322">
        <v>-1892</v>
      </c>
      <c r="W126" s="322">
        <v>-2532</v>
      </c>
      <c r="X126" s="321">
        <v>-3417</v>
      </c>
      <c r="Y126" s="322">
        <v>0</v>
      </c>
      <c r="Z126" s="322">
        <f t="shared" si="263"/>
        <v>0</v>
      </c>
      <c r="AA126" s="322">
        <f t="shared" si="725"/>
        <v>0</v>
      </c>
      <c r="AB126" s="322">
        <f t="shared" si="259"/>
        <v>0</v>
      </c>
      <c r="AC126" s="322">
        <v>0</v>
      </c>
      <c r="AD126" s="322">
        <v>0</v>
      </c>
      <c r="AE126" s="321">
        <v>0</v>
      </c>
      <c r="AF126" s="322">
        <v>0</v>
      </c>
      <c r="AG126" s="322">
        <f>AJ126-AF126</f>
        <v>0</v>
      </c>
      <c r="AH126" s="322">
        <f t="shared" si="726"/>
        <v>-370</v>
      </c>
      <c r="AI126" s="322">
        <f t="shared" si="727"/>
        <v>-151</v>
      </c>
      <c r="AJ126" s="322"/>
      <c r="AK126" s="322">
        <v>-370</v>
      </c>
      <c r="AL126" s="321">
        <v>-521</v>
      </c>
      <c r="AM126" s="322">
        <v>-378</v>
      </c>
      <c r="AN126" s="322">
        <f t="shared" si="261"/>
        <v>-359</v>
      </c>
      <c r="AO126" s="322">
        <f t="shared" si="262"/>
        <v>308</v>
      </c>
      <c r="AP126" s="322">
        <f t="shared" si="262"/>
        <v>-433.73004412354601</v>
      </c>
      <c r="AQ126" s="322">
        <v>-737</v>
      </c>
      <c r="AR126" s="322">
        <v>-429</v>
      </c>
      <c r="AS126" s="321">
        <v>-862.73004412354601</v>
      </c>
      <c r="AT126" s="322">
        <v>-320</v>
      </c>
      <c r="AU126" s="322">
        <f>AX126-AT126</f>
        <v>-338</v>
      </c>
      <c r="AV126" s="322">
        <f>AY126-AX126</f>
        <v>-212</v>
      </c>
      <c r="AW126" s="322">
        <f>AZ126-AY126</f>
        <v>-70</v>
      </c>
      <c r="AX126" s="322">
        <v>-658</v>
      </c>
      <c r="AY126" s="322">
        <v>-870</v>
      </c>
      <c r="AZ126" s="322">
        <v>-940</v>
      </c>
      <c r="BA126" s="322">
        <v>-22</v>
      </c>
      <c r="BB126" s="353">
        <f>BE126-BA126</f>
        <v>-30</v>
      </c>
      <c r="BC126" s="322">
        <f>BF126-BE126</f>
        <v>133</v>
      </c>
      <c r="BD126" s="322">
        <f>BG126-BF126</f>
        <v>-22</v>
      </c>
      <c r="BE126" s="322">
        <v>-52</v>
      </c>
      <c r="BF126" s="322">
        <v>81</v>
      </c>
      <c r="BG126" s="322">
        <v>59</v>
      </c>
      <c r="BH126" s="322">
        <v>-22</v>
      </c>
      <c r="BI126" s="322">
        <f>BL126-BH126</f>
        <v>-46</v>
      </c>
      <c r="BJ126" s="322">
        <f>BM126-BL126</f>
        <v>-50</v>
      </c>
      <c r="BK126" s="322">
        <f>BN126-BM126</f>
        <v>-50</v>
      </c>
      <c r="BL126" s="322">
        <v>-68</v>
      </c>
      <c r="BM126" s="322">
        <v>-118</v>
      </c>
      <c r="BN126" s="322">
        <v>-168</v>
      </c>
      <c r="BO126" s="322">
        <v>-124</v>
      </c>
      <c r="BP126" s="322">
        <f>BS126-BO126</f>
        <v>-158</v>
      </c>
      <c r="BQ126" s="322">
        <f>BT126-BS126</f>
        <v>-169</v>
      </c>
      <c r="BR126" s="322">
        <f>BU126-BT126</f>
        <v>-12</v>
      </c>
      <c r="BS126" s="322">
        <v>-282</v>
      </c>
      <c r="BT126" s="322">
        <v>-451</v>
      </c>
      <c r="BU126" s="322">
        <v>-463</v>
      </c>
      <c r="BV126" s="322">
        <v>-65</v>
      </c>
      <c r="BW126" s="322">
        <f>BZ126-BV126</f>
        <v>-21</v>
      </c>
      <c r="BX126" s="322">
        <f>CA126-BZ126</f>
        <v>-42</v>
      </c>
      <c r="BY126" s="322">
        <f>CB126-CA126</f>
        <v>-14</v>
      </c>
      <c r="BZ126" s="322">
        <v>-86</v>
      </c>
      <c r="CA126" s="322">
        <v>-128</v>
      </c>
      <c r="CB126" s="322">
        <v>-142</v>
      </c>
      <c r="CC126" s="322">
        <v>-202</v>
      </c>
      <c r="CD126" s="322">
        <f>CG126-CC126</f>
        <v>-21</v>
      </c>
      <c r="CE126" s="322">
        <f>CH126-CG126</f>
        <v>-29</v>
      </c>
      <c r="CF126" s="322">
        <f>CI126-CH126</f>
        <v>-191</v>
      </c>
      <c r="CG126" s="322">
        <v>-223</v>
      </c>
      <c r="CH126" s="322">
        <v>-252</v>
      </c>
      <c r="CI126" s="322">
        <v>-443</v>
      </c>
      <c r="CJ126" s="322">
        <v>-1792</v>
      </c>
      <c r="CK126" s="322">
        <f>CN126-CJ126</f>
        <v>-1167</v>
      </c>
      <c r="CL126" s="322"/>
      <c r="CM126" s="322"/>
      <c r="CN126" s="322">
        <v>-2959</v>
      </c>
      <c r="CO126" s="322"/>
    </row>
    <row r="127" spans="1:93" x14ac:dyDescent="0.25">
      <c r="A127" s="363" t="str">
        <f>Language!$G129</f>
        <v>Depreciação e Amortização</v>
      </c>
      <c r="B127" s="364">
        <f t="shared" ref="B127" si="728">SUM(B128,B129,B130,B131)</f>
        <v>-24</v>
      </c>
      <c r="C127" s="364">
        <f t="shared" ref="C127" si="729">SUM(C128,C129,C130,C131)</f>
        <v>-41</v>
      </c>
      <c r="D127" s="364">
        <f t="shared" ref="D127" si="730">SUM(D128,D129,D130,D131)</f>
        <v>-41</v>
      </c>
      <c r="E127" s="365">
        <f t="shared" ref="E127" si="731">SUM(E128,E129,E130,E131)</f>
        <v>-41</v>
      </c>
      <c r="F127" s="364">
        <f t="shared" ref="F127" si="732">SUM(F128,F129,F130,F131)</f>
        <v>-50</v>
      </c>
      <c r="G127" s="364">
        <f t="shared" ref="G127" si="733">SUM(G128,G129,G130,G131)</f>
        <v>-58</v>
      </c>
      <c r="H127" s="364">
        <f t="shared" ref="H127" si="734">SUM(H128,H129,H130,H131)</f>
        <v>-55</v>
      </c>
      <c r="I127" s="365">
        <f t="shared" ref="I127" si="735">SUM(I128,I129,I130,I131)</f>
        <v>-57</v>
      </c>
      <c r="J127" s="364">
        <f t="shared" ref="J127" si="736">SUM(J128,J129,J130,J131)</f>
        <v>-61</v>
      </c>
      <c r="K127" s="364">
        <f t="shared" ref="K127" si="737">SUM(K128,K129,K130,K131)</f>
        <v>-59</v>
      </c>
      <c r="L127" s="364">
        <f t="shared" ref="L127" si="738">SUM(L128,L129,L130,L131)</f>
        <v>-60</v>
      </c>
      <c r="M127" s="365">
        <f t="shared" ref="M127" si="739">SUM(M128,M129,M130,M131)</f>
        <v>-58</v>
      </c>
      <c r="N127" s="364">
        <f t="shared" ref="N127" si="740">SUM(N128,N129,N130,N131)</f>
        <v>-199</v>
      </c>
      <c r="O127" s="364">
        <f t="shared" ref="O127" si="741">SUM(O128,O129,O130,O131)</f>
        <v>-179</v>
      </c>
      <c r="P127" s="364">
        <f t="shared" ref="P127" si="742">SUM(P128,P129,P130,P131)</f>
        <v>-175</v>
      </c>
      <c r="Q127" s="365">
        <f t="shared" ref="Q127" si="743">SUM(Q128,Q129,Q130,Q131)</f>
        <v>303</v>
      </c>
      <c r="R127" s="364">
        <v>-59</v>
      </c>
      <c r="S127" s="364">
        <v>-100</v>
      </c>
      <c r="T127" s="364">
        <v>-1097</v>
      </c>
      <c r="U127" s="364">
        <v>-199</v>
      </c>
      <c r="V127" s="364">
        <v>-159</v>
      </c>
      <c r="W127" s="364">
        <v>-1256</v>
      </c>
      <c r="X127" s="365">
        <v>-1455</v>
      </c>
      <c r="Y127" s="364">
        <f>SUM(Y128,Y129,Y130,Y131)</f>
        <v>-170</v>
      </c>
      <c r="Z127" s="364">
        <f>SUM(Z128,Z129,Z130,Z131)</f>
        <v>-182</v>
      </c>
      <c r="AA127" s="364">
        <f t="shared" ref="AA127:AB127" si="744">SUM(AA128,AA129,AA130,AA131)</f>
        <v>-183</v>
      </c>
      <c r="AB127" s="364">
        <f t="shared" si="744"/>
        <v>315</v>
      </c>
      <c r="AC127" s="364">
        <f t="shared" ref="AC127:AJ127" si="745">SUM(AC128,AC129,AC130,AC131)</f>
        <v>-352</v>
      </c>
      <c r="AD127" s="364">
        <f t="shared" si="745"/>
        <v>-535</v>
      </c>
      <c r="AE127" s="365">
        <f t="shared" si="745"/>
        <v>-220</v>
      </c>
      <c r="AF127" s="364">
        <f t="shared" si="745"/>
        <v>-71</v>
      </c>
      <c r="AG127" s="364">
        <f t="shared" si="745"/>
        <v>-48</v>
      </c>
      <c r="AH127" s="364">
        <f t="shared" si="745"/>
        <v>-62</v>
      </c>
      <c r="AI127" s="364">
        <f t="shared" si="745"/>
        <v>18</v>
      </c>
      <c r="AJ127" s="364">
        <f t="shared" si="745"/>
        <v>-119</v>
      </c>
      <c r="AK127" s="364">
        <f t="shared" ref="AK127:AL127" si="746">SUM(AK128,AK129,AK130,AK131)</f>
        <v>-181</v>
      </c>
      <c r="AL127" s="365">
        <f t="shared" si="746"/>
        <v>-163</v>
      </c>
      <c r="AM127" s="364">
        <f>SUM(AM128:AM131)</f>
        <v>-63</v>
      </c>
      <c r="AN127" s="364">
        <f t="shared" si="261"/>
        <v>-63</v>
      </c>
      <c r="AO127" s="364">
        <f t="shared" si="262"/>
        <v>-62</v>
      </c>
      <c r="AP127" s="364">
        <f t="shared" si="262"/>
        <v>87</v>
      </c>
      <c r="AQ127" s="364">
        <f t="shared" ref="AQ127:BA127" si="747">SUM(AQ128:AQ131)</f>
        <v>-126</v>
      </c>
      <c r="AR127" s="364">
        <f t="shared" si="747"/>
        <v>-188</v>
      </c>
      <c r="AS127" s="365">
        <f t="shared" si="747"/>
        <v>-101</v>
      </c>
      <c r="AT127" s="364">
        <f t="shared" si="747"/>
        <v>-59</v>
      </c>
      <c r="AU127" s="364">
        <f t="shared" si="747"/>
        <v>-58</v>
      </c>
      <c r="AV127" s="364">
        <f t="shared" si="747"/>
        <v>-61</v>
      </c>
      <c r="AW127" s="364">
        <f t="shared" si="747"/>
        <v>-76</v>
      </c>
      <c r="AX127" s="364">
        <f t="shared" si="747"/>
        <v>-117</v>
      </c>
      <c r="AY127" s="364">
        <f t="shared" si="747"/>
        <v>-178</v>
      </c>
      <c r="AZ127" s="364">
        <f t="shared" si="747"/>
        <v>-254</v>
      </c>
      <c r="BA127" s="364">
        <f t="shared" si="747"/>
        <v>-107</v>
      </c>
      <c r="BB127" s="364">
        <f t="shared" ref="BB127:BD127" si="748">SUM(BB128:BB131)</f>
        <v>-89</v>
      </c>
      <c r="BC127" s="364">
        <f t="shared" si="748"/>
        <v>-88</v>
      </c>
      <c r="BD127" s="364">
        <f t="shared" si="748"/>
        <v>-87</v>
      </c>
      <c r="BE127" s="364">
        <f>SUM(BE128:BE131)</f>
        <v>-196</v>
      </c>
      <c r="BF127" s="364">
        <f>SUM(BF128:BF131)</f>
        <v>-284</v>
      </c>
      <c r="BG127" s="364">
        <f>SUM(BG128:BG131)</f>
        <v>-371</v>
      </c>
      <c r="BH127" s="364">
        <f>SUM(BH128:BH131)</f>
        <v>-163</v>
      </c>
      <c r="BI127" s="364">
        <f t="shared" ref="BI127:BL127" si="749">SUM(BI128:BI131)</f>
        <v>-94</v>
      </c>
      <c r="BJ127" s="364">
        <f t="shared" si="749"/>
        <v>-129</v>
      </c>
      <c r="BK127" s="364">
        <f t="shared" si="749"/>
        <v>-166</v>
      </c>
      <c r="BL127" s="364">
        <f t="shared" si="749"/>
        <v>-257</v>
      </c>
      <c r="BM127" s="364">
        <f t="shared" ref="BM127:BN127" si="750">SUM(BM128:BM131)</f>
        <v>-386</v>
      </c>
      <c r="BN127" s="364">
        <f t="shared" si="750"/>
        <v>-552</v>
      </c>
      <c r="BO127" s="364">
        <f t="shared" ref="BO127:BS127" si="751">SUM(BO128:BO131)</f>
        <v>-290</v>
      </c>
      <c r="BP127" s="364">
        <f t="shared" si="751"/>
        <v>-148</v>
      </c>
      <c r="BQ127" s="364">
        <f t="shared" si="751"/>
        <v>-146</v>
      </c>
      <c r="BR127" s="364">
        <f t="shared" si="751"/>
        <v>423</v>
      </c>
      <c r="BS127" s="364">
        <f t="shared" si="751"/>
        <v>-438</v>
      </c>
      <c r="BT127" s="364">
        <f t="shared" ref="BT127:BU127" si="752">SUM(BT128:BT131)</f>
        <v>-584</v>
      </c>
      <c r="BU127" s="364">
        <f t="shared" si="752"/>
        <v>-161</v>
      </c>
      <c r="BV127" s="364">
        <f t="shared" ref="BV127:BZ127" si="753">SUM(BV128:BV131)</f>
        <v>-39</v>
      </c>
      <c r="BW127" s="364">
        <f t="shared" si="753"/>
        <v>-41</v>
      </c>
      <c r="BX127" s="364">
        <f t="shared" si="753"/>
        <v>-42</v>
      </c>
      <c r="BY127" s="364">
        <f t="shared" si="753"/>
        <v>-41</v>
      </c>
      <c r="BZ127" s="364">
        <f t="shared" si="753"/>
        <v>-80</v>
      </c>
      <c r="CA127" s="364">
        <f t="shared" ref="CA127:CB127" si="754">SUM(CA128:CA131)</f>
        <v>-122</v>
      </c>
      <c r="CB127" s="364">
        <f t="shared" si="754"/>
        <v>-163</v>
      </c>
      <c r="CC127" s="364">
        <f t="shared" ref="CC127:CD127" si="755">SUM(CC128:CC131)</f>
        <v>-60</v>
      </c>
      <c r="CD127" s="364">
        <f t="shared" si="755"/>
        <v>-60</v>
      </c>
      <c r="CE127" s="364">
        <f t="shared" ref="CE127:CG127" si="756">SUM(CE128:CE131)</f>
        <v>-61</v>
      </c>
      <c r="CF127" s="364">
        <f t="shared" si="756"/>
        <v>-48</v>
      </c>
      <c r="CG127" s="364">
        <f t="shared" si="756"/>
        <v>-120</v>
      </c>
      <c r="CH127" s="364">
        <f t="shared" ref="CH127:CI127" si="757">SUM(CH128:CH131)</f>
        <v>-181</v>
      </c>
      <c r="CI127" s="364">
        <f t="shared" si="757"/>
        <v>-229</v>
      </c>
      <c r="CJ127" s="364">
        <v>-45</v>
      </c>
      <c r="CK127" s="364">
        <f t="shared" ref="CK127:CO127" si="758">SUM(CK128:CK131)</f>
        <v>-41</v>
      </c>
      <c r="CL127" s="364">
        <f t="shared" si="758"/>
        <v>0</v>
      </c>
      <c r="CM127" s="364">
        <f t="shared" si="758"/>
        <v>0</v>
      </c>
      <c r="CN127" s="364">
        <f t="shared" si="758"/>
        <v>-86</v>
      </c>
      <c r="CO127" s="364">
        <f t="shared" si="758"/>
        <v>0</v>
      </c>
    </row>
    <row r="128" spans="1:93" x14ac:dyDescent="0.25">
      <c r="A128" s="341" t="str">
        <f>Language!$G130</f>
        <v>Rio Verde</v>
      </c>
      <c r="B128" s="322">
        <v>-24</v>
      </c>
      <c r="C128" s="322">
        <v>-37</v>
      </c>
      <c r="D128" s="322">
        <v>-34</v>
      </c>
      <c r="E128" s="321">
        <v>-31</v>
      </c>
      <c r="F128" s="322">
        <v>-37</v>
      </c>
      <c r="G128" s="322">
        <v>-40</v>
      </c>
      <c r="H128" s="322">
        <v>-34</v>
      </c>
      <c r="I128" s="321">
        <v>-35</v>
      </c>
      <c r="J128" s="322">
        <v>-36</v>
      </c>
      <c r="K128" s="322">
        <v>-35</v>
      </c>
      <c r="L128" s="322">
        <v>-36</v>
      </c>
      <c r="M128" s="321">
        <v>-29</v>
      </c>
      <c r="N128" s="322">
        <v>-34</v>
      </c>
      <c r="O128" s="322">
        <v>-41</v>
      </c>
      <c r="P128" s="322">
        <v>-35</v>
      </c>
      <c r="Q128" s="321">
        <v>-33</v>
      </c>
      <c r="R128" s="322">
        <v>-32</v>
      </c>
      <c r="S128" s="322">
        <v>-59</v>
      </c>
      <c r="T128" s="322">
        <v>-33</v>
      </c>
      <c r="U128" s="322">
        <v>-11</v>
      </c>
      <c r="V128" s="322">
        <v>-91</v>
      </c>
      <c r="W128" s="322">
        <v>-124</v>
      </c>
      <c r="X128" s="321">
        <v>-135</v>
      </c>
      <c r="Y128" s="322">
        <v>0</v>
      </c>
      <c r="Z128" s="322">
        <f t="shared" si="263"/>
        <v>0</v>
      </c>
      <c r="AA128" s="322">
        <f t="shared" ref="AA128:AA131" si="759">AD128-Z128-Y128</f>
        <v>0</v>
      </c>
      <c r="AB128" s="322">
        <f t="shared" si="259"/>
        <v>0</v>
      </c>
      <c r="AC128" s="322">
        <v>0</v>
      </c>
      <c r="AD128" s="322">
        <v>0</v>
      </c>
      <c r="AE128" s="321">
        <v>0</v>
      </c>
      <c r="AF128" s="322">
        <v>0</v>
      </c>
      <c r="AG128" s="322">
        <f>AJ128-AF128</f>
        <v>0</v>
      </c>
      <c r="AH128" s="322">
        <f t="shared" ref="AH128:AH131" si="760">AK128-AG128-AF128</f>
        <v>0</v>
      </c>
      <c r="AI128" s="322">
        <f t="shared" ref="AI128:AI131" si="761">AL128-AF128-AG128-AH128</f>
        <v>0</v>
      </c>
      <c r="AJ128" s="322">
        <v>0</v>
      </c>
      <c r="AK128" s="322">
        <v>0</v>
      </c>
      <c r="AL128" s="321">
        <v>0</v>
      </c>
      <c r="AM128" s="322">
        <v>0</v>
      </c>
      <c r="AN128" s="322">
        <f t="shared" si="261"/>
        <v>0</v>
      </c>
      <c r="AO128" s="322">
        <f t="shared" si="262"/>
        <v>0</v>
      </c>
      <c r="AP128" s="322">
        <f t="shared" si="262"/>
        <v>0</v>
      </c>
      <c r="AQ128" s="322">
        <v>0</v>
      </c>
      <c r="AR128" s="322"/>
      <c r="AS128" s="321"/>
      <c r="AT128" s="322"/>
      <c r="AU128" s="322"/>
      <c r="AV128" s="322"/>
      <c r="AW128" s="322"/>
      <c r="AX128" s="322"/>
      <c r="AY128" s="322"/>
      <c r="AZ128" s="322"/>
      <c r="BA128" s="322"/>
      <c r="BB128" s="322"/>
      <c r="BC128" s="322"/>
      <c r="BD128" s="322"/>
      <c r="BE128" s="322"/>
      <c r="BF128" s="322"/>
      <c r="BG128" s="322"/>
      <c r="BH128" s="322"/>
      <c r="BI128" s="322"/>
      <c r="BJ128" s="322"/>
      <c r="BK128" s="322"/>
      <c r="BL128" s="322"/>
      <c r="BM128" s="322"/>
      <c r="BN128" s="322"/>
      <c r="BO128" s="322"/>
      <c r="BP128" s="322"/>
      <c r="BQ128" s="322"/>
      <c r="BR128" s="322"/>
      <c r="BS128" s="322"/>
      <c r="BT128" s="322"/>
      <c r="BU128" s="322"/>
      <c r="BV128" s="322"/>
      <c r="BW128" s="322"/>
      <c r="BX128" s="322"/>
      <c r="BY128" s="322"/>
      <c r="BZ128" s="322"/>
      <c r="CA128" s="322"/>
      <c r="CB128" s="322"/>
      <c r="CC128" s="322"/>
      <c r="CD128" s="322"/>
      <c r="CE128" s="322"/>
      <c r="CF128" s="322"/>
      <c r="CG128" s="322"/>
      <c r="CH128" s="322"/>
      <c r="CI128" s="322"/>
      <c r="CJ128" s="322"/>
      <c r="CK128" s="322"/>
      <c r="CL128" s="322"/>
      <c r="CM128" s="322"/>
      <c r="CN128" s="322"/>
      <c r="CO128" s="322"/>
    </row>
    <row r="129" spans="1:93" x14ac:dyDescent="0.25">
      <c r="A129" s="341" t="str">
        <f>Language!$G131</f>
        <v>Rio Canoas</v>
      </c>
      <c r="B129" s="322">
        <v>0</v>
      </c>
      <c r="C129" s="322">
        <v>-4</v>
      </c>
      <c r="D129" s="322">
        <v>-7</v>
      </c>
      <c r="E129" s="321">
        <v>-10</v>
      </c>
      <c r="F129" s="322">
        <v>-13</v>
      </c>
      <c r="G129" s="322">
        <v>-18</v>
      </c>
      <c r="H129" s="322">
        <v>-21</v>
      </c>
      <c r="I129" s="321">
        <v>-22</v>
      </c>
      <c r="J129" s="322">
        <v>-25</v>
      </c>
      <c r="K129" s="322">
        <v>-24</v>
      </c>
      <c r="L129" s="322">
        <v>-24</v>
      </c>
      <c r="M129" s="321">
        <v>-29</v>
      </c>
      <c r="N129" s="322">
        <v>-165</v>
      </c>
      <c r="O129" s="322">
        <v>-138</v>
      </c>
      <c r="P129" s="322">
        <v>-139</v>
      </c>
      <c r="Q129" s="321">
        <v>336</v>
      </c>
      <c r="R129" s="322">
        <v>-26</v>
      </c>
      <c r="S129" s="322">
        <v>-26</v>
      </c>
      <c r="T129" s="322">
        <v>-165</v>
      </c>
      <c r="U129" s="322">
        <v>-16</v>
      </c>
      <c r="V129" s="322">
        <v>-52</v>
      </c>
      <c r="W129" s="322">
        <v>-217</v>
      </c>
      <c r="X129" s="321">
        <v>-233</v>
      </c>
      <c r="Y129" s="322">
        <v>0</v>
      </c>
      <c r="Z129" s="322">
        <f t="shared" si="263"/>
        <v>0</v>
      </c>
      <c r="AA129" s="322">
        <f t="shared" si="759"/>
        <v>0</v>
      </c>
      <c r="AB129" s="322">
        <f t="shared" si="259"/>
        <v>0</v>
      </c>
      <c r="AC129" s="322">
        <v>0</v>
      </c>
      <c r="AD129" s="322">
        <v>0</v>
      </c>
      <c r="AE129" s="321">
        <v>0</v>
      </c>
      <c r="AF129" s="322">
        <v>0</v>
      </c>
      <c r="AG129" s="322">
        <f>AJ129-AF129</f>
        <v>0</v>
      </c>
      <c r="AH129" s="322">
        <f t="shared" si="760"/>
        <v>0</v>
      </c>
      <c r="AI129" s="322">
        <f t="shared" si="761"/>
        <v>0</v>
      </c>
      <c r="AJ129" s="322">
        <v>0</v>
      </c>
      <c r="AK129" s="322">
        <v>0</v>
      </c>
      <c r="AL129" s="321">
        <v>0</v>
      </c>
      <c r="AM129" s="322">
        <v>0</v>
      </c>
      <c r="AN129" s="322">
        <f t="shared" si="261"/>
        <v>0</v>
      </c>
      <c r="AO129" s="322">
        <f t="shared" si="262"/>
        <v>0</v>
      </c>
      <c r="AP129" s="322">
        <f t="shared" si="262"/>
        <v>0</v>
      </c>
      <c r="AQ129" s="322">
        <v>0</v>
      </c>
      <c r="AR129" s="322"/>
      <c r="AS129" s="321"/>
      <c r="AT129" s="322"/>
      <c r="AU129" s="322"/>
      <c r="AV129" s="322"/>
      <c r="AW129" s="322"/>
      <c r="AX129" s="322"/>
      <c r="AY129" s="322"/>
      <c r="AZ129" s="322"/>
      <c r="BA129" s="322"/>
      <c r="BB129" s="322"/>
      <c r="BC129" s="322"/>
      <c r="BD129" s="322"/>
      <c r="BE129" s="322"/>
      <c r="BF129" s="322"/>
      <c r="BG129" s="322"/>
      <c r="BH129" s="322"/>
      <c r="BI129" s="322"/>
      <c r="BJ129" s="322"/>
      <c r="BK129" s="322"/>
      <c r="BL129" s="322"/>
      <c r="BM129" s="322"/>
      <c r="BN129" s="322"/>
      <c r="BO129" s="322"/>
      <c r="BP129" s="322"/>
      <c r="BQ129" s="322"/>
      <c r="BR129" s="322"/>
      <c r="BS129" s="322"/>
      <c r="BT129" s="322"/>
      <c r="BU129" s="322"/>
      <c r="BV129" s="322"/>
      <c r="BW129" s="322"/>
      <c r="BX129" s="322"/>
      <c r="BY129" s="322"/>
    </row>
    <row r="130" spans="1:93" x14ac:dyDescent="0.25">
      <c r="A130" s="341" t="str">
        <f>Language!$G132</f>
        <v>Tijoá</v>
      </c>
      <c r="B130" s="322">
        <v>0</v>
      </c>
      <c r="C130" s="322">
        <v>0</v>
      </c>
      <c r="D130" s="322">
        <v>0</v>
      </c>
      <c r="E130" s="321">
        <v>0</v>
      </c>
      <c r="F130" s="322">
        <v>0</v>
      </c>
      <c r="G130" s="322">
        <v>0</v>
      </c>
      <c r="H130" s="322">
        <v>0</v>
      </c>
      <c r="I130" s="321">
        <v>0</v>
      </c>
      <c r="J130" s="322">
        <v>0</v>
      </c>
      <c r="K130" s="322">
        <v>0</v>
      </c>
      <c r="L130" s="322">
        <v>0</v>
      </c>
      <c r="M130" s="321">
        <v>0</v>
      </c>
      <c r="N130" s="322">
        <v>0</v>
      </c>
      <c r="O130" s="322">
        <v>0</v>
      </c>
      <c r="P130" s="322">
        <v>0</v>
      </c>
      <c r="Q130" s="321">
        <v>0</v>
      </c>
      <c r="R130" s="322">
        <v>-1</v>
      </c>
      <c r="S130" s="322">
        <v>-8</v>
      </c>
      <c r="T130" s="322">
        <v>-22</v>
      </c>
      <c r="U130" s="322">
        <v>-40</v>
      </c>
      <c r="V130" s="322">
        <v>-9</v>
      </c>
      <c r="W130" s="322">
        <v>-31</v>
      </c>
      <c r="X130" s="321">
        <v>-71</v>
      </c>
      <c r="Y130" s="322">
        <v>-170</v>
      </c>
      <c r="Z130" s="322">
        <f t="shared" si="263"/>
        <v>-182</v>
      </c>
      <c r="AA130" s="322">
        <f t="shared" si="759"/>
        <v>-183</v>
      </c>
      <c r="AB130" s="322">
        <f t="shared" si="259"/>
        <v>315</v>
      </c>
      <c r="AC130" s="322">
        <v>-352</v>
      </c>
      <c r="AD130" s="322">
        <v>-535</v>
      </c>
      <c r="AE130" s="321">
        <v>-220</v>
      </c>
      <c r="AF130" s="322">
        <v>-71</v>
      </c>
      <c r="AG130" s="322">
        <f>AJ130-AF130</f>
        <v>-48</v>
      </c>
      <c r="AH130" s="322">
        <f t="shared" si="760"/>
        <v>-62</v>
      </c>
      <c r="AI130" s="322">
        <f t="shared" si="761"/>
        <v>18</v>
      </c>
      <c r="AJ130" s="322">
        <v>-119</v>
      </c>
      <c r="AK130" s="322">
        <v>-181</v>
      </c>
      <c r="AL130" s="321">
        <v>-163</v>
      </c>
      <c r="AM130" s="322">
        <v>-63</v>
      </c>
      <c r="AN130" s="322">
        <f t="shared" si="261"/>
        <v>-63</v>
      </c>
      <c r="AO130" s="322">
        <f t="shared" si="262"/>
        <v>-62</v>
      </c>
      <c r="AP130" s="322">
        <f t="shared" si="262"/>
        <v>87</v>
      </c>
      <c r="AQ130" s="322">
        <v>-126</v>
      </c>
      <c r="AR130" s="322">
        <v>-188</v>
      </c>
      <c r="AS130" s="321">
        <v>-101</v>
      </c>
      <c r="AT130" s="322">
        <v>-59</v>
      </c>
      <c r="AU130" s="322">
        <f>AX130-AT130</f>
        <v>-58</v>
      </c>
      <c r="AV130" s="322">
        <f>AY130-AX130</f>
        <v>-61</v>
      </c>
      <c r="AW130" s="322">
        <f>AZ130-AY130</f>
        <v>-76</v>
      </c>
      <c r="AX130" s="322">
        <v>-117</v>
      </c>
      <c r="AY130" s="322">
        <v>-178</v>
      </c>
      <c r="AZ130" s="322">
        <v>-254</v>
      </c>
      <c r="BA130" s="322">
        <v>-107</v>
      </c>
      <c r="BB130" s="353">
        <f>BE130-BA130</f>
        <v>-89</v>
      </c>
      <c r="BC130" s="322">
        <f>BF130-BE130</f>
        <v>-88</v>
      </c>
      <c r="BD130" s="322">
        <f>BG130-BF130</f>
        <v>-87</v>
      </c>
      <c r="BE130" s="322">
        <v>-196</v>
      </c>
      <c r="BF130" s="322">
        <v>-284</v>
      </c>
      <c r="BG130" s="322">
        <v>-371</v>
      </c>
      <c r="BH130" s="322">
        <v>-163</v>
      </c>
      <c r="BI130" s="322">
        <f>BL130-BH130</f>
        <v>-94</v>
      </c>
      <c r="BJ130" s="322">
        <f>BM130-BL130</f>
        <v>-129</v>
      </c>
      <c r="BK130" s="322">
        <f>BN130-BM130</f>
        <v>-166</v>
      </c>
      <c r="BL130" s="322">
        <v>-257</v>
      </c>
      <c r="BM130" s="322">
        <v>-386</v>
      </c>
      <c r="BN130" s="322">
        <v>-552</v>
      </c>
      <c r="BO130" s="383">
        <v>-290</v>
      </c>
      <c r="BP130" s="383">
        <f>BS130-BO130</f>
        <v>-148</v>
      </c>
      <c r="BQ130" s="383">
        <f>BT130-BS130</f>
        <v>-146</v>
      </c>
      <c r="BR130" s="383">
        <f>BU130-BT130</f>
        <v>423</v>
      </c>
      <c r="BS130" s="383">
        <v>-438</v>
      </c>
      <c r="BT130" s="383">
        <v>-584</v>
      </c>
      <c r="BU130" s="383">
        <v>-161</v>
      </c>
      <c r="BV130" s="383">
        <v>-39</v>
      </c>
      <c r="BW130" s="383">
        <f>BZ130-BV130</f>
        <v>-41</v>
      </c>
      <c r="BX130" s="383">
        <f>CA130-BZ130</f>
        <v>-42</v>
      </c>
      <c r="BY130" s="383">
        <f>CB130-CA130</f>
        <v>-41</v>
      </c>
      <c r="BZ130" s="322">
        <v>-80</v>
      </c>
      <c r="CA130" s="322">
        <v>-122</v>
      </c>
      <c r="CB130" s="322">
        <v>-163</v>
      </c>
      <c r="CC130" s="322">
        <v>-60</v>
      </c>
      <c r="CD130" s="322">
        <f>CG130-CC130</f>
        <v>-60</v>
      </c>
      <c r="CE130" s="322">
        <f>CH130-CG130</f>
        <v>-61</v>
      </c>
      <c r="CF130" s="322">
        <f>CI130-CH130</f>
        <v>-48</v>
      </c>
      <c r="CG130" s="322">
        <v>-120</v>
      </c>
      <c r="CH130" s="322">
        <v>-181</v>
      </c>
      <c r="CI130" s="322">
        <v>-229</v>
      </c>
      <c r="CJ130" s="322">
        <v>-45</v>
      </c>
      <c r="CK130" s="322">
        <f>CN130-CJ130</f>
        <v>-41</v>
      </c>
      <c r="CL130" s="322"/>
      <c r="CM130" s="322"/>
      <c r="CN130" s="322">
        <v>-86</v>
      </c>
      <c r="CO130" s="322"/>
    </row>
    <row r="131" spans="1:93" x14ac:dyDescent="0.25">
      <c r="A131" s="362" t="str">
        <f>Language!$G133</f>
        <v>Outros</v>
      </c>
      <c r="B131" s="322">
        <v>0</v>
      </c>
      <c r="C131" s="322">
        <v>0</v>
      </c>
      <c r="D131" s="322">
        <v>0</v>
      </c>
      <c r="E131" s="321">
        <v>0</v>
      </c>
      <c r="F131" s="322">
        <v>0</v>
      </c>
      <c r="G131" s="322">
        <v>0</v>
      </c>
      <c r="H131" s="322">
        <v>0</v>
      </c>
      <c r="I131" s="321">
        <v>0</v>
      </c>
      <c r="J131" s="322">
        <v>0</v>
      </c>
      <c r="K131" s="322">
        <v>0</v>
      </c>
      <c r="L131" s="322">
        <v>0</v>
      </c>
      <c r="M131" s="321">
        <v>0</v>
      </c>
      <c r="N131" s="322">
        <v>0</v>
      </c>
      <c r="O131" s="322">
        <v>0</v>
      </c>
      <c r="P131" s="322">
        <v>-1</v>
      </c>
      <c r="Q131" s="321">
        <v>0</v>
      </c>
      <c r="R131" s="322">
        <v>0</v>
      </c>
      <c r="S131" s="322">
        <v>-7</v>
      </c>
      <c r="T131" s="322">
        <v>-877</v>
      </c>
      <c r="U131" s="322">
        <v>-132</v>
      </c>
      <c r="V131" s="322">
        <v>-7</v>
      </c>
      <c r="W131" s="322">
        <v>-884</v>
      </c>
      <c r="X131" s="321">
        <v>-1016</v>
      </c>
      <c r="Y131" s="322">
        <v>0</v>
      </c>
      <c r="Z131" s="322">
        <f t="shared" si="263"/>
        <v>0</v>
      </c>
      <c r="AA131" s="322">
        <f t="shared" si="759"/>
        <v>0</v>
      </c>
      <c r="AB131" s="322">
        <f t="shared" si="259"/>
        <v>0</v>
      </c>
      <c r="AC131" s="322">
        <v>0</v>
      </c>
      <c r="AD131" s="322">
        <v>0</v>
      </c>
      <c r="AE131" s="321">
        <v>0</v>
      </c>
      <c r="AF131" s="322">
        <v>0</v>
      </c>
      <c r="AG131" s="322">
        <f>AJ131-AF131</f>
        <v>0</v>
      </c>
      <c r="AH131" s="322">
        <f t="shared" si="760"/>
        <v>0</v>
      </c>
      <c r="AI131" s="322">
        <f t="shared" si="761"/>
        <v>0</v>
      </c>
      <c r="AJ131" s="322">
        <v>0</v>
      </c>
      <c r="AK131" s="322">
        <v>0</v>
      </c>
      <c r="AL131" s="321">
        <v>0</v>
      </c>
      <c r="AM131" s="322">
        <v>0</v>
      </c>
      <c r="AN131" s="322">
        <f t="shared" si="261"/>
        <v>0</v>
      </c>
      <c r="AO131" s="322">
        <f t="shared" si="262"/>
        <v>0</v>
      </c>
      <c r="AP131" s="322">
        <f t="shared" si="262"/>
        <v>0</v>
      </c>
      <c r="AQ131" s="322">
        <v>0</v>
      </c>
      <c r="AR131" s="322"/>
      <c r="AS131" s="321"/>
      <c r="AT131" s="322"/>
      <c r="AU131" s="322"/>
      <c r="AV131" s="322"/>
      <c r="AW131" s="322"/>
      <c r="AX131" s="322"/>
      <c r="AY131" s="322"/>
      <c r="AZ131" s="322"/>
      <c r="BA131" s="322"/>
      <c r="BB131" s="322"/>
      <c r="BC131" s="322"/>
      <c r="BD131" s="322"/>
      <c r="BE131" s="322"/>
      <c r="BF131" s="322"/>
      <c r="BG131" s="322"/>
      <c r="BH131" s="322"/>
      <c r="BI131" s="322"/>
      <c r="BJ131" s="322"/>
      <c r="BK131" s="322"/>
      <c r="BL131" s="322"/>
      <c r="BM131" s="322"/>
      <c r="BN131" s="322"/>
      <c r="BO131" s="322"/>
      <c r="BP131" s="322"/>
      <c r="BQ131" s="322"/>
      <c r="BR131" s="322"/>
      <c r="BS131" s="322"/>
      <c r="BT131" s="322"/>
      <c r="BU131" s="322"/>
      <c r="BV131" s="322"/>
      <c r="BW131" s="322"/>
      <c r="BX131" s="322"/>
      <c r="BY131" s="322"/>
      <c r="BZ131" s="322"/>
      <c r="CA131" s="322"/>
      <c r="CB131" s="322"/>
      <c r="CC131" s="322"/>
      <c r="CD131" s="322"/>
      <c r="CE131" s="322"/>
      <c r="CF131" s="322"/>
      <c r="CG131" s="322"/>
      <c r="CH131" s="322"/>
      <c r="CI131" s="322"/>
      <c r="CJ131" s="322"/>
      <c r="CK131" s="322"/>
      <c r="CL131" s="322"/>
      <c r="CM131" s="322"/>
      <c r="CN131" s="322"/>
      <c r="CO131" s="322"/>
    </row>
    <row r="132" spans="1:93" x14ac:dyDescent="0.25">
      <c r="A132" s="363" t="str">
        <f>Language!$G134</f>
        <v>Outras Receitas (Despesas) Operacionais</v>
      </c>
      <c r="B132" s="364">
        <f t="shared" ref="B132" si="762">SUM(B133,B134,B135,B136)</f>
        <v>-169</v>
      </c>
      <c r="C132" s="364">
        <f t="shared" ref="C132" si="763">SUM(C133,C134,C135,C136)</f>
        <v>-88</v>
      </c>
      <c r="D132" s="364">
        <f t="shared" ref="D132" si="764">SUM(D133,D134,D135,D136)</f>
        <v>-151</v>
      </c>
      <c r="E132" s="365">
        <f t="shared" ref="E132" si="765">SUM(E133,E134,E135,E136)</f>
        <v>-131</v>
      </c>
      <c r="F132" s="364">
        <f t="shared" ref="F132" si="766">SUM(F133,F134,F135,F136)</f>
        <v>-182</v>
      </c>
      <c r="G132" s="364">
        <f t="shared" ref="G132" si="767">SUM(G133,G134,G135,G136)</f>
        <v>-136</v>
      </c>
      <c r="H132" s="364">
        <f t="shared" ref="H132" si="768">SUM(H133,H134,H135,H136)</f>
        <v>-204</v>
      </c>
      <c r="I132" s="365">
        <f t="shared" ref="I132" si="769">SUM(I133,I134,I135,I136)</f>
        <v>-190</v>
      </c>
      <c r="J132" s="364">
        <f t="shared" ref="J132" si="770">SUM(J133,J134,J135,J136)</f>
        <v>459</v>
      </c>
      <c r="K132" s="364">
        <f t="shared" ref="K132" si="771">SUM(K133,K134,K135,K136)</f>
        <v>-114</v>
      </c>
      <c r="L132" s="364">
        <f t="shared" ref="L132" si="772">SUM(L133,L134,L135,L136)</f>
        <v>-1128</v>
      </c>
      <c r="M132" s="365">
        <f t="shared" ref="M132" si="773">SUM(M133,M134,M135,M136)</f>
        <v>-487</v>
      </c>
      <c r="N132" s="364">
        <f t="shared" ref="N132" si="774">SUM(N133,N134,N135,N136)</f>
        <v>-429</v>
      </c>
      <c r="O132" s="364">
        <f t="shared" ref="O132" si="775">SUM(O133,O134,O135,O136)</f>
        <v>-5632</v>
      </c>
      <c r="P132" s="364">
        <f t="shared" ref="P132" si="776">SUM(P133,P134,P135,P136)</f>
        <v>-708</v>
      </c>
      <c r="Q132" s="365">
        <f t="shared" ref="Q132" si="777">SUM(Q133,Q134,Q135,Q136)</f>
        <v>6115</v>
      </c>
      <c r="R132" s="364">
        <v>-199</v>
      </c>
      <c r="S132" s="364">
        <v>-133</v>
      </c>
      <c r="T132" s="364">
        <v>3904</v>
      </c>
      <c r="U132" s="364">
        <v>-81</v>
      </c>
      <c r="V132" s="364">
        <v>-332</v>
      </c>
      <c r="W132" s="364">
        <v>3572</v>
      </c>
      <c r="X132" s="365">
        <v>3491</v>
      </c>
      <c r="Y132" s="364">
        <f>SUM(Y133,Y134,Y135,Y136)</f>
        <v>4</v>
      </c>
      <c r="Z132" s="364">
        <f>SUM(Z133,Z134,Z135,Z136)</f>
        <v>-2</v>
      </c>
      <c r="AA132" s="364">
        <f t="shared" ref="AA132:AB132" si="778">SUM(AA133,AA134,AA135,AA136)</f>
        <v>0</v>
      </c>
      <c r="AB132" s="364">
        <f t="shared" si="778"/>
        <v>-2</v>
      </c>
      <c r="AC132" s="364">
        <f t="shared" ref="AC132:AJ132" si="779">SUM(AC133,AC134,AC135,AC136)</f>
        <v>2</v>
      </c>
      <c r="AD132" s="364">
        <f t="shared" si="779"/>
        <v>2</v>
      </c>
      <c r="AE132" s="365">
        <f t="shared" si="779"/>
        <v>0</v>
      </c>
      <c r="AF132" s="364">
        <f t="shared" si="779"/>
        <v>0</v>
      </c>
      <c r="AG132" s="364">
        <f t="shared" si="779"/>
        <v>0</v>
      </c>
      <c r="AH132" s="364">
        <f t="shared" si="779"/>
        <v>-42</v>
      </c>
      <c r="AI132" s="364">
        <f t="shared" si="779"/>
        <v>6</v>
      </c>
      <c r="AJ132" s="364">
        <f t="shared" si="779"/>
        <v>0</v>
      </c>
      <c r="AK132" s="364">
        <f t="shared" ref="AK132:AL132" si="780">SUM(AK133,AK134,AK135,AK136)</f>
        <v>-42</v>
      </c>
      <c r="AL132" s="365">
        <f t="shared" si="780"/>
        <v>-36</v>
      </c>
      <c r="AM132" s="364">
        <f>SUM(AM133:AM136)</f>
        <v>0</v>
      </c>
      <c r="AN132" s="364">
        <f t="shared" si="261"/>
        <v>0</v>
      </c>
      <c r="AO132" s="364">
        <f t="shared" si="262"/>
        <v>0</v>
      </c>
      <c r="AP132" s="364">
        <f t="shared" si="262"/>
        <v>0</v>
      </c>
      <c r="AQ132" s="364">
        <f>SUM(AQ133:AQ136)</f>
        <v>0</v>
      </c>
      <c r="AR132" s="364">
        <f>SUM(AR133:AR136)</f>
        <v>0</v>
      </c>
      <c r="AS132" s="365">
        <f>SUM(AS133:AS136)</f>
        <v>0</v>
      </c>
      <c r="AT132" s="364">
        <f>SUM(AT133:AT136)</f>
        <v>0</v>
      </c>
      <c r="AU132" s="364">
        <v>0</v>
      </c>
      <c r="AV132" s="364">
        <f>SUM(AV133:AV136)</f>
        <v>0</v>
      </c>
      <c r="AW132" s="364">
        <f>SUM(AW133:AW136)</f>
        <v>0</v>
      </c>
      <c r="AX132" s="364">
        <v>0</v>
      </c>
      <c r="AY132" s="364">
        <f>SUM(AY133:AY136)</f>
        <v>0</v>
      </c>
      <c r="AZ132" s="364">
        <f>SUM(AZ133:AZ136)</f>
        <v>0</v>
      </c>
      <c r="BA132" s="364">
        <f>SUM(BA133:BA136)</f>
        <v>0</v>
      </c>
      <c r="BB132" s="364">
        <f t="shared" ref="BB132:BD132" si="781">SUM(BB133:BB136)</f>
        <v>0</v>
      </c>
      <c r="BC132" s="364">
        <f t="shared" si="781"/>
        <v>0</v>
      </c>
      <c r="BD132" s="364">
        <f t="shared" si="781"/>
        <v>0</v>
      </c>
      <c r="BE132" s="364">
        <f>SUM(BE133:BE136)</f>
        <v>0</v>
      </c>
      <c r="BF132" s="364">
        <f>SUM(BF133:BF136)</f>
        <v>0</v>
      </c>
      <c r="BG132" s="364">
        <f>SUM(BG133:BG136)</f>
        <v>0</v>
      </c>
      <c r="BH132" s="364">
        <f>SUM(BH133:BH136)</f>
        <v>0</v>
      </c>
      <c r="BI132" s="364">
        <f t="shared" ref="BI132:BL132" si="782">SUM(BI133:BI136)</f>
        <v>0</v>
      </c>
      <c r="BJ132" s="364">
        <f t="shared" si="782"/>
        <v>0</v>
      </c>
      <c r="BK132" s="364">
        <f t="shared" si="782"/>
        <v>0</v>
      </c>
      <c r="BL132" s="364">
        <f t="shared" si="782"/>
        <v>0</v>
      </c>
      <c r="BM132" s="364">
        <f t="shared" ref="BM132:BN132" si="783">SUM(BM133:BM136)</f>
        <v>0</v>
      </c>
      <c r="BN132" s="364">
        <f t="shared" si="783"/>
        <v>0</v>
      </c>
      <c r="BO132" s="364">
        <f t="shared" ref="BO132:BS132" si="784">SUM(BO133:BO136)</f>
        <v>0</v>
      </c>
      <c r="BP132" s="364">
        <f t="shared" si="784"/>
        <v>10</v>
      </c>
      <c r="BQ132" s="364">
        <f t="shared" si="784"/>
        <v>-10</v>
      </c>
      <c r="BR132" s="364">
        <f t="shared" si="784"/>
        <v>0</v>
      </c>
      <c r="BS132" s="364">
        <f t="shared" si="784"/>
        <v>10</v>
      </c>
      <c r="BT132" s="364">
        <f t="shared" ref="BT132:BU132" si="785">SUM(BT133:BT136)</f>
        <v>0</v>
      </c>
      <c r="BU132" s="364">
        <f t="shared" si="785"/>
        <v>0</v>
      </c>
      <c r="BV132" s="364">
        <f t="shared" ref="BV132:BZ132" si="786">SUM(BV133:BV136)</f>
        <v>0</v>
      </c>
      <c r="BW132" s="364">
        <f t="shared" si="786"/>
        <v>0</v>
      </c>
      <c r="BX132" s="364">
        <f t="shared" si="786"/>
        <v>0</v>
      </c>
      <c r="BY132" s="364">
        <f t="shared" si="786"/>
        <v>0</v>
      </c>
      <c r="BZ132" s="364">
        <f t="shared" si="786"/>
        <v>0</v>
      </c>
      <c r="CA132" s="364">
        <f t="shared" ref="CA132:CB132" si="787">SUM(CA133:CA136)</f>
        <v>0</v>
      </c>
      <c r="CB132" s="364">
        <f t="shared" si="787"/>
        <v>0</v>
      </c>
      <c r="CC132" s="364">
        <f t="shared" ref="CC132:CD132" si="788">SUM(CC133:CC136)</f>
        <v>0</v>
      </c>
      <c r="CD132" s="364">
        <f t="shared" si="788"/>
        <v>0</v>
      </c>
      <c r="CE132" s="364">
        <f t="shared" ref="CE132:CG132" si="789">SUM(CE133:CE136)</f>
        <v>0</v>
      </c>
      <c r="CF132" s="364">
        <f t="shared" si="789"/>
        <v>0</v>
      </c>
      <c r="CG132" s="364">
        <f t="shared" si="789"/>
        <v>0</v>
      </c>
      <c r="CH132" s="364">
        <f t="shared" ref="CH132:CI132" si="790">SUM(CH133:CH136)</f>
        <v>0</v>
      </c>
      <c r="CI132" s="364">
        <f t="shared" si="790"/>
        <v>0</v>
      </c>
      <c r="CJ132" s="364">
        <v>0</v>
      </c>
      <c r="CK132" s="364">
        <f t="shared" ref="CK132:CO132" si="791">SUM(CK133:CK136)</f>
        <v>0</v>
      </c>
      <c r="CL132" s="364">
        <f t="shared" si="791"/>
        <v>0</v>
      </c>
      <c r="CM132" s="364">
        <f t="shared" si="791"/>
        <v>0</v>
      </c>
      <c r="CN132" s="364">
        <f t="shared" si="791"/>
        <v>0</v>
      </c>
      <c r="CO132" s="364">
        <f t="shared" si="791"/>
        <v>0</v>
      </c>
    </row>
    <row r="133" spans="1:93" x14ac:dyDescent="0.25">
      <c r="A133" s="341" t="str">
        <f>Language!$G135</f>
        <v>Rio Verde</v>
      </c>
      <c r="B133" s="322">
        <v>-169</v>
      </c>
      <c r="C133" s="322">
        <v>-88</v>
      </c>
      <c r="D133" s="322">
        <v>-151</v>
      </c>
      <c r="E133" s="321">
        <v>-131</v>
      </c>
      <c r="F133" s="322">
        <v>-182</v>
      </c>
      <c r="G133" s="322">
        <v>-114</v>
      </c>
      <c r="H133" s="322">
        <v>-187</v>
      </c>
      <c r="I133" s="321">
        <v>-229</v>
      </c>
      <c r="J133" s="322">
        <v>-572</v>
      </c>
      <c r="K133" s="322">
        <v>-118</v>
      </c>
      <c r="L133" s="322">
        <v>-108</v>
      </c>
      <c r="M133" s="321">
        <v>-472</v>
      </c>
      <c r="N133" s="322">
        <v>-429</v>
      </c>
      <c r="O133" s="322">
        <v>-1503</v>
      </c>
      <c r="P133" s="322">
        <v>-694</v>
      </c>
      <c r="Q133" s="321">
        <v>1849</v>
      </c>
      <c r="R133" s="322">
        <v>-72</v>
      </c>
      <c r="S133" s="322">
        <v>-82</v>
      </c>
      <c r="T133" s="322">
        <v>-417</v>
      </c>
      <c r="U133" s="322">
        <v>-21</v>
      </c>
      <c r="V133" s="322">
        <v>-154</v>
      </c>
      <c r="W133" s="322">
        <v>-571</v>
      </c>
      <c r="X133" s="321">
        <v>-592</v>
      </c>
      <c r="Y133" s="322">
        <v>0</v>
      </c>
      <c r="Z133" s="322">
        <f t="shared" si="263"/>
        <v>0</v>
      </c>
      <c r="AA133" s="322">
        <f t="shared" ref="AA133:AA136" si="792">AD133-Z133-Y133</f>
        <v>0</v>
      </c>
      <c r="AB133" s="322">
        <f t="shared" si="259"/>
        <v>0</v>
      </c>
      <c r="AC133" s="322">
        <v>0</v>
      </c>
      <c r="AD133" s="322">
        <v>0</v>
      </c>
      <c r="AE133" s="321">
        <v>0</v>
      </c>
      <c r="AF133" s="322">
        <v>0</v>
      </c>
      <c r="AG133" s="322">
        <f>AJ133-AF133</f>
        <v>0</v>
      </c>
      <c r="AH133" s="322">
        <f t="shared" ref="AH133:AH136" si="793">AK133-AG133-AF133</f>
        <v>0</v>
      </c>
      <c r="AI133" s="322">
        <f t="shared" ref="AI133:AI136" si="794">AL133-AF133-AG133-AH133</f>
        <v>0</v>
      </c>
      <c r="AJ133" s="322">
        <v>0</v>
      </c>
      <c r="AK133" s="322">
        <v>0</v>
      </c>
      <c r="AL133" s="321">
        <v>0</v>
      </c>
      <c r="AM133" s="322">
        <v>0</v>
      </c>
      <c r="AN133" s="322">
        <f t="shared" si="261"/>
        <v>0</v>
      </c>
      <c r="AO133" s="322">
        <f t="shared" si="262"/>
        <v>0</v>
      </c>
      <c r="AP133" s="322">
        <f t="shared" si="262"/>
        <v>0</v>
      </c>
      <c r="AQ133" s="322">
        <v>0</v>
      </c>
      <c r="AR133" s="322"/>
      <c r="AS133" s="321"/>
      <c r="AT133" s="322"/>
      <c r="AU133" s="322"/>
      <c r="AV133" s="322"/>
      <c r="AW133" s="322"/>
      <c r="AX133" s="322"/>
      <c r="AY133" s="322"/>
      <c r="AZ133" s="322"/>
      <c r="BA133" s="322"/>
      <c r="BB133" s="322"/>
      <c r="BC133" s="322"/>
      <c r="BD133" s="322"/>
      <c r="BE133" s="322"/>
      <c r="BF133" s="322"/>
      <c r="BG133" s="322"/>
      <c r="BH133" s="322"/>
      <c r="BI133" s="322"/>
      <c r="BJ133" s="322"/>
      <c r="BK133" s="322"/>
      <c r="BL133" s="322"/>
      <c r="BM133" s="322"/>
      <c r="BN133" s="322"/>
      <c r="BO133" s="322"/>
      <c r="BP133" s="322"/>
      <c r="BQ133" s="322"/>
      <c r="BR133" s="322"/>
      <c r="BS133" s="322"/>
      <c r="BT133" s="322"/>
      <c r="BU133" s="322"/>
      <c r="BV133" s="322"/>
      <c r="BW133" s="322"/>
      <c r="BX133" s="322"/>
      <c r="BY133" s="322"/>
      <c r="BZ133" s="322"/>
      <c r="CA133" s="322"/>
      <c r="CB133" s="322"/>
      <c r="CC133" s="322"/>
      <c r="CD133" s="322"/>
      <c r="CE133" s="322"/>
      <c r="CF133" s="322"/>
      <c r="CG133" s="322"/>
      <c r="CH133" s="322"/>
      <c r="CI133" s="322"/>
      <c r="CJ133" s="322"/>
      <c r="CK133" s="322"/>
      <c r="CL133" s="322"/>
      <c r="CM133" s="322"/>
      <c r="CN133" s="322"/>
      <c r="CO133" s="322"/>
    </row>
    <row r="134" spans="1:93" x14ac:dyDescent="0.25">
      <c r="A134" s="341" t="str">
        <f>Language!$G136</f>
        <v>Rio Canoas</v>
      </c>
      <c r="B134" s="322">
        <v>0</v>
      </c>
      <c r="C134" s="322">
        <v>0</v>
      </c>
      <c r="D134" s="322">
        <v>0</v>
      </c>
      <c r="E134" s="321">
        <v>0</v>
      </c>
      <c r="F134" s="322">
        <v>0</v>
      </c>
      <c r="G134" s="322">
        <v>-22</v>
      </c>
      <c r="H134" s="322">
        <v>-17</v>
      </c>
      <c r="I134" s="321">
        <v>39</v>
      </c>
      <c r="J134" s="322">
        <v>0</v>
      </c>
      <c r="K134" s="322">
        <v>4</v>
      </c>
      <c r="L134" s="322">
        <v>11</v>
      </c>
      <c r="M134" s="321">
        <f>0-L134-K134-J134</f>
        <v>-15</v>
      </c>
      <c r="N134" s="322">
        <v>0</v>
      </c>
      <c r="O134" s="322">
        <v>-4129</v>
      </c>
      <c r="P134" s="322">
        <v>-14</v>
      </c>
      <c r="Q134" s="321">
        <v>4143</v>
      </c>
      <c r="R134" s="322">
        <v>-127</v>
      </c>
      <c r="S134" s="322">
        <v>-51</v>
      </c>
      <c r="T134" s="322">
        <v>-79</v>
      </c>
      <c r="U134" s="322">
        <v>-29</v>
      </c>
      <c r="V134" s="322">
        <v>-178</v>
      </c>
      <c r="W134" s="322">
        <v>-257</v>
      </c>
      <c r="X134" s="321">
        <v>-286</v>
      </c>
      <c r="Y134" s="322">
        <v>0</v>
      </c>
      <c r="Z134" s="322">
        <f t="shared" si="263"/>
        <v>0</v>
      </c>
      <c r="AA134" s="322">
        <f t="shared" si="792"/>
        <v>0</v>
      </c>
      <c r="AB134" s="322">
        <f t="shared" si="259"/>
        <v>0</v>
      </c>
      <c r="AC134" s="322">
        <v>0</v>
      </c>
      <c r="AD134" s="322">
        <v>0</v>
      </c>
      <c r="AE134" s="321">
        <v>0</v>
      </c>
      <c r="AF134" s="322">
        <v>0</v>
      </c>
      <c r="AG134" s="322">
        <f>AJ134-AF134</f>
        <v>0</v>
      </c>
      <c r="AH134" s="322">
        <f t="shared" si="793"/>
        <v>0</v>
      </c>
      <c r="AI134" s="322">
        <f t="shared" si="794"/>
        <v>0</v>
      </c>
      <c r="AJ134" s="322">
        <v>0</v>
      </c>
      <c r="AK134" s="322">
        <v>0</v>
      </c>
      <c r="AL134" s="321">
        <v>0</v>
      </c>
      <c r="AM134" s="322">
        <v>0</v>
      </c>
      <c r="AN134" s="322">
        <f t="shared" si="261"/>
        <v>0</v>
      </c>
      <c r="AO134" s="322">
        <f t="shared" si="262"/>
        <v>0</v>
      </c>
      <c r="AP134" s="322">
        <f t="shared" si="262"/>
        <v>0</v>
      </c>
      <c r="AQ134" s="322">
        <v>0</v>
      </c>
      <c r="AR134" s="322"/>
      <c r="AS134" s="321"/>
      <c r="AT134" s="322"/>
      <c r="AU134" s="322"/>
      <c r="AV134" s="322"/>
      <c r="AW134" s="322"/>
      <c r="AX134" s="322"/>
      <c r="AY134" s="322"/>
      <c r="AZ134" s="322"/>
      <c r="BA134" s="322"/>
      <c r="BB134" s="322"/>
      <c r="BC134" s="322"/>
      <c r="BD134" s="322"/>
      <c r="BE134" s="322"/>
      <c r="BF134" s="322"/>
      <c r="BG134" s="322"/>
      <c r="BH134" s="322"/>
      <c r="BI134" s="322"/>
      <c r="BJ134" s="322"/>
      <c r="BK134" s="322"/>
      <c r="BL134" s="322"/>
      <c r="BM134" s="322"/>
      <c r="BN134" s="322"/>
      <c r="BO134" s="322"/>
      <c r="BP134" s="322"/>
      <c r="BQ134" s="322"/>
      <c r="BR134" s="322"/>
      <c r="BS134" s="322"/>
      <c r="BT134" s="322"/>
      <c r="BU134" s="322"/>
      <c r="BV134" s="322"/>
      <c r="BW134" s="322"/>
      <c r="BX134" s="322"/>
      <c r="BY134" s="322"/>
      <c r="BZ134" s="322"/>
      <c r="CA134" s="322"/>
      <c r="CB134" s="322"/>
      <c r="CC134" s="322"/>
      <c r="CD134" s="322"/>
      <c r="CE134" s="322"/>
      <c r="CF134" s="322"/>
      <c r="CG134" s="322"/>
      <c r="CH134" s="322"/>
      <c r="CI134" s="322"/>
      <c r="CJ134" s="322"/>
      <c r="CK134" s="322"/>
      <c r="CL134" s="322"/>
      <c r="CM134" s="322"/>
      <c r="CN134" s="322"/>
      <c r="CO134" s="322"/>
    </row>
    <row r="135" spans="1:93" x14ac:dyDescent="0.25">
      <c r="A135" s="341" t="str">
        <f>Language!$G137</f>
        <v>Tijoá</v>
      </c>
      <c r="B135" s="322">
        <v>0</v>
      </c>
      <c r="C135" s="322">
        <v>0</v>
      </c>
      <c r="D135" s="322">
        <v>0</v>
      </c>
      <c r="E135" s="321">
        <v>0</v>
      </c>
      <c r="F135" s="322">
        <v>0</v>
      </c>
      <c r="G135" s="322">
        <v>0</v>
      </c>
      <c r="H135" s="322">
        <v>0</v>
      </c>
      <c r="I135" s="321">
        <v>0</v>
      </c>
      <c r="J135" s="322">
        <v>0</v>
      </c>
      <c r="K135" s="322">
        <v>0</v>
      </c>
      <c r="L135" s="322">
        <v>0</v>
      </c>
      <c r="M135" s="321">
        <v>0</v>
      </c>
      <c r="N135" s="322">
        <v>0</v>
      </c>
      <c r="O135" s="322">
        <v>0</v>
      </c>
      <c r="P135" s="322">
        <v>0</v>
      </c>
      <c r="Q135" s="321">
        <v>0</v>
      </c>
      <c r="R135" s="322">
        <v>0</v>
      </c>
      <c r="S135" s="322">
        <v>0</v>
      </c>
      <c r="T135" s="322">
        <v>4400</v>
      </c>
      <c r="U135" s="322">
        <v>0</v>
      </c>
      <c r="V135" s="322">
        <v>0</v>
      </c>
      <c r="W135" s="322">
        <v>4400</v>
      </c>
      <c r="X135" s="321">
        <v>4400</v>
      </c>
      <c r="Y135" s="322">
        <v>4</v>
      </c>
      <c r="Z135" s="322">
        <f t="shared" si="263"/>
        <v>-2</v>
      </c>
      <c r="AA135" s="322">
        <f t="shared" si="792"/>
        <v>0</v>
      </c>
      <c r="AB135" s="322">
        <f t="shared" si="259"/>
        <v>-2</v>
      </c>
      <c r="AC135" s="322">
        <v>2</v>
      </c>
      <c r="AD135" s="322">
        <v>2</v>
      </c>
      <c r="AE135" s="321">
        <v>0</v>
      </c>
      <c r="AF135" s="322">
        <v>0</v>
      </c>
      <c r="AG135" s="322">
        <f>AJ135-AF135</f>
        <v>0</v>
      </c>
      <c r="AH135" s="322">
        <f t="shared" si="793"/>
        <v>-42</v>
      </c>
      <c r="AI135" s="322">
        <f t="shared" si="794"/>
        <v>6</v>
      </c>
      <c r="AJ135" s="322">
        <v>0</v>
      </c>
      <c r="AK135" s="322">
        <v>-42</v>
      </c>
      <c r="AL135" s="321">
        <v>-36</v>
      </c>
      <c r="AM135" s="322">
        <v>0</v>
      </c>
      <c r="AN135" s="322">
        <f t="shared" si="261"/>
        <v>0</v>
      </c>
      <c r="AO135" s="322">
        <f t="shared" si="262"/>
        <v>0</v>
      </c>
      <c r="AP135" s="322">
        <f t="shared" si="262"/>
        <v>0</v>
      </c>
      <c r="AQ135" s="322">
        <v>0</v>
      </c>
      <c r="AR135" s="322"/>
      <c r="AS135" s="321"/>
      <c r="AT135" s="322"/>
      <c r="AU135" s="322"/>
      <c r="AV135" s="322"/>
      <c r="AW135" s="322"/>
      <c r="AX135" s="322"/>
      <c r="AY135" s="322"/>
      <c r="AZ135" s="322"/>
      <c r="BA135" s="322"/>
      <c r="BB135" s="322"/>
      <c r="BC135" s="322"/>
      <c r="BD135" s="322"/>
      <c r="BE135" s="322"/>
      <c r="BF135" s="322"/>
      <c r="BG135" s="322"/>
      <c r="BH135" s="322"/>
      <c r="BI135" s="322"/>
      <c r="BJ135" s="322"/>
      <c r="BK135" s="322"/>
      <c r="BL135" s="322"/>
      <c r="BM135" s="322"/>
      <c r="BN135" s="322"/>
      <c r="BO135" s="322"/>
      <c r="BP135" s="322"/>
      <c r="BQ135" s="322"/>
      <c r="BR135" s="322"/>
      <c r="BS135" s="322"/>
      <c r="BT135" s="322"/>
      <c r="BU135" s="322"/>
      <c r="BV135" s="322"/>
      <c r="BW135" s="322"/>
      <c r="BX135" s="322"/>
      <c r="BY135" s="322"/>
      <c r="BZ135" s="322"/>
      <c r="CA135" s="322"/>
      <c r="CB135" s="322"/>
      <c r="CC135" s="322"/>
      <c r="CD135" s="322"/>
      <c r="CE135" s="322"/>
      <c r="CF135" s="322"/>
      <c r="CG135" s="322"/>
      <c r="CH135" s="322"/>
      <c r="CI135" s="322"/>
      <c r="CJ135" s="322"/>
      <c r="CK135" s="322"/>
      <c r="CL135" s="322"/>
      <c r="CM135" s="322"/>
      <c r="CN135" s="322"/>
      <c r="CO135" s="322"/>
    </row>
    <row r="136" spans="1:93" x14ac:dyDescent="0.25">
      <c r="A136" s="362" t="str">
        <f>Language!$G138</f>
        <v>Outros</v>
      </c>
      <c r="B136" s="322">
        <v>0</v>
      </c>
      <c r="C136" s="322">
        <v>0</v>
      </c>
      <c r="D136" s="322">
        <v>0</v>
      </c>
      <c r="E136" s="321">
        <v>0</v>
      </c>
      <c r="F136" s="322">
        <v>0</v>
      </c>
      <c r="G136" s="322">
        <v>0</v>
      </c>
      <c r="H136" s="322">
        <v>0</v>
      </c>
      <c r="I136" s="321">
        <v>0</v>
      </c>
      <c r="J136" s="322">
        <v>1031</v>
      </c>
      <c r="K136" s="322">
        <v>0</v>
      </c>
      <c r="L136" s="322">
        <v>-1031</v>
      </c>
      <c r="M136" s="321">
        <f>0-L136-K136-J136</f>
        <v>0</v>
      </c>
      <c r="N136" s="322">
        <v>0</v>
      </c>
      <c r="O136" s="322">
        <v>0</v>
      </c>
      <c r="P136" s="322">
        <v>0</v>
      </c>
      <c r="Q136" s="321">
        <v>123</v>
      </c>
      <c r="R136" s="322">
        <v>0</v>
      </c>
      <c r="S136" s="322">
        <v>0</v>
      </c>
      <c r="T136" s="322">
        <v>0</v>
      </c>
      <c r="U136" s="322">
        <v>-31</v>
      </c>
      <c r="V136" s="322">
        <v>0</v>
      </c>
      <c r="W136" s="322">
        <v>0</v>
      </c>
      <c r="X136" s="321">
        <v>-31</v>
      </c>
      <c r="Y136" s="322">
        <v>0</v>
      </c>
      <c r="Z136" s="322">
        <f t="shared" si="263"/>
        <v>0</v>
      </c>
      <c r="AA136" s="322">
        <f t="shared" si="792"/>
        <v>0</v>
      </c>
      <c r="AB136" s="322">
        <f t="shared" si="259"/>
        <v>0</v>
      </c>
      <c r="AC136" s="322">
        <v>0</v>
      </c>
      <c r="AD136" s="322">
        <v>0</v>
      </c>
      <c r="AE136" s="321">
        <v>0</v>
      </c>
      <c r="AF136" s="322">
        <v>0</v>
      </c>
      <c r="AG136" s="322">
        <f>AJ136-AF136</f>
        <v>0</v>
      </c>
      <c r="AH136" s="322">
        <f t="shared" si="793"/>
        <v>0</v>
      </c>
      <c r="AI136" s="322">
        <f t="shared" si="794"/>
        <v>0</v>
      </c>
      <c r="AJ136" s="322">
        <v>0</v>
      </c>
      <c r="AK136" s="322">
        <v>0</v>
      </c>
      <c r="AL136" s="321">
        <v>0</v>
      </c>
      <c r="AM136" s="322">
        <v>0</v>
      </c>
      <c r="AN136" s="322">
        <f t="shared" ref="AN136:AN176" si="795">AQ136-AM136</f>
        <v>0</v>
      </c>
      <c r="AO136" s="322">
        <f t="shared" ref="AO136:AP204" si="796">AR136-AQ136</f>
        <v>0</v>
      </c>
      <c r="AP136" s="322">
        <f t="shared" si="796"/>
        <v>0</v>
      </c>
      <c r="AQ136" s="322">
        <v>0</v>
      </c>
      <c r="AR136" s="322"/>
      <c r="AS136" s="321"/>
      <c r="AT136" s="322"/>
      <c r="AU136" s="322"/>
      <c r="AV136" s="322"/>
      <c r="AW136" s="322"/>
      <c r="AX136" s="322"/>
      <c r="AY136" s="322"/>
      <c r="AZ136" s="322"/>
      <c r="BA136" s="322"/>
      <c r="BB136" s="322"/>
      <c r="BC136" s="322"/>
      <c r="BD136" s="322"/>
      <c r="BE136" s="322"/>
      <c r="BF136" s="322"/>
      <c r="BG136" s="322"/>
      <c r="BH136" s="322"/>
      <c r="BI136" s="322"/>
      <c r="BJ136" s="322"/>
      <c r="BK136" s="322"/>
      <c r="BL136" s="322"/>
      <c r="BM136" s="322"/>
      <c r="BN136" s="322"/>
      <c r="BO136" s="322"/>
      <c r="BP136" s="322">
        <f>BS136-BO136</f>
        <v>10</v>
      </c>
      <c r="BQ136" s="322">
        <f>BT136-BS136</f>
        <v>-10</v>
      </c>
      <c r="BR136" s="322">
        <f>BU136-BT136</f>
        <v>0</v>
      </c>
      <c r="BS136" s="322">
        <v>10</v>
      </c>
      <c r="BT136" s="322">
        <v>0</v>
      </c>
      <c r="BU136" s="322">
        <v>0</v>
      </c>
      <c r="BV136" s="322"/>
      <c r="BW136" s="322">
        <f>BZ136-BV136</f>
        <v>0</v>
      </c>
      <c r="BX136" s="322">
        <f>CA136-BZ136</f>
        <v>0</v>
      </c>
      <c r="BY136" s="322"/>
      <c r="BZ136" s="322">
        <v>0</v>
      </c>
      <c r="CA136" s="322">
        <v>0</v>
      </c>
      <c r="CB136" s="322">
        <v>0</v>
      </c>
      <c r="CC136" s="322">
        <v>0</v>
      </c>
      <c r="CD136" s="322">
        <v>0</v>
      </c>
      <c r="CE136" s="322">
        <v>0</v>
      </c>
      <c r="CF136" s="322">
        <v>0</v>
      </c>
      <c r="CG136" s="322">
        <v>0</v>
      </c>
      <c r="CH136" s="322">
        <v>0</v>
      </c>
      <c r="CI136" s="322">
        <v>0</v>
      </c>
      <c r="CJ136" s="322">
        <v>0</v>
      </c>
      <c r="CK136" s="322">
        <v>0</v>
      </c>
      <c r="CL136" s="322">
        <v>0</v>
      </c>
      <c r="CM136" s="322">
        <v>0</v>
      </c>
      <c r="CN136" s="322">
        <v>0</v>
      </c>
      <c r="CO136" s="322">
        <v>0</v>
      </c>
    </row>
    <row r="137" spans="1:93" x14ac:dyDescent="0.25">
      <c r="A137" s="796" t="s">
        <v>734</v>
      </c>
      <c r="B137" s="797"/>
      <c r="C137" s="797"/>
      <c r="D137" s="797"/>
      <c r="E137" s="798"/>
      <c r="F137" s="797"/>
      <c r="G137" s="797"/>
      <c r="H137" s="797"/>
      <c r="I137" s="798"/>
      <c r="J137" s="797"/>
      <c r="K137" s="797"/>
      <c r="L137" s="797"/>
      <c r="M137" s="798"/>
      <c r="N137" s="797"/>
      <c r="O137" s="797"/>
      <c r="P137" s="797"/>
      <c r="Q137" s="798"/>
      <c r="R137" s="797"/>
      <c r="S137" s="797"/>
      <c r="T137" s="797"/>
      <c r="U137" s="797"/>
      <c r="V137" s="797"/>
      <c r="W137" s="797"/>
      <c r="X137" s="798"/>
      <c r="Y137" s="797"/>
      <c r="Z137" s="797"/>
      <c r="AA137" s="797"/>
      <c r="AB137" s="797"/>
      <c r="AC137" s="797"/>
      <c r="AD137" s="797"/>
      <c r="AE137" s="798"/>
      <c r="AF137" s="797"/>
      <c r="AG137" s="797"/>
      <c r="AH137" s="797"/>
      <c r="AI137" s="797"/>
      <c r="AJ137" s="797"/>
      <c r="AK137" s="797"/>
      <c r="AL137" s="798"/>
      <c r="AM137" s="797"/>
      <c r="AN137" s="797"/>
      <c r="AO137" s="797"/>
      <c r="AP137" s="797"/>
      <c r="AQ137" s="797"/>
      <c r="AR137" s="797"/>
      <c r="AS137" s="798"/>
      <c r="AT137" s="797"/>
      <c r="AU137" s="797"/>
      <c r="AV137" s="797"/>
      <c r="AW137" s="797"/>
      <c r="AX137" s="797"/>
      <c r="AY137" s="797"/>
      <c r="AZ137" s="797"/>
      <c r="BA137" s="797"/>
      <c r="BB137" s="797"/>
      <c r="BC137" s="797"/>
      <c r="BD137" s="797"/>
      <c r="BE137" s="797"/>
      <c r="BF137" s="797"/>
      <c r="BG137" s="797"/>
      <c r="BH137" s="797"/>
      <c r="BI137" s="797"/>
      <c r="BJ137" s="797"/>
      <c r="BK137" s="797"/>
      <c r="BL137" s="797"/>
      <c r="BM137" s="797"/>
      <c r="BN137" s="797"/>
      <c r="BO137" s="797"/>
      <c r="BP137" s="364">
        <f t="shared" ref="BP137" si="797">SUM(BP138:BP141)</f>
        <v>11</v>
      </c>
      <c r="BQ137" s="797"/>
      <c r="BR137" s="364">
        <f t="shared" ref="BR137:BT137" si="798">SUM(BR138:BR141)</f>
        <v>10</v>
      </c>
      <c r="BS137" s="364">
        <f t="shared" si="798"/>
        <v>11</v>
      </c>
      <c r="BT137" s="364">
        <f t="shared" si="798"/>
        <v>0</v>
      </c>
      <c r="BU137" s="364">
        <f t="shared" ref="BU137:BV137" si="799">SUM(BU138:BU141)</f>
        <v>10</v>
      </c>
      <c r="BV137" s="364">
        <f t="shared" si="799"/>
        <v>0</v>
      </c>
      <c r="BW137" s="364">
        <f t="shared" ref="BW137:BZ137" si="800">SUM(BW138:BW141)</f>
        <v>0</v>
      </c>
      <c r="BX137" s="364">
        <f t="shared" si="800"/>
        <v>0</v>
      </c>
      <c r="BY137" s="364">
        <f t="shared" si="800"/>
        <v>0</v>
      </c>
      <c r="BZ137" s="364">
        <f t="shared" si="800"/>
        <v>0</v>
      </c>
      <c r="CA137" s="364">
        <f t="shared" ref="CA137:CB137" si="801">SUM(CA138:CA141)</f>
        <v>0</v>
      </c>
      <c r="CB137" s="364">
        <f t="shared" si="801"/>
        <v>0</v>
      </c>
      <c r="CC137" s="364">
        <f t="shared" ref="CC137:CD137" si="802">SUM(CC138:CC141)</f>
        <v>0</v>
      </c>
      <c r="CD137" s="364">
        <f t="shared" si="802"/>
        <v>0</v>
      </c>
      <c r="CE137" s="364">
        <f t="shared" ref="CE137:CG137" si="803">SUM(CE138:CE141)</f>
        <v>0</v>
      </c>
      <c r="CF137" s="364">
        <f t="shared" si="803"/>
        <v>0</v>
      </c>
      <c r="CG137" s="364">
        <f t="shared" si="803"/>
        <v>0</v>
      </c>
      <c r="CH137" s="364">
        <f t="shared" ref="CH137:CI137" si="804">SUM(CH138:CH141)</f>
        <v>0</v>
      </c>
      <c r="CI137" s="364">
        <f t="shared" si="804"/>
        <v>0</v>
      </c>
      <c r="CJ137" s="364">
        <v>0</v>
      </c>
      <c r="CK137" s="364">
        <f t="shared" ref="CK137:CO137" si="805">SUM(CK138:CK141)</f>
        <v>0</v>
      </c>
      <c r="CL137" s="364">
        <f t="shared" si="805"/>
        <v>0</v>
      </c>
      <c r="CM137" s="364">
        <f t="shared" si="805"/>
        <v>0</v>
      </c>
      <c r="CN137" s="364">
        <f t="shared" si="805"/>
        <v>0</v>
      </c>
      <c r="CO137" s="364">
        <f t="shared" si="805"/>
        <v>0</v>
      </c>
    </row>
    <row r="138" spans="1:93" x14ac:dyDescent="0.25">
      <c r="A138" s="341" t="s">
        <v>312</v>
      </c>
      <c r="B138" s="322"/>
      <c r="C138" s="322"/>
      <c r="D138" s="322"/>
      <c r="E138" s="321"/>
      <c r="F138" s="322"/>
      <c r="G138" s="322"/>
      <c r="H138" s="322"/>
      <c r="I138" s="321"/>
      <c r="J138" s="322"/>
      <c r="K138" s="322"/>
      <c r="L138" s="322"/>
      <c r="M138" s="321"/>
      <c r="N138" s="322"/>
      <c r="O138" s="322"/>
      <c r="P138" s="322"/>
      <c r="Q138" s="321"/>
      <c r="R138" s="322"/>
      <c r="S138" s="322"/>
      <c r="T138" s="322"/>
      <c r="U138" s="322"/>
      <c r="V138" s="322"/>
      <c r="W138" s="322"/>
      <c r="X138" s="321"/>
      <c r="Y138" s="322"/>
      <c r="Z138" s="322"/>
      <c r="AA138" s="322"/>
      <c r="AB138" s="322"/>
      <c r="AC138" s="322"/>
      <c r="AD138" s="322"/>
      <c r="AE138" s="321"/>
      <c r="AF138" s="322"/>
      <c r="AG138" s="322"/>
      <c r="AH138" s="322"/>
      <c r="AI138" s="322"/>
      <c r="AJ138" s="322"/>
      <c r="AK138" s="322"/>
      <c r="AL138" s="321"/>
      <c r="AM138" s="322"/>
      <c r="AN138" s="322"/>
      <c r="AO138" s="322"/>
      <c r="AP138" s="322"/>
      <c r="AQ138" s="322"/>
      <c r="AR138" s="322"/>
      <c r="AS138" s="321"/>
      <c r="AT138" s="322"/>
      <c r="AU138" s="322"/>
      <c r="AV138" s="322"/>
      <c r="AW138" s="322"/>
      <c r="AX138" s="322"/>
      <c r="AY138" s="322"/>
      <c r="AZ138" s="322"/>
      <c r="BA138" s="322"/>
      <c r="BB138" s="322"/>
      <c r="BC138" s="322"/>
      <c r="BD138" s="322"/>
      <c r="BE138" s="322"/>
      <c r="BF138" s="322"/>
      <c r="BG138" s="322"/>
      <c r="BH138" s="322"/>
      <c r="BI138" s="322"/>
      <c r="BJ138" s="322"/>
      <c r="BK138" s="322"/>
      <c r="BL138" s="322"/>
      <c r="BM138" s="322"/>
      <c r="BN138" s="322"/>
      <c r="BO138" s="322"/>
      <c r="BP138" s="322"/>
      <c r="BQ138" s="322"/>
      <c r="BR138" s="322"/>
      <c r="BS138" s="322"/>
      <c r="BT138" s="322"/>
      <c r="BU138" s="322"/>
      <c r="BV138" s="322"/>
      <c r="BW138" s="322"/>
      <c r="BX138" s="322"/>
      <c r="BY138" s="322"/>
      <c r="BZ138" s="322"/>
      <c r="CA138" s="322"/>
      <c r="CB138" s="322"/>
      <c r="CC138" s="322"/>
      <c r="CD138" s="322"/>
      <c r="CE138" s="322"/>
      <c r="CF138" s="322"/>
      <c r="CG138" s="322"/>
      <c r="CH138" s="322"/>
      <c r="CI138" s="322"/>
      <c r="CJ138" s="322"/>
      <c r="CK138" s="322"/>
      <c r="CL138" s="322"/>
      <c r="CM138" s="322"/>
      <c r="CN138" s="322"/>
      <c r="CO138" s="322"/>
    </row>
    <row r="139" spans="1:93" x14ac:dyDescent="0.25">
      <c r="A139" s="341" t="s">
        <v>313</v>
      </c>
      <c r="B139" s="322"/>
      <c r="C139" s="322"/>
      <c r="D139" s="322"/>
      <c r="E139" s="321"/>
      <c r="F139" s="322"/>
      <c r="G139" s="322"/>
      <c r="H139" s="322"/>
      <c r="I139" s="321"/>
      <c r="J139" s="322"/>
      <c r="K139" s="322"/>
      <c r="L139" s="322"/>
      <c r="M139" s="321"/>
      <c r="N139" s="322"/>
      <c r="O139" s="322"/>
      <c r="P139" s="322"/>
      <c r="Q139" s="321"/>
      <c r="R139" s="322"/>
      <c r="S139" s="322"/>
      <c r="T139" s="322"/>
      <c r="U139" s="322"/>
      <c r="V139" s="322"/>
      <c r="W139" s="322"/>
      <c r="X139" s="321"/>
      <c r="Y139" s="322"/>
      <c r="Z139" s="322"/>
      <c r="AA139" s="322"/>
      <c r="AB139" s="322"/>
      <c r="AC139" s="322"/>
      <c r="AD139" s="322"/>
      <c r="AE139" s="321"/>
      <c r="AF139" s="322"/>
      <c r="AG139" s="322"/>
      <c r="AH139" s="322"/>
      <c r="AI139" s="322"/>
      <c r="AJ139" s="322"/>
      <c r="AK139" s="322"/>
      <c r="AL139" s="321"/>
      <c r="AM139" s="322"/>
      <c r="AN139" s="322"/>
      <c r="AO139" s="322"/>
      <c r="AP139" s="322"/>
      <c r="AQ139" s="322"/>
      <c r="AR139" s="322"/>
      <c r="AS139" s="321"/>
      <c r="AT139" s="322"/>
      <c r="AU139" s="322"/>
      <c r="AV139" s="322"/>
      <c r="AW139" s="322"/>
      <c r="AX139" s="322"/>
      <c r="AY139" s="322"/>
      <c r="AZ139" s="322"/>
      <c r="BA139" s="322"/>
      <c r="BB139" s="322"/>
      <c r="BC139" s="322"/>
      <c r="BD139" s="322"/>
      <c r="BE139" s="322"/>
      <c r="BF139" s="322"/>
      <c r="BG139" s="322"/>
      <c r="BH139" s="322"/>
      <c r="BI139" s="322"/>
      <c r="BJ139" s="322"/>
      <c r="BK139" s="322"/>
      <c r="BL139" s="322"/>
      <c r="BM139" s="322"/>
      <c r="BN139" s="322"/>
      <c r="BO139" s="322"/>
      <c r="BP139" s="322"/>
      <c r="BQ139" s="322"/>
      <c r="BR139" s="322"/>
      <c r="BS139" s="322"/>
      <c r="BT139" s="322"/>
      <c r="BU139" s="322"/>
      <c r="BV139" s="322"/>
      <c r="BW139" s="322"/>
      <c r="BX139" s="322"/>
      <c r="BY139" s="322"/>
      <c r="BZ139" s="322"/>
      <c r="CA139" s="322"/>
      <c r="CB139" s="322"/>
      <c r="CC139" s="322"/>
      <c r="CD139" s="322"/>
      <c r="CE139" s="322"/>
      <c r="CF139" s="322"/>
      <c r="CG139" s="322"/>
      <c r="CH139" s="322"/>
      <c r="CI139" s="322"/>
      <c r="CJ139" s="322"/>
      <c r="CK139" s="322"/>
      <c r="CL139" s="322"/>
      <c r="CM139" s="322"/>
      <c r="CN139" s="322"/>
      <c r="CO139" s="322"/>
    </row>
    <row r="140" spans="1:93" x14ac:dyDescent="0.25">
      <c r="A140" s="341" t="s">
        <v>626</v>
      </c>
      <c r="B140" s="322"/>
      <c r="C140" s="322"/>
      <c r="D140" s="322"/>
      <c r="E140" s="321"/>
      <c r="F140" s="322"/>
      <c r="G140" s="322"/>
      <c r="H140" s="322"/>
      <c r="I140" s="321"/>
      <c r="J140" s="322"/>
      <c r="K140" s="322"/>
      <c r="L140" s="322"/>
      <c r="M140" s="321"/>
      <c r="N140" s="322"/>
      <c r="O140" s="322"/>
      <c r="P140" s="322"/>
      <c r="Q140" s="321"/>
      <c r="R140" s="322"/>
      <c r="S140" s="322"/>
      <c r="T140" s="322"/>
      <c r="U140" s="322"/>
      <c r="V140" s="322"/>
      <c r="W140" s="322"/>
      <c r="X140" s="321"/>
      <c r="Y140" s="322"/>
      <c r="Z140" s="322"/>
      <c r="AA140" s="322"/>
      <c r="AB140" s="322"/>
      <c r="AC140" s="322"/>
      <c r="AD140" s="322"/>
      <c r="AE140" s="321"/>
      <c r="AF140" s="322"/>
      <c r="AG140" s="322"/>
      <c r="AH140" s="322"/>
      <c r="AI140" s="322"/>
      <c r="AJ140" s="322"/>
      <c r="AK140" s="322"/>
      <c r="AL140" s="321"/>
      <c r="AM140" s="322"/>
      <c r="AN140" s="322"/>
      <c r="AO140" s="322"/>
      <c r="AP140" s="322"/>
      <c r="AQ140" s="322"/>
      <c r="AR140" s="322"/>
      <c r="AS140" s="321"/>
      <c r="AT140" s="322"/>
      <c r="AU140" s="322"/>
      <c r="AV140" s="322"/>
      <c r="AW140" s="322"/>
      <c r="AX140" s="322"/>
      <c r="AY140" s="322"/>
      <c r="AZ140" s="322"/>
      <c r="BA140" s="322"/>
      <c r="BB140" s="322"/>
      <c r="BC140" s="322"/>
      <c r="BD140" s="322"/>
      <c r="BE140" s="322"/>
      <c r="BF140" s="322"/>
      <c r="BG140" s="322"/>
      <c r="BH140" s="322"/>
      <c r="BI140" s="322"/>
      <c r="BJ140" s="322"/>
      <c r="BK140" s="322"/>
      <c r="BL140" s="322"/>
      <c r="BM140" s="322"/>
      <c r="BN140" s="322"/>
      <c r="BO140" s="322"/>
      <c r="BP140" s="322"/>
      <c r="BQ140" s="322"/>
      <c r="BR140" s="322"/>
      <c r="BS140" s="322"/>
      <c r="BT140" s="322"/>
      <c r="BU140" s="322"/>
      <c r="BV140" s="322"/>
      <c r="BW140" s="322"/>
      <c r="BX140" s="322"/>
      <c r="BY140" s="322"/>
      <c r="BZ140" s="322"/>
      <c r="CA140" s="322"/>
      <c r="CB140" s="322"/>
      <c r="CC140" s="322"/>
      <c r="CD140" s="322"/>
      <c r="CE140" s="322"/>
      <c r="CF140" s="322"/>
      <c r="CG140" s="322"/>
      <c r="CH140" s="322"/>
      <c r="CI140" s="322"/>
      <c r="CJ140" s="322"/>
      <c r="CK140" s="322"/>
      <c r="CL140" s="322"/>
      <c r="CM140" s="322"/>
      <c r="CN140" s="322"/>
      <c r="CO140" s="322"/>
    </row>
    <row r="141" spans="1:93" x14ac:dyDescent="0.25">
      <c r="A141" s="341" t="s">
        <v>319</v>
      </c>
      <c r="B141" s="322"/>
      <c r="C141" s="322"/>
      <c r="D141" s="322"/>
      <c r="E141" s="321"/>
      <c r="F141" s="322"/>
      <c r="G141" s="322"/>
      <c r="H141" s="322"/>
      <c r="I141" s="321"/>
      <c r="J141" s="322"/>
      <c r="K141" s="322"/>
      <c r="L141" s="322"/>
      <c r="M141" s="321"/>
      <c r="N141" s="322"/>
      <c r="O141" s="322"/>
      <c r="P141" s="322"/>
      <c r="Q141" s="321"/>
      <c r="R141" s="322"/>
      <c r="S141" s="322"/>
      <c r="T141" s="322"/>
      <c r="U141" s="322"/>
      <c r="V141" s="322"/>
      <c r="W141" s="322"/>
      <c r="X141" s="321"/>
      <c r="Y141" s="322"/>
      <c r="Z141" s="322"/>
      <c r="AA141" s="322"/>
      <c r="AB141" s="322"/>
      <c r="AC141" s="322"/>
      <c r="AD141" s="322"/>
      <c r="AE141" s="321"/>
      <c r="AF141" s="322"/>
      <c r="AG141" s="322"/>
      <c r="AH141" s="322"/>
      <c r="AI141" s="322"/>
      <c r="AJ141" s="322"/>
      <c r="AK141" s="322"/>
      <c r="AL141" s="321"/>
      <c r="AM141" s="322"/>
      <c r="AN141" s="322"/>
      <c r="AO141" s="322"/>
      <c r="AP141" s="322"/>
      <c r="AQ141" s="322"/>
      <c r="AR141" s="322"/>
      <c r="AS141" s="321"/>
      <c r="AT141" s="322"/>
      <c r="AU141" s="322"/>
      <c r="AV141" s="322"/>
      <c r="AW141" s="322"/>
      <c r="AX141" s="322"/>
      <c r="AY141" s="322"/>
      <c r="AZ141" s="322"/>
      <c r="BA141" s="322"/>
      <c r="BB141" s="322"/>
      <c r="BC141" s="322"/>
      <c r="BD141" s="322"/>
      <c r="BE141" s="322"/>
      <c r="BF141" s="322"/>
      <c r="BG141" s="322"/>
      <c r="BH141" s="322"/>
      <c r="BI141" s="322"/>
      <c r="BJ141" s="322"/>
      <c r="BK141" s="322"/>
      <c r="BL141" s="322"/>
      <c r="BM141" s="322"/>
      <c r="BN141" s="322"/>
      <c r="BO141" s="322"/>
      <c r="BP141" s="322">
        <f>BS141-BO141</f>
        <v>11</v>
      </c>
      <c r="BQ141" s="322"/>
      <c r="BR141" s="322">
        <f>BU141-BT141</f>
        <v>10</v>
      </c>
      <c r="BS141" s="322">
        <v>11</v>
      </c>
      <c r="BT141" s="322">
        <v>0</v>
      </c>
      <c r="BU141" s="322">
        <v>10</v>
      </c>
      <c r="BV141" s="322">
        <v>0</v>
      </c>
      <c r="BW141" s="322">
        <f>BZ141-BV141</f>
        <v>0</v>
      </c>
      <c r="BX141" s="322">
        <f>CA141-BZ141</f>
        <v>0</v>
      </c>
      <c r="BY141" s="322"/>
      <c r="BZ141" s="322">
        <v>0</v>
      </c>
      <c r="CA141" s="322">
        <v>0</v>
      </c>
      <c r="CB141" s="322">
        <v>0</v>
      </c>
      <c r="CC141" s="322">
        <v>0</v>
      </c>
      <c r="CD141" s="322">
        <v>0</v>
      </c>
      <c r="CE141" s="322">
        <v>0</v>
      </c>
      <c r="CF141" s="322">
        <v>0</v>
      </c>
      <c r="CG141" s="322">
        <v>0</v>
      </c>
      <c r="CH141" s="322">
        <v>0</v>
      </c>
      <c r="CI141" s="322">
        <v>0</v>
      </c>
      <c r="CJ141" s="322">
        <v>0</v>
      </c>
      <c r="CK141" s="322">
        <v>0</v>
      </c>
      <c r="CL141" s="322">
        <v>0</v>
      </c>
      <c r="CM141" s="322">
        <v>0</v>
      </c>
      <c r="CN141" s="322">
        <v>0</v>
      </c>
      <c r="CO141" s="322">
        <v>0</v>
      </c>
    </row>
    <row r="142" spans="1:93" ht="13" x14ac:dyDescent="0.3">
      <c r="A142" s="366" t="str">
        <f>Language!$G139</f>
        <v>EBIT - Lucro Operacional</v>
      </c>
      <c r="B142" s="366">
        <f>SUM(B143,B144,B146)</f>
        <v>9345</v>
      </c>
      <c r="C142" s="366">
        <f>SUM(C143,C144,C146)</f>
        <v>8755</v>
      </c>
      <c r="D142" s="366">
        <f t="shared" ref="D142:K142" si="806">SUM(D143,D144,D146)</f>
        <v>9331</v>
      </c>
      <c r="E142" s="367">
        <f t="shared" si="806"/>
        <v>12801</v>
      </c>
      <c r="F142" s="366">
        <f t="shared" si="806"/>
        <v>12687</v>
      </c>
      <c r="G142" s="366">
        <f t="shared" si="806"/>
        <v>12551</v>
      </c>
      <c r="H142" s="366">
        <f t="shared" si="806"/>
        <v>12219</v>
      </c>
      <c r="I142" s="367">
        <f t="shared" si="806"/>
        <v>9017</v>
      </c>
      <c r="J142" s="366">
        <f t="shared" si="806"/>
        <v>18898</v>
      </c>
      <c r="K142" s="366">
        <f t="shared" si="806"/>
        <v>12271</v>
      </c>
      <c r="L142" s="366">
        <f t="shared" ref="L142:M142" si="807">SUM(L143,L144,L146)</f>
        <v>8325</v>
      </c>
      <c r="M142" s="367">
        <f t="shared" si="807"/>
        <v>36706.997943999988</v>
      </c>
      <c r="N142" s="366">
        <f t="shared" ref="N142:O142" si="808">SUM(N143,N144,N146)</f>
        <v>212072</v>
      </c>
      <c r="O142" s="366">
        <f t="shared" si="808"/>
        <v>9668.9743300000009</v>
      </c>
      <c r="P142" s="366">
        <f t="shared" ref="P142" si="809">SUM(P143,P144,P146)</f>
        <v>-3173.9207654520069</v>
      </c>
      <c r="Q142" s="367">
        <f>SUM(Q143,Q144,Q146)</f>
        <v>-469.05356454799403</v>
      </c>
      <c r="R142" s="366">
        <v>51207</v>
      </c>
      <c r="S142" s="366">
        <v>5056</v>
      </c>
      <c r="T142" s="366">
        <v>10074</v>
      </c>
      <c r="U142" s="366">
        <v>9954</v>
      </c>
      <c r="V142" s="366">
        <v>50416</v>
      </c>
      <c r="W142" s="366">
        <v>60490</v>
      </c>
      <c r="X142" s="367">
        <v>70444</v>
      </c>
      <c r="Y142" s="366">
        <f>SUM(Y143,Y144,Y145,Y146)</f>
        <v>1962</v>
      </c>
      <c r="Z142" s="366">
        <f>SUM(Z143,Z144,Z145,Z146)</f>
        <v>1767</v>
      </c>
      <c r="AA142" s="366">
        <f t="shared" ref="AA142:AB142" si="810">SUM(AA143,AA144,AA145,AA146)</f>
        <v>1037</v>
      </c>
      <c r="AB142" s="366">
        <f t="shared" si="810"/>
        <v>2710</v>
      </c>
      <c r="AC142" s="366">
        <f t="shared" ref="AC142:AD142" si="811">SUM(AC143,AC144,AC145,AC146)</f>
        <v>3729</v>
      </c>
      <c r="AD142" s="366">
        <f t="shared" si="811"/>
        <v>4766</v>
      </c>
      <c r="AE142" s="367">
        <f t="shared" ref="AE142:AF142" si="812">SUM(AE143,AE144,AE145,AE146)</f>
        <v>7476</v>
      </c>
      <c r="AF142" s="366">
        <f t="shared" si="812"/>
        <v>2301</v>
      </c>
      <c r="AG142" s="366">
        <f>SUM(AG143,AG144,AG145,AG146)</f>
        <v>2928</v>
      </c>
      <c r="AH142" s="366">
        <f t="shared" ref="AH142:AI142" si="813">SUM(AH143,AH144,AH145,AH146)</f>
        <v>2728</v>
      </c>
      <c r="AI142" s="366">
        <f t="shared" si="813"/>
        <v>15316</v>
      </c>
      <c r="AJ142" s="366">
        <f t="shared" ref="AJ142:AK142" si="814">SUM(AJ143,AJ144,AJ145,AJ146)</f>
        <v>5229</v>
      </c>
      <c r="AK142" s="366">
        <f t="shared" si="814"/>
        <v>7957</v>
      </c>
      <c r="AL142" s="367">
        <f t="shared" ref="AL142" si="815">SUM(AL143,AL144,AL145,AL146)</f>
        <v>15525</v>
      </c>
      <c r="AM142" s="366">
        <f>SUM(AM83,AM89,AM117)</f>
        <v>2732</v>
      </c>
      <c r="AN142" s="366">
        <f t="shared" si="795"/>
        <v>2373</v>
      </c>
      <c r="AO142" s="366">
        <f t="shared" si="796"/>
        <v>11458</v>
      </c>
      <c r="AP142" s="366">
        <f t="shared" si="796"/>
        <v>9372</v>
      </c>
      <c r="AQ142" s="366">
        <f t="shared" ref="AQ142:BS142" si="816">SUM(AQ83,AQ89,AQ117)</f>
        <v>5105</v>
      </c>
      <c r="AR142" s="366">
        <f t="shared" si="816"/>
        <v>16563</v>
      </c>
      <c r="AS142" s="367">
        <f t="shared" si="816"/>
        <v>25935</v>
      </c>
      <c r="AT142" s="366">
        <f t="shared" si="816"/>
        <v>10649</v>
      </c>
      <c r="AU142" s="366">
        <f t="shared" si="816"/>
        <v>11175</v>
      </c>
      <c r="AV142" s="366">
        <f t="shared" si="816"/>
        <v>12404.999999999998</v>
      </c>
      <c r="AW142" s="366">
        <f t="shared" si="816"/>
        <v>10419</v>
      </c>
      <c r="AX142" s="366">
        <f t="shared" si="816"/>
        <v>21824</v>
      </c>
      <c r="AY142" s="366">
        <f t="shared" si="816"/>
        <v>34229</v>
      </c>
      <c r="AZ142" s="366">
        <f t="shared" si="816"/>
        <v>44648</v>
      </c>
      <c r="BA142" s="366">
        <f t="shared" si="816"/>
        <v>11627</v>
      </c>
      <c r="BB142" s="366">
        <f t="shared" si="816"/>
        <v>12275</v>
      </c>
      <c r="BC142" s="366">
        <f t="shared" si="816"/>
        <v>13755</v>
      </c>
      <c r="BD142" s="366">
        <f t="shared" si="816"/>
        <v>11967</v>
      </c>
      <c r="BE142" s="366">
        <f t="shared" si="816"/>
        <v>23902</v>
      </c>
      <c r="BF142" s="366">
        <f t="shared" si="816"/>
        <v>37657</v>
      </c>
      <c r="BG142" s="366">
        <f t="shared" si="816"/>
        <v>49624</v>
      </c>
      <c r="BH142" s="366">
        <f t="shared" si="816"/>
        <v>12923</v>
      </c>
      <c r="BI142" s="366">
        <f t="shared" si="816"/>
        <v>12148</v>
      </c>
      <c r="BJ142" s="366">
        <f t="shared" si="816"/>
        <v>14965</v>
      </c>
      <c r="BK142" s="366">
        <f t="shared" si="816"/>
        <v>13215</v>
      </c>
      <c r="BL142" s="366">
        <f t="shared" si="816"/>
        <v>25071</v>
      </c>
      <c r="BM142" s="366">
        <f t="shared" si="816"/>
        <v>40036</v>
      </c>
      <c r="BN142" s="366">
        <f t="shared" si="816"/>
        <v>53251</v>
      </c>
      <c r="BO142" s="366">
        <f t="shared" si="816"/>
        <v>14309</v>
      </c>
      <c r="BP142" s="366">
        <f>SUM(BP83,BP89,BP117)</f>
        <v>14328</v>
      </c>
      <c r="BQ142" s="366">
        <f t="shared" si="816"/>
        <v>17179</v>
      </c>
      <c r="BR142" s="366">
        <f>SUM(BR83,BR89,BR117,BR137)</f>
        <v>13665</v>
      </c>
      <c r="BS142" s="366">
        <f t="shared" si="816"/>
        <v>28637</v>
      </c>
      <c r="BT142" s="366">
        <f t="shared" ref="BT142:BU142" si="817">SUM(BT83,BT89,BT117)</f>
        <v>45805</v>
      </c>
      <c r="BU142" s="366">
        <f t="shared" si="817"/>
        <v>59470</v>
      </c>
      <c r="BV142" s="366">
        <f t="shared" ref="BV142:BY142" si="818">SUM(BV83,BV89,BV117)</f>
        <v>17034</v>
      </c>
      <c r="BW142" s="366">
        <f t="shared" si="818"/>
        <v>16543</v>
      </c>
      <c r="BX142" s="366">
        <f t="shared" si="818"/>
        <v>16991</v>
      </c>
      <c r="BY142" s="366">
        <f t="shared" si="818"/>
        <v>15099</v>
      </c>
      <c r="BZ142" s="366">
        <f>SUM(BZ83,BZ89,BZ117)</f>
        <v>33577</v>
      </c>
      <c r="CA142" s="366">
        <f>SUM(CA83,CA89,CA117)</f>
        <v>50568</v>
      </c>
      <c r="CB142" s="366">
        <f>SUM(CB83,CB89,CB117)</f>
        <v>65667</v>
      </c>
      <c r="CC142" s="366">
        <f>SUM(CC83,CC89,CC117)</f>
        <v>16044</v>
      </c>
      <c r="CD142" s="366">
        <f>SUM(CD83,CD89,CD117)</f>
        <v>16017</v>
      </c>
      <c r="CE142" s="366">
        <f t="shared" ref="CE142:CF142" si="819">SUM(CE83,CE89,CE117)</f>
        <v>16676</v>
      </c>
      <c r="CF142" s="366">
        <f t="shared" si="819"/>
        <v>15583</v>
      </c>
      <c r="CG142" s="366">
        <f>SUM(CG83,CG89,CG117)</f>
        <v>32061</v>
      </c>
      <c r="CH142" s="366">
        <f t="shared" ref="CH142:CI142" si="820">SUM(CH83,CH89,CH117)</f>
        <v>48737</v>
      </c>
      <c r="CI142" s="366">
        <f t="shared" si="820"/>
        <v>64320</v>
      </c>
      <c r="CJ142" s="366">
        <v>15342</v>
      </c>
      <c r="CK142" s="366">
        <f t="shared" ref="CK142:CO142" si="821">SUM(CK83,CK89,CK117)</f>
        <v>16117</v>
      </c>
      <c r="CL142" s="366">
        <f t="shared" si="821"/>
        <v>0</v>
      </c>
      <c r="CM142" s="366">
        <f t="shared" si="821"/>
        <v>0</v>
      </c>
      <c r="CN142" s="366">
        <f t="shared" si="821"/>
        <v>31459</v>
      </c>
      <c r="CO142" s="366">
        <f t="shared" si="821"/>
        <v>0</v>
      </c>
    </row>
    <row r="143" spans="1:93" x14ac:dyDescent="0.25">
      <c r="A143" s="335" t="str">
        <f>Language!$G140</f>
        <v>Rio Verde</v>
      </c>
      <c r="B143" s="368">
        <f t="shared" ref="B143:Q143" si="822">SUM(B84,B90,B118)</f>
        <v>9734</v>
      </c>
      <c r="C143" s="368">
        <f t="shared" si="822"/>
        <v>9655</v>
      </c>
      <c r="D143" s="368">
        <f t="shared" si="822"/>
        <v>10956</v>
      </c>
      <c r="E143" s="369">
        <f t="shared" si="822"/>
        <v>11133</v>
      </c>
      <c r="F143" s="368">
        <f t="shared" si="822"/>
        <v>13134</v>
      </c>
      <c r="G143" s="368">
        <f t="shared" si="822"/>
        <v>13042</v>
      </c>
      <c r="H143" s="368">
        <f t="shared" si="822"/>
        <v>12615</v>
      </c>
      <c r="I143" s="369">
        <f t="shared" si="822"/>
        <v>9857</v>
      </c>
      <c r="J143" s="368">
        <f t="shared" si="822"/>
        <v>6359</v>
      </c>
      <c r="K143" s="368">
        <f t="shared" si="822"/>
        <v>13134</v>
      </c>
      <c r="L143" s="368">
        <f t="shared" si="822"/>
        <v>16459.245620000002</v>
      </c>
      <c r="M143" s="369">
        <f t="shared" si="822"/>
        <v>13346.972323999988</v>
      </c>
      <c r="N143" s="368">
        <f t="shared" si="822"/>
        <v>13604</v>
      </c>
      <c r="O143" s="368">
        <f t="shared" si="822"/>
        <v>11204.479599999999</v>
      </c>
      <c r="P143" s="368">
        <f t="shared" si="822"/>
        <v>3311.9734000000062</v>
      </c>
      <c r="Q143" s="369">
        <f t="shared" si="822"/>
        <v>7651.546999999995</v>
      </c>
      <c r="R143" s="368">
        <v>6185</v>
      </c>
      <c r="S143" s="368">
        <v>7593</v>
      </c>
      <c r="T143" s="368">
        <v>8964</v>
      </c>
      <c r="U143" s="368">
        <v>9766</v>
      </c>
      <c r="V143" s="368">
        <v>13778</v>
      </c>
      <c r="W143" s="368">
        <v>22742</v>
      </c>
      <c r="X143" s="369">
        <v>32508</v>
      </c>
      <c r="Y143" s="368">
        <f t="shared" ref="Y143:AL143" si="823">SUM(Y84,Y90,Y118)</f>
        <v>0</v>
      </c>
      <c r="Z143" s="368">
        <f t="shared" si="823"/>
        <v>0</v>
      </c>
      <c r="AA143" s="368">
        <f t="shared" si="823"/>
        <v>0</v>
      </c>
      <c r="AB143" s="368">
        <f t="shared" si="823"/>
        <v>0</v>
      </c>
      <c r="AC143" s="368">
        <f t="shared" si="823"/>
        <v>0</v>
      </c>
      <c r="AD143" s="368">
        <f t="shared" si="823"/>
        <v>0</v>
      </c>
      <c r="AE143" s="369">
        <f t="shared" si="823"/>
        <v>0</v>
      </c>
      <c r="AF143" s="368">
        <f t="shared" si="823"/>
        <v>0</v>
      </c>
      <c r="AG143" s="368">
        <f t="shared" si="823"/>
        <v>0</v>
      </c>
      <c r="AH143" s="368">
        <f t="shared" si="823"/>
        <v>0</v>
      </c>
      <c r="AI143" s="368">
        <f t="shared" si="823"/>
        <v>0</v>
      </c>
      <c r="AJ143" s="368">
        <f t="shared" si="823"/>
        <v>0</v>
      </c>
      <c r="AK143" s="368">
        <f t="shared" si="823"/>
        <v>0</v>
      </c>
      <c r="AL143" s="369">
        <f t="shared" si="823"/>
        <v>0</v>
      </c>
      <c r="AM143" s="368">
        <f>SUM(AM84,AM90,AM118)</f>
        <v>0</v>
      </c>
      <c r="AN143" s="368">
        <f t="shared" si="795"/>
        <v>0</v>
      </c>
      <c r="AO143" s="368">
        <f t="shared" si="796"/>
        <v>0</v>
      </c>
      <c r="AP143" s="368">
        <f t="shared" si="796"/>
        <v>0</v>
      </c>
      <c r="AQ143" s="368">
        <f t="shared" ref="AQ143:BS143" si="824">SUM(AQ84,AQ90,AQ118)</f>
        <v>0</v>
      </c>
      <c r="AR143" s="368">
        <f t="shared" si="824"/>
        <v>0</v>
      </c>
      <c r="AS143" s="369">
        <f t="shared" si="824"/>
        <v>0</v>
      </c>
      <c r="AT143" s="368">
        <f t="shared" si="824"/>
        <v>0</v>
      </c>
      <c r="AU143" s="368">
        <f t="shared" si="824"/>
        <v>0</v>
      </c>
      <c r="AV143" s="368">
        <f t="shared" si="824"/>
        <v>0</v>
      </c>
      <c r="AW143" s="368">
        <f t="shared" si="824"/>
        <v>0</v>
      </c>
      <c r="AX143" s="368">
        <f t="shared" si="824"/>
        <v>0</v>
      </c>
      <c r="AY143" s="368">
        <f t="shared" si="824"/>
        <v>0</v>
      </c>
      <c r="AZ143" s="368">
        <f t="shared" si="824"/>
        <v>0</v>
      </c>
      <c r="BA143" s="368">
        <f t="shared" si="824"/>
        <v>0</v>
      </c>
      <c r="BB143" s="368">
        <f t="shared" si="824"/>
        <v>0</v>
      </c>
      <c r="BC143" s="368">
        <f t="shared" si="824"/>
        <v>0</v>
      </c>
      <c r="BD143" s="368">
        <f t="shared" si="824"/>
        <v>0</v>
      </c>
      <c r="BE143" s="368">
        <f t="shared" si="824"/>
        <v>0</v>
      </c>
      <c r="BF143" s="368">
        <f t="shared" si="824"/>
        <v>0</v>
      </c>
      <c r="BG143" s="368">
        <f t="shared" si="824"/>
        <v>0</v>
      </c>
      <c r="BH143" s="368">
        <f t="shared" si="824"/>
        <v>0</v>
      </c>
      <c r="BI143" s="368">
        <f t="shared" si="824"/>
        <v>0</v>
      </c>
      <c r="BJ143" s="368">
        <f t="shared" si="824"/>
        <v>0</v>
      </c>
      <c r="BK143" s="368">
        <f t="shared" si="824"/>
        <v>0</v>
      </c>
      <c r="BL143" s="368">
        <f t="shared" si="824"/>
        <v>0</v>
      </c>
      <c r="BM143" s="368">
        <f t="shared" si="824"/>
        <v>0</v>
      </c>
      <c r="BN143" s="368">
        <f t="shared" si="824"/>
        <v>0</v>
      </c>
      <c r="BO143" s="368">
        <f t="shared" si="824"/>
        <v>0</v>
      </c>
      <c r="BP143" s="368">
        <f t="shared" ref="BP143" si="825">SUM(BP84,BP90,BP118)</f>
        <v>0</v>
      </c>
      <c r="BQ143" s="368">
        <f t="shared" si="824"/>
        <v>0</v>
      </c>
      <c r="BR143" s="368">
        <f t="shared" si="824"/>
        <v>0</v>
      </c>
      <c r="BS143" s="368">
        <f t="shared" si="824"/>
        <v>0</v>
      </c>
      <c r="BT143" s="368">
        <f t="shared" ref="BT143:BU143" si="826">SUM(BT84,BT90,BT118)</f>
        <v>0</v>
      </c>
      <c r="BU143" s="368">
        <f t="shared" si="826"/>
        <v>0</v>
      </c>
      <c r="BV143" s="368">
        <f t="shared" ref="BV143:BZ143" si="827">SUM(BV84,BV90,BV118)</f>
        <v>0</v>
      </c>
      <c r="BW143" s="368">
        <f t="shared" si="827"/>
        <v>0</v>
      </c>
      <c r="BX143" s="368">
        <f t="shared" si="827"/>
        <v>0</v>
      </c>
      <c r="BY143" s="368">
        <f t="shared" si="827"/>
        <v>0</v>
      </c>
      <c r="BZ143" s="368">
        <f t="shared" si="827"/>
        <v>0</v>
      </c>
      <c r="CA143" s="368">
        <f t="shared" ref="CA143:CB143" si="828">SUM(CA84,CA90,CA118)</f>
        <v>0</v>
      </c>
      <c r="CB143" s="368">
        <f t="shared" si="828"/>
        <v>0</v>
      </c>
      <c r="CC143" s="368">
        <f t="shared" ref="CC143:CD143" si="829">SUM(CC84,CC90,CC118)</f>
        <v>0</v>
      </c>
      <c r="CD143" s="368">
        <f t="shared" si="829"/>
        <v>0</v>
      </c>
      <c r="CE143" s="368">
        <f t="shared" ref="CE143:CG143" si="830">SUM(CE84,CE90,CE118)</f>
        <v>0</v>
      </c>
      <c r="CF143" s="368">
        <f t="shared" si="830"/>
        <v>0</v>
      </c>
      <c r="CG143" s="368">
        <f t="shared" si="830"/>
        <v>0</v>
      </c>
      <c r="CH143" s="368">
        <f t="shared" ref="CH143:CI143" si="831">SUM(CH84,CH90,CH118)</f>
        <v>0</v>
      </c>
      <c r="CI143" s="368">
        <f t="shared" si="831"/>
        <v>0</v>
      </c>
      <c r="CJ143" s="368">
        <v>0</v>
      </c>
      <c r="CK143" s="368">
        <f t="shared" ref="CK143:CO143" si="832">SUM(CK84,CK90,CK118)</f>
        <v>0</v>
      </c>
      <c r="CL143" s="368">
        <f t="shared" si="832"/>
        <v>0</v>
      </c>
      <c r="CM143" s="368">
        <f t="shared" si="832"/>
        <v>0</v>
      </c>
      <c r="CN143" s="368">
        <f t="shared" si="832"/>
        <v>0</v>
      </c>
      <c r="CO143" s="368">
        <f t="shared" si="832"/>
        <v>0</v>
      </c>
    </row>
    <row r="144" spans="1:93" x14ac:dyDescent="0.25">
      <c r="A144" s="335" t="str">
        <f>Language!$G141</f>
        <v>Rio Canoas</v>
      </c>
      <c r="B144" s="368">
        <f t="shared" ref="B144:Q144" si="833">SUM(B85,B91,B119)</f>
        <v>-367</v>
      </c>
      <c r="C144" s="368">
        <f t="shared" si="833"/>
        <v>-815</v>
      </c>
      <c r="D144" s="368">
        <f t="shared" si="833"/>
        <v>-1729</v>
      </c>
      <c r="E144" s="369">
        <f t="shared" si="833"/>
        <v>1674</v>
      </c>
      <c r="F144" s="368">
        <f t="shared" si="833"/>
        <v>-447</v>
      </c>
      <c r="G144" s="368">
        <f t="shared" si="833"/>
        <v>-489</v>
      </c>
      <c r="H144" s="368">
        <f t="shared" si="833"/>
        <v>-333</v>
      </c>
      <c r="I144" s="369">
        <f t="shared" si="833"/>
        <v>-576</v>
      </c>
      <c r="J144" s="368">
        <f t="shared" si="833"/>
        <v>-572</v>
      </c>
      <c r="K144" s="368">
        <f t="shared" si="833"/>
        <v>-501</v>
      </c>
      <c r="L144" s="368">
        <f t="shared" si="833"/>
        <v>-43.245620000001509</v>
      </c>
      <c r="M144" s="369">
        <f t="shared" si="833"/>
        <v>23036.02562</v>
      </c>
      <c r="N144" s="368">
        <f t="shared" si="833"/>
        <v>198695</v>
      </c>
      <c r="O144" s="368">
        <f t="shared" si="833"/>
        <v>-1113.5052699999978</v>
      </c>
      <c r="P144" s="368">
        <f t="shared" si="833"/>
        <v>-6087.8941743299911</v>
      </c>
      <c r="Q144" s="369">
        <f t="shared" si="833"/>
        <v>-6982.6005556700111</v>
      </c>
      <c r="R144" s="368">
        <v>46477</v>
      </c>
      <c r="S144" s="368">
        <v>-13505</v>
      </c>
      <c r="T144" s="368">
        <v>-6921</v>
      </c>
      <c r="U144" s="368">
        <v>-464</v>
      </c>
      <c r="V144" s="368">
        <v>32972</v>
      </c>
      <c r="W144" s="368">
        <v>26051</v>
      </c>
      <c r="X144" s="369">
        <v>25587</v>
      </c>
      <c r="Y144" s="368">
        <f t="shared" ref="Y144:AL144" si="834">SUM(Y85,Y91,Y119)</f>
        <v>0</v>
      </c>
      <c r="Z144" s="368">
        <f t="shared" si="834"/>
        <v>0</v>
      </c>
      <c r="AA144" s="368">
        <f t="shared" si="834"/>
        <v>0</v>
      </c>
      <c r="AB144" s="368">
        <f t="shared" si="834"/>
        <v>0</v>
      </c>
      <c r="AC144" s="368">
        <f t="shared" si="834"/>
        <v>0</v>
      </c>
      <c r="AD144" s="368">
        <f t="shared" si="834"/>
        <v>0</v>
      </c>
      <c r="AE144" s="369">
        <f t="shared" si="834"/>
        <v>0</v>
      </c>
      <c r="AF144" s="368">
        <f t="shared" si="834"/>
        <v>0</v>
      </c>
      <c r="AG144" s="368">
        <f t="shared" si="834"/>
        <v>0</v>
      </c>
      <c r="AH144" s="368">
        <f t="shared" si="834"/>
        <v>0</v>
      </c>
      <c r="AI144" s="368">
        <f t="shared" si="834"/>
        <v>0</v>
      </c>
      <c r="AJ144" s="368">
        <f t="shared" si="834"/>
        <v>0</v>
      </c>
      <c r="AK144" s="368">
        <f t="shared" si="834"/>
        <v>0</v>
      </c>
      <c r="AL144" s="369">
        <f t="shared" si="834"/>
        <v>0</v>
      </c>
      <c r="AM144" s="368">
        <f>SUM(AM85,AM91,AM119)</f>
        <v>0</v>
      </c>
      <c r="AN144" s="368">
        <f t="shared" si="795"/>
        <v>0</v>
      </c>
      <c r="AO144" s="368">
        <f t="shared" si="796"/>
        <v>0</v>
      </c>
      <c r="AP144" s="368">
        <f t="shared" si="796"/>
        <v>0</v>
      </c>
      <c r="AQ144" s="368">
        <f t="shared" ref="AQ144:BS144" si="835">SUM(AQ85,AQ91,AQ119)</f>
        <v>0</v>
      </c>
      <c r="AR144" s="368">
        <f t="shared" si="835"/>
        <v>0</v>
      </c>
      <c r="AS144" s="369">
        <f t="shared" si="835"/>
        <v>0</v>
      </c>
      <c r="AT144" s="368">
        <f t="shared" si="835"/>
        <v>0</v>
      </c>
      <c r="AU144" s="368">
        <f t="shared" si="835"/>
        <v>0</v>
      </c>
      <c r="AV144" s="368">
        <f t="shared" si="835"/>
        <v>0</v>
      </c>
      <c r="AW144" s="368">
        <f t="shared" si="835"/>
        <v>0</v>
      </c>
      <c r="AX144" s="368">
        <f t="shared" si="835"/>
        <v>0</v>
      </c>
      <c r="AY144" s="368">
        <f t="shared" si="835"/>
        <v>0</v>
      </c>
      <c r="AZ144" s="368">
        <f t="shared" si="835"/>
        <v>0</v>
      </c>
      <c r="BA144" s="368">
        <f t="shared" si="835"/>
        <v>0</v>
      </c>
      <c r="BB144" s="368">
        <f t="shared" si="835"/>
        <v>0</v>
      </c>
      <c r="BC144" s="368">
        <f t="shared" si="835"/>
        <v>0</v>
      </c>
      <c r="BD144" s="368">
        <f t="shared" si="835"/>
        <v>0</v>
      </c>
      <c r="BE144" s="368">
        <f t="shared" si="835"/>
        <v>0</v>
      </c>
      <c r="BF144" s="368">
        <f t="shared" si="835"/>
        <v>0</v>
      </c>
      <c r="BG144" s="368">
        <f t="shared" si="835"/>
        <v>0</v>
      </c>
      <c r="BH144" s="368">
        <f t="shared" si="835"/>
        <v>0</v>
      </c>
      <c r="BI144" s="368">
        <f t="shared" si="835"/>
        <v>0</v>
      </c>
      <c r="BJ144" s="368">
        <f t="shared" si="835"/>
        <v>0</v>
      </c>
      <c r="BK144" s="368">
        <f t="shared" si="835"/>
        <v>0</v>
      </c>
      <c r="BL144" s="368">
        <f t="shared" si="835"/>
        <v>0</v>
      </c>
      <c r="BM144" s="368">
        <f t="shared" si="835"/>
        <v>0</v>
      </c>
      <c r="BN144" s="368">
        <f t="shared" si="835"/>
        <v>0</v>
      </c>
      <c r="BO144" s="368">
        <f t="shared" si="835"/>
        <v>0</v>
      </c>
      <c r="BP144" s="368">
        <f t="shared" ref="BP144" si="836">SUM(BP85,BP91,BP119)</f>
        <v>0</v>
      </c>
      <c r="BQ144" s="368">
        <f t="shared" si="835"/>
        <v>0</v>
      </c>
      <c r="BR144" s="368">
        <f t="shared" si="835"/>
        <v>0</v>
      </c>
      <c r="BS144" s="368">
        <f t="shared" si="835"/>
        <v>0</v>
      </c>
      <c r="BT144" s="368">
        <f t="shared" ref="BT144:BU144" si="837">SUM(BT85,BT91,BT119)</f>
        <v>0</v>
      </c>
      <c r="BU144" s="368">
        <f t="shared" si="837"/>
        <v>0</v>
      </c>
      <c r="BV144" s="368">
        <f t="shared" ref="BV144:BZ144" si="838">SUM(BV85,BV91,BV119)</f>
        <v>0</v>
      </c>
      <c r="BW144" s="368">
        <f t="shared" si="838"/>
        <v>0</v>
      </c>
      <c r="BX144" s="368">
        <f t="shared" si="838"/>
        <v>0</v>
      </c>
      <c r="BY144" s="368">
        <f t="shared" si="838"/>
        <v>0</v>
      </c>
      <c r="BZ144" s="368">
        <f t="shared" si="838"/>
        <v>0</v>
      </c>
      <c r="CA144" s="368">
        <f t="shared" ref="CA144:CB144" si="839">SUM(CA85,CA91,CA119)</f>
        <v>0</v>
      </c>
      <c r="CB144" s="368">
        <f t="shared" si="839"/>
        <v>0</v>
      </c>
      <c r="CC144" s="368">
        <f t="shared" ref="CC144:CD144" si="840">SUM(CC85,CC91,CC119)</f>
        <v>0</v>
      </c>
      <c r="CD144" s="368">
        <f t="shared" si="840"/>
        <v>0</v>
      </c>
      <c r="CE144" s="368">
        <f t="shared" ref="CE144:CG144" si="841">SUM(CE85,CE91,CE119)</f>
        <v>0</v>
      </c>
      <c r="CF144" s="368">
        <f t="shared" si="841"/>
        <v>0</v>
      </c>
      <c r="CG144" s="368">
        <f t="shared" si="841"/>
        <v>0</v>
      </c>
      <c r="CH144" s="368">
        <f t="shared" ref="CH144:CI144" si="842">SUM(CH85,CH91,CH119)</f>
        <v>0</v>
      </c>
      <c r="CI144" s="368">
        <f t="shared" si="842"/>
        <v>0</v>
      </c>
      <c r="CJ144" s="368">
        <v>0</v>
      </c>
      <c r="CK144" s="368">
        <f t="shared" ref="CK144:CO144" si="843">SUM(CK85,CK91,CK119)</f>
        <v>0</v>
      </c>
      <c r="CL144" s="368">
        <f t="shared" si="843"/>
        <v>0</v>
      </c>
      <c r="CM144" s="368">
        <f t="shared" si="843"/>
        <v>0</v>
      </c>
      <c r="CN144" s="368">
        <f t="shared" si="843"/>
        <v>0</v>
      </c>
      <c r="CO144" s="368">
        <f t="shared" si="843"/>
        <v>0</v>
      </c>
    </row>
    <row r="145" spans="1:93" x14ac:dyDescent="0.25">
      <c r="A145" s="335" t="str">
        <f>Language!$G142</f>
        <v>Tijoá</v>
      </c>
      <c r="B145" s="368">
        <f t="shared" ref="B145:Q145" si="844">SUM(B86,B92,B120)</f>
        <v>0</v>
      </c>
      <c r="C145" s="368">
        <f t="shared" si="844"/>
        <v>0</v>
      </c>
      <c r="D145" s="368">
        <f t="shared" si="844"/>
        <v>0</v>
      </c>
      <c r="E145" s="369">
        <f t="shared" si="844"/>
        <v>0</v>
      </c>
      <c r="F145" s="368">
        <f t="shared" si="844"/>
        <v>0</v>
      </c>
      <c r="G145" s="368">
        <f t="shared" si="844"/>
        <v>0</v>
      </c>
      <c r="H145" s="368">
        <f t="shared" si="844"/>
        <v>0</v>
      </c>
      <c r="I145" s="369">
        <f t="shared" si="844"/>
        <v>0</v>
      </c>
      <c r="J145" s="368">
        <f t="shared" si="844"/>
        <v>0</v>
      </c>
      <c r="K145" s="368">
        <f t="shared" si="844"/>
        <v>0</v>
      </c>
      <c r="L145" s="368">
        <f t="shared" si="844"/>
        <v>0</v>
      </c>
      <c r="M145" s="369">
        <f t="shared" si="844"/>
        <v>0</v>
      </c>
      <c r="N145" s="368">
        <f t="shared" si="844"/>
        <v>0</v>
      </c>
      <c r="O145" s="368">
        <f t="shared" si="844"/>
        <v>0</v>
      </c>
      <c r="P145" s="368">
        <f t="shared" si="844"/>
        <v>0</v>
      </c>
      <c r="Q145" s="369">
        <f t="shared" si="844"/>
        <v>0</v>
      </c>
      <c r="R145" s="368">
        <v>-767</v>
      </c>
      <c r="S145" s="368">
        <v>2257</v>
      </c>
      <c r="T145" s="368">
        <v>6590</v>
      </c>
      <c r="U145" s="368">
        <v>214</v>
      </c>
      <c r="V145" s="368">
        <v>1490</v>
      </c>
      <c r="W145" s="368">
        <v>8080</v>
      </c>
      <c r="X145" s="369">
        <v>8294</v>
      </c>
      <c r="Y145" s="368">
        <f t="shared" ref="Y145:AL145" si="845">SUM(Y86,Y92,Y120)</f>
        <v>1962</v>
      </c>
      <c r="Z145" s="368">
        <f t="shared" si="845"/>
        <v>1767</v>
      </c>
      <c r="AA145" s="368">
        <f t="shared" si="845"/>
        <v>-303</v>
      </c>
      <c r="AB145" s="368">
        <f t="shared" si="845"/>
        <v>2237</v>
      </c>
      <c r="AC145" s="368">
        <f t="shared" si="845"/>
        <v>3729</v>
      </c>
      <c r="AD145" s="368">
        <f t="shared" si="845"/>
        <v>3426</v>
      </c>
      <c r="AE145" s="369">
        <f t="shared" si="845"/>
        <v>5663</v>
      </c>
      <c r="AF145" s="368">
        <f t="shared" si="845"/>
        <v>1815</v>
      </c>
      <c r="AG145" s="368">
        <f t="shared" si="845"/>
        <v>2442</v>
      </c>
      <c r="AH145" s="368">
        <f t="shared" si="845"/>
        <v>7031</v>
      </c>
      <c r="AI145" s="368">
        <f t="shared" si="845"/>
        <v>7747</v>
      </c>
      <c r="AJ145" s="368">
        <f t="shared" si="845"/>
        <v>4257</v>
      </c>
      <c r="AK145" s="368">
        <f t="shared" si="845"/>
        <v>11288</v>
      </c>
      <c r="AL145" s="369">
        <f t="shared" si="845"/>
        <v>14779</v>
      </c>
      <c r="AM145" s="368">
        <f>SUM(AM86,AM92,AM120)</f>
        <v>2198</v>
      </c>
      <c r="AN145" s="368">
        <f t="shared" si="795"/>
        <v>2106</v>
      </c>
      <c r="AO145" s="368">
        <f t="shared" si="796"/>
        <v>10885</v>
      </c>
      <c r="AP145" s="368">
        <f t="shared" si="796"/>
        <v>9435.7300441235457</v>
      </c>
      <c r="AQ145" s="368">
        <f t="shared" ref="AQ145:BS145" si="846">SUM(AQ86,AQ92,AQ120)</f>
        <v>4304</v>
      </c>
      <c r="AR145" s="368">
        <f t="shared" si="846"/>
        <v>15189</v>
      </c>
      <c r="AS145" s="369">
        <f t="shared" si="846"/>
        <v>24624.730044123546</v>
      </c>
      <c r="AT145" s="368">
        <f t="shared" si="846"/>
        <v>10663</v>
      </c>
      <c r="AU145" s="368">
        <f t="shared" si="846"/>
        <v>11096</v>
      </c>
      <c r="AV145" s="368">
        <f t="shared" si="846"/>
        <v>11931</v>
      </c>
      <c r="AW145" s="368">
        <f t="shared" si="846"/>
        <v>10160</v>
      </c>
      <c r="AX145" s="368">
        <f t="shared" si="846"/>
        <v>21759</v>
      </c>
      <c r="AY145" s="368">
        <f t="shared" si="846"/>
        <v>33690</v>
      </c>
      <c r="AZ145" s="368">
        <f t="shared" si="846"/>
        <v>43850</v>
      </c>
      <c r="BA145" s="368">
        <f t="shared" si="846"/>
        <v>11883</v>
      </c>
      <c r="BB145" s="368">
        <f t="shared" si="846"/>
        <v>12318</v>
      </c>
      <c r="BC145" s="368">
        <f t="shared" si="846"/>
        <v>13618</v>
      </c>
      <c r="BD145" s="368">
        <f t="shared" si="846"/>
        <v>11996</v>
      </c>
      <c r="BE145" s="368">
        <f t="shared" si="846"/>
        <v>24201</v>
      </c>
      <c r="BF145" s="368">
        <f t="shared" si="846"/>
        <v>37819</v>
      </c>
      <c r="BG145" s="368">
        <f t="shared" si="846"/>
        <v>49815</v>
      </c>
      <c r="BH145" s="368">
        <f t="shared" si="846"/>
        <v>12947</v>
      </c>
      <c r="BI145" s="368">
        <f t="shared" si="846"/>
        <v>12192</v>
      </c>
      <c r="BJ145" s="368">
        <f t="shared" si="846"/>
        <v>15016</v>
      </c>
      <c r="BK145" s="368">
        <f t="shared" si="846"/>
        <v>13267</v>
      </c>
      <c r="BL145" s="368">
        <f t="shared" si="846"/>
        <v>25139</v>
      </c>
      <c r="BM145" s="368">
        <f t="shared" si="846"/>
        <v>40155</v>
      </c>
      <c r="BN145" s="368">
        <f t="shared" si="846"/>
        <v>53422</v>
      </c>
      <c r="BO145" s="368">
        <f t="shared" si="846"/>
        <v>14433</v>
      </c>
      <c r="BP145" s="368">
        <f t="shared" ref="BP145" si="847">SUM(BP86,BP92,BP120)</f>
        <v>14465</v>
      </c>
      <c r="BQ145" s="368">
        <f t="shared" si="846"/>
        <v>17358</v>
      </c>
      <c r="BR145" s="368">
        <f t="shared" si="846"/>
        <v>13667</v>
      </c>
      <c r="BS145" s="368">
        <f t="shared" si="846"/>
        <v>28898</v>
      </c>
      <c r="BT145" s="368">
        <f t="shared" ref="BT145:BU145" si="848">SUM(BT86,BT92,BT120)</f>
        <v>46256</v>
      </c>
      <c r="BU145" s="368">
        <f t="shared" si="848"/>
        <v>59923</v>
      </c>
      <c r="BV145" s="368">
        <f t="shared" ref="BV145:BY145" si="849">SUM(BV86,BV92,BV120)</f>
        <v>17099</v>
      </c>
      <c r="BW145" s="368">
        <f t="shared" si="849"/>
        <v>16564</v>
      </c>
      <c r="BX145" s="368">
        <f t="shared" si="849"/>
        <v>17033</v>
      </c>
      <c r="BY145" s="368">
        <f t="shared" si="849"/>
        <v>15113</v>
      </c>
      <c r="BZ145" s="371">
        <f t="shared" ref="BV145:BZ146" si="850">SUM(BZ86,BZ87,BZ92,BZ120,BZ93)</f>
        <v>33663</v>
      </c>
      <c r="CA145" s="371">
        <f t="shared" ref="CA145:CB145" si="851">SUM(CA86,CA87,CA92,CA120,CA93)</f>
        <v>50696</v>
      </c>
      <c r="CB145" s="371">
        <f t="shared" si="851"/>
        <v>65809</v>
      </c>
      <c r="CC145" s="371">
        <f t="shared" ref="CC145:CD145" si="852">SUM(CC86,CC87,CC92,CC120,CC93)</f>
        <v>16246</v>
      </c>
      <c r="CD145" s="371">
        <f t="shared" si="852"/>
        <v>16038</v>
      </c>
      <c r="CE145" s="371">
        <f t="shared" ref="CE145:CG145" si="853">SUM(CE86,CE87,CE92,CE120,CE93)</f>
        <v>16705</v>
      </c>
      <c r="CF145" s="371">
        <f t="shared" si="853"/>
        <v>15774</v>
      </c>
      <c r="CG145" s="371">
        <f t="shared" si="853"/>
        <v>32284</v>
      </c>
      <c r="CH145" s="371">
        <f t="shared" ref="CH145:CI145" si="854">SUM(CH86,CH87,CH92,CH120,CH93)</f>
        <v>48989</v>
      </c>
      <c r="CI145" s="371">
        <f t="shared" si="854"/>
        <v>64763</v>
      </c>
      <c r="CJ145" s="371">
        <v>17134</v>
      </c>
      <c r="CK145" s="371">
        <f t="shared" ref="CK145:CO145" si="855">SUM(CK86,CK87,CK92,CK120,CK93)</f>
        <v>17284</v>
      </c>
      <c r="CL145" s="371">
        <f t="shared" si="855"/>
        <v>0</v>
      </c>
      <c r="CM145" s="371">
        <f t="shared" si="855"/>
        <v>0</v>
      </c>
      <c r="CN145" s="371">
        <f t="shared" si="855"/>
        <v>34418</v>
      </c>
      <c r="CO145" s="371">
        <f t="shared" si="855"/>
        <v>0</v>
      </c>
    </row>
    <row r="146" spans="1:93" x14ac:dyDescent="0.25">
      <c r="A146" s="370" t="str">
        <f>Language!$G143</f>
        <v>Outros</v>
      </c>
      <c r="B146" s="371">
        <f t="shared" ref="B146:Q146" si="856">SUM(B87,B93,B121)</f>
        <v>-22</v>
      </c>
      <c r="C146" s="371">
        <f t="shared" si="856"/>
        <v>-85</v>
      </c>
      <c r="D146" s="371">
        <f t="shared" si="856"/>
        <v>104</v>
      </c>
      <c r="E146" s="372">
        <f t="shared" si="856"/>
        <v>-6</v>
      </c>
      <c r="F146" s="371">
        <f t="shared" si="856"/>
        <v>0</v>
      </c>
      <c r="G146" s="371">
        <f t="shared" si="856"/>
        <v>-2</v>
      </c>
      <c r="H146" s="371">
        <f t="shared" si="856"/>
        <v>-63</v>
      </c>
      <c r="I146" s="372">
        <f t="shared" si="856"/>
        <v>-264</v>
      </c>
      <c r="J146" s="371">
        <f t="shared" si="856"/>
        <v>13111</v>
      </c>
      <c r="K146" s="371">
        <f t="shared" si="856"/>
        <v>-362</v>
      </c>
      <c r="L146" s="371">
        <f t="shared" si="856"/>
        <v>-8091</v>
      </c>
      <c r="M146" s="372">
        <f t="shared" si="856"/>
        <v>324</v>
      </c>
      <c r="N146" s="371">
        <f t="shared" si="856"/>
        <v>-227</v>
      </c>
      <c r="O146" s="371">
        <f t="shared" si="856"/>
        <v>-422</v>
      </c>
      <c r="P146" s="371">
        <f t="shared" si="856"/>
        <v>-397.99999112202204</v>
      </c>
      <c r="Q146" s="372">
        <f t="shared" si="856"/>
        <v>-1138.000008877978</v>
      </c>
      <c r="R146" s="371">
        <v>-688</v>
      </c>
      <c r="S146" s="371">
        <v>8711</v>
      </c>
      <c r="T146" s="371">
        <v>1441</v>
      </c>
      <c r="U146" s="371">
        <v>438</v>
      </c>
      <c r="V146" s="371">
        <v>2176</v>
      </c>
      <c r="W146" s="371">
        <v>3617</v>
      </c>
      <c r="X146" s="372">
        <v>4055</v>
      </c>
      <c r="Y146" s="371">
        <f t="shared" ref="Y146:AM146" si="857">SUM(Y87,Y93,Y121,Y94)</f>
        <v>0</v>
      </c>
      <c r="Z146" s="371">
        <f t="shared" si="857"/>
        <v>0</v>
      </c>
      <c r="AA146" s="371">
        <f t="shared" si="857"/>
        <v>1340</v>
      </c>
      <c r="AB146" s="371">
        <f t="shared" si="857"/>
        <v>473</v>
      </c>
      <c r="AC146" s="371">
        <f t="shared" si="857"/>
        <v>0</v>
      </c>
      <c r="AD146" s="371">
        <f t="shared" si="857"/>
        <v>1340</v>
      </c>
      <c r="AE146" s="372">
        <f t="shared" si="857"/>
        <v>1813</v>
      </c>
      <c r="AF146" s="371">
        <f t="shared" si="857"/>
        <v>486</v>
      </c>
      <c r="AG146" s="371">
        <f t="shared" si="857"/>
        <v>486</v>
      </c>
      <c r="AH146" s="371">
        <f t="shared" si="857"/>
        <v>-4303</v>
      </c>
      <c r="AI146" s="371">
        <f t="shared" si="857"/>
        <v>7569</v>
      </c>
      <c r="AJ146" s="371">
        <f t="shared" si="857"/>
        <v>972</v>
      </c>
      <c r="AK146" s="371">
        <f t="shared" si="857"/>
        <v>-3331</v>
      </c>
      <c r="AL146" s="372">
        <f t="shared" si="857"/>
        <v>746</v>
      </c>
      <c r="AM146" s="371">
        <f t="shared" si="857"/>
        <v>659</v>
      </c>
      <c r="AN146" s="371">
        <f t="shared" si="795"/>
        <v>164</v>
      </c>
      <c r="AO146" s="371">
        <f t="shared" si="796"/>
        <v>551</v>
      </c>
      <c r="AP146" s="371">
        <f t="shared" si="796"/>
        <v>-63.730044123546122</v>
      </c>
      <c r="AQ146" s="371">
        <f>SUM(AQ87,AQ93,AQ121,AQ94)</f>
        <v>823</v>
      </c>
      <c r="AR146" s="371">
        <f t="shared" ref="AR146:BS146" si="858">SUM(AR87,AR88,AR93,AR121,AR94)</f>
        <v>1374</v>
      </c>
      <c r="AS146" s="372">
        <f t="shared" si="858"/>
        <v>1310.2699558764539</v>
      </c>
      <c r="AT146" s="371">
        <f t="shared" si="858"/>
        <v>-14.000000000000227</v>
      </c>
      <c r="AU146" s="371">
        <f t="shared" si="858"/>
        <v>79</v>
      </c>
      <c r="AV146" s="371">
        <f t="shared" si="858"/>
        <v>474</v>
      </c>
      <c r="AW146" s="371">
        <f t="shared" si="858"/>
        <v>259</v>
      </c>
      <c r="AX146" s="371">
        <f t="shared" si="858"/>
        <v>64.999999999999545</v>
      </c>
      <c r="AY146" s="371">
        <f t="shared" si="858"/>
        <v>539</v>
      </c>
      <c r="AZ146" s="371">
        <f t="shared" si="858"/>
        <v>798</v>
      </c>
      <c r="BA146" s="371">
        <f t="shared" si="858"/>
        <v>-256</v>
      </c>
      <c r="BB146" s="371">
        <f t="shared" si="858"/>
        <v>-43</v>
      </c>
      <c r="BC146" s="371">
        <f t="shared" si="858"/>
        <v>137</v>
      </c>
      <c r="BD146" s="371">
        <f t="shared" si="858"/>
        <v>-29</v>
      </c>
      <c r="BE146" s="371">
        <f t="shared" si="858"/>
        <v>-299</v>
      </c>
      <c r="BF146" s="371">
        <f t="shared" si="858"/>
        <v>-162</v>
      </c>
      <c r="BG146" s="371">
        <f t="shared" si="858"/>
        <v>-191</v>
      </c>
      <c r="BH146" s="371">
        <f t="shared" si="858"/>
        <v>-24</v>
      </c>
      <c r="BI146" s="371">
        <f t="shared" si="858"/>
        <v>-44</v>
      </c>
      <c r="BJ146" s="371">
        <f t="shared" si="858"/>
        <v>-51</v>
      </c>
      <c r="BK146" s="371">
        <f t="shared" si="858"/>
        <v>-52</v>
      </c>
      <c r="BL146" s="371">
        <f t="shared" si="858"/>
        <v>-68</v>
      </c>
      <c r="BM146" s="371">
        <f t="shared" si="858"/>
        <v>-119</v>
      </c>
      <c r="BN146" s="371">
        <f t="shared" si="858"/>
        <v>-171</v>
      </c>
      <c r="BO146" s="371">
        <f t="shared" si="858"/>
        <v>-124</v>
      </c>
      <c r="BP146" s="371">
        <f>SUM(BP87,BP88,BP93,BP121,BP94,BP141)</f>
        <v>-126</v>
      </c>
      <c r="BQ146" s="371">
        <f t="shared" si="858"/>
        <v>-179</v>
      </c>
      <c r="BR146" s="371">
        <f t="shared" si="858"/>
        <v>-12</v>
      </c>
      <c r="BS146" s="371">
        <f t="shared" si="858"/>
        <v>-261</v>
      </c>
      <c r="BT146" s="371">
        <f t="shared" ref="BT146:BU146" si="859">SUM(BT87,BT88,BT93,BT121,BT94)</f>
        <v>-451</v>
      </c>
      <c r="BU146" s="371">
        <f t="shared" si="859"/>
        <v>-453</v>
      </c>
      <c r="BV146" s="371">
        <f t="shared" si="850"/>
        <v>-65</v>
      </c>
      <c r="BW146" s="371">
        <f t="shared" si="850"/>
        <v>-21</v>
      </c>
      <c r="BX146" s="371">
        <f t="shared" si="850"/>
        <v>-42</v>
      </c>
      <c r="BY146" s="371">
        <f t="shared" si="850"/>
        <v>-14</v>
      </c>
      <c r="BZ146" s="371">
        <f>SUM(BZ87,BZ88,BZ93,BZ121,BZ94)</f>
        <v>-86</v>
      </c>
      <c r="CA146" s="371">
        <f>SUM(CA87,CA88,CA93,CA121,CA94)</f>
        <v>-128</v>
      </c>
      <c r="CB146" s="371">
        <f>SUM(CB87,CB88,CB93,CB121,CB94)</f>
        <v>-142</v>
      </c>
      <c r="CC146" s="371">
        <f>SUM(CC87,CC88,CC93,CC121,CC94)</f>
        <v>-202</v>
      </c>
      <c r="CD146" s="371">
        <f>SUM(CD87,CD88,CD93,CD121,CD94)</f>
        <v>-21</v>
      </c>
      <c r="CE146" s="371">
        <f t="shared" ref="CE146:CF146" si="860">SUM(CE87,CE88,CE93,CE121,CE94)</f>
        <v>-29</v>
      </c>
      <c r="CF146" s="371">
        <f t="shared" si="860"/>
        <v>-191</v>
      </c>
      <c r="CG146" s="371">
        <f>SUM(CG87,CG88,CG93,CG121,CG94)</f>
        <v>-223</v>
      </c>
      <c r="CH146" s="371">
        <f t="shared" ref="CH146:CI146" si="861">SUM(CH87,CH88,CH93,CH121,CH94)</f>
        <v>-252</v>
      </c>
      <c r="CI146" s="371">
        <f t="shared" si="861"/>
        <v>-443</v>
      </c>
      <c r="CJ146" s="371">
        <v>-1792</v>
      </c>
      <c r="CK146" s="371">
        <f t="shared" ref="CK146:CO146" si="862">SUM(CK87,CK88,CK93,CK121,CK94)</f>
        <v>-1167</v>
      </c>
      <c r="CL146" s="371">
        <f t="shared" si="862"/>
        <v>0</v>
      </c>
      <c r="CM146" s="371">
        <f t="shared" si="862"/>
        <v>0</v>
      </c>
      <c r="CN146" s="371">
        <f t="shared" si="862"/>
        <v>-2959</v>
      </c>
      <c r="CO146" s="371">
        <f t="shared" si="862"/>
        <v>0</v>
      </c>
    </row>
    <row r="147" spans="1:93" s="377" customFormat="1" ht="13" x14ac:dyDescent="0.3">
      <c r="A147" s="338" t="str">
        <f>Language!$G144</f>
        <v>Resultado Financeiro</v>
      </c>
      <c r="B147" s="338">
        <f t="shared" ref="B147:Q147" si="863">SUM(B148,B149,B150,B151)</f>
        <v>-8805</v>
      </c>
      <c r="C147" s="338">
        <f t="shared" si="863"/>
        <v>-7716</v>
      </c>
      <c r="D147" s="338">
        <f t="shared" si="863"/>
        <v>-7249</v>
      </c>
      <c r="E147" s="339">
        <f t="shared" si="863"/>
        <v>-3460</v>
      </c>
      <c r="F147" s="338">
        <f t="shared" si="863"/>
        <v>-5057</v>
      </c>
      <c r="G147" s="338">
        <f t="shared" si="863"/>
        <v>-5792</v>
      </c>
      <c r="H147" s="338">
        <f t="shared" si="863"/>
        <v>-5244</v>
      </c>
      <c r="I147" s="339">
        <f t="shared" si="863"/>
        <v>-5352</v>
      </c>
      <c r="J147" s="338">
        <f t="shared" si="863"/>
        <v>-5000</v>
      </c>
      <c r="K147" s="338">
        <f t="shared" si="863"/>
        <v>-4650</v>
      </c>
      <c r="L147" s="338">
        <f t="shared" si="863"/>
        <v>-3791</v>
      </c>
      <c r="M147" s="339">
        <f t="shared" si="863"/>
        <v>-4592</v>
      </c>
      <c r="N147" s="338">
        <f t="shared" si="863"/>
        <v>-16374</v>
      </c>
      <c r="O147" s="338">
        <f t="shared" si="863"/>
        <v>-16126</v>
      </c>
      <c r="P147" s="338">
        <f t="shared" si="863"/>
        <v>-15175</v>
      </c>
      <c r="Q147" s="339">
        <f t="shared" si="863"/>
        <v>-17149</v>
      </c>
      <c r="R147" s="338">
        <v>-18447</v>
      </c>
      <c r="S147" s="338">
        <v>-19947</v>
      </c>
      <c r="T147" s="373">
        <v>-15223</v>
      </c>
      <c r="U147" s="373">
        <v>-13124</v>
      </c>
      <c r="V147" s="373">
        <v>-38394</v>
      </c>
      <c r="W147" s="338">
        <v>-53617</v>
      </c>
      <c r="X147" s="339">
        <v>-66741</v>
      </c>
      <c r="Y147" s="338">
        <f t="shared" ref="Y147:AB147" si="864">SUM(Y148,Y149,Y150,Y151)</f>
        <v>57</v>
      </c>
      <c r="Z147" s="338">
        <f t="shared" si="864"/>
        <v>-333</v>
      </c>
      <c r="AA147" s="373">
        <f t="shared" si="864"/>
        <v>-10</v>
      </c>
      <c r="AB147" s="373">
        <f t="shared" si="864"/>
        <v>49</v>
      </c>
      <c r="AC147" s="338">
        <f t="shared" ref="AC147:AD147" si="865">SUM(AC148,AC149,AC150,AC151)</f>
        <v>-276</v>
      </c>
      <c r="AD147" s="338">
        <f t="shared" si="865"/>
        <v>-286</v>
      </c>
      <c r="AE147" s="339">
        <f t="shared" ref="AE147:AJ147" si="866">SUM(AE148,AE149,AE150,AE151)</f>
        <v>-237</v>
      </c>
      <c r="AF147" s="338">
        <f t="shared" si="866"/>
        <v>93</v>
      </c>
      <c r="AG147" s="338">
        <f t="shared" si="866"/>
        <v>133</v>
      </c>
      <c r="AH147" s="373">
        <f t="shared" si="866"/>
        <v>260</v>
      </c>
      <c r="AI147" s="373">
        <f t="shared" si="866"/>
        <v>147</v>
      </c>
      <c r="AJ147" s="338">
        <f t="shared" si="866"/>
        <v>226</v>
      </c>
      <c r="AK147" s="338">
        <f t="shared" ref="AK147:AM147" si="867">SUM(AK148,AK149,AK150,AK151)</f>
        <v>486</v>
      </c>
      <c r="AL147" s="339">
        <f t="shared" si="867"/>
        <v>633</v>
      </c>
      <c r="AM147" s="338">
        <f t="shared" si="867"/>
        <v>-46</v>
      </c>
      <c r="AN147" s="338">
        <f t="shared" si="795"/>
        <v>51</v>
      </c>
      <c r="AO147" s="338">
        <f t="shared" si="796"/>
        <v>148</v>
      </c>
      <c r="AP147" s="338">
        <f t="shared" si="796"/>
        <v>217</v>
      </c>
      <c r="AQ147" s="338">
        <f t="shared" ref="AQ147:AR147" si="868">SUM(AQ148,AQ149,AQ150,AQ151)</f>
        <v>5</v>
      </c>
      <c r="AR147" s="338">
        <f t="shared" si="868"/>
        <v>153</v>
      </c>
      <c r="AS147" s="339">
        <f t="shared" ref="AS147:AU147" si="869">SUM(AS148,AS149,AS150,AS151)</f>
        <v>370</v>
      </c>
      <c r="AT147" s="338">
        <f t="shared" si="869"/>
        <v>226</v>
      </c>
      <c r="AU147" s="338">
        <f t="shared" si="869"/>
        <v>182</v>
      </c>
      <c r="AV147" s="338">
        <f t="shared" ref="AV147:AW147" si="870">SUM(AV148,AV149,AV150,AV151)</f>
        <v>168</v>
      </c>
      <c r="AW147" s="338">
        <f t="shared" si="870"/>
        <v>34</v>
      </c>
      <c r="AX147" s="338">
        <f t="shared" ref="AX147:AZ147" si="871">SUM(AX148,AX149,AX150,AX151)</f>
        <v>408</v>
      </c>
      <c r="AY147" s="338">
        <f t="shared" si="871"/>
        <v>576</v>
      </c>
      <c r="AZ147" s="338">
        <f t="shared" si="871"/>
        <v>610</v>
      </c>
      <c r="BA147" s="338">
        <f t="shared" ref="BA147:BD147" si="872">SUM(BA148,BA149,BA150,BA151)</f>
        <v>26</v>
      </c>
      <c r="BB147" s="338">
        <f t="shared" si="872"/>
        <v>35</v>
      </c>
      <c r="BC147" s="338">
        <f t="shared" si="872"/>
        <v>10</v>
      </c>
      <c r="BD147" s="338">
        <f t="shared" si="872"/>
        <v>0</v>
      </c>
      <c r="BE147" s="338">
        <f t="shared" ref="BE147:BF147" si="873">SUM(BE148,BE149,BE150,BE151)</f>
        <v>61</v>
      </c>
      <c r="BF147" s="338">
        <f t="shared" si="873"/>
        <v>71</v>
      </c>
      <c r="BG147" s="338">
        <f t="shared" ref="BG147:BH147" si="874">SUM(BG148,BG149,BG150,BG151)</f>
        <v>71</v>
      </c>
      <c r="BH147" s="338">
        <f t="shared" si="874"/>
        <v>-15</v>
      </c>
      <c r="BI147" s="338">
        <f t="shared" ref="BI147:BL147" si="875">SUM(BI148,BI149,BI150,BI151)</f>
        <v>12</v>
      </c>
      <c r="BJ147" s="338">
        <f t="shared" si="875"/>
        <v>54</v>
      </c>
      <c r="BK147" s="338">
        <f t="shared" si="875"/>
        <v>81</v>
      </c>
      <c r="BL147" s="338">
        <f t="shared" si="875"/>
        <v>-3</v>
      </c>
      <c r="BM147" s="338">
        <f t="shared" ref="BM147:BN147" si="876">SUM(BM148,BM149,BM150,BM151)</f>
        <v>51</v>
      </c>
      <c r="BN147" s="338">
        <f t="shared" si="876"/>
        <v>132</v>
      </c>
      <c r="BO147" s="338">
        <f t="shared" ref="BO147:BS147" si="877">SUM(BO148,BO149,BO150,BO151)</f>
        <v>91</v>
      </c>
      <c r="BP147" s="338">
        <f t="shared" si="877"/>
        <v>75</v>
      </c>
      <c r="BQ147" s="338">
        <f t="shared" si="877"/>
        <v>522</v>
      </c>
      <c r="BR147" s="338">
        <f>SUM(BR148,BR149,BR150,BR151)</f>
        <v>602</v>
      </c>
      <c r="BS147" s="338">
        <f t="shared" si="877"/>
        <v>166</v>
      </c>
      <c r="BT147" s="338">
        <f t="shared" ref="BT147:BU147" si="878">SUM(BT148,BT149,BT150,BT151)</f>
        <v>688</v>
      </c>
      <c r="BU147" s="338">
        <f t="shared" si="878"/>
        <v>1290</v>
      </c>
      <c r="BV147" s="338">
        <f t="shared" ref="BV147:BZ147" si="879">SUM(BV148,BV149,BV150,BV151)</f>
        <v>608</v>
      </c>
      <c r="BW147" s="338">
        <f t="shared" si="879"/>
        <v>-78</v>
      </c>
      <c r="BX147" s="338">
        <f t="shared" si="879"/>
        <v>573</v>
      </c>
      <c r="BY147" s="338">
        <f t="shared" si="879"/>
        <v>369</v>
      </c>
      <c r="BZ147" s="338">
        <f t="shared" si="879"/>
        <v>530</v>
      </c>
      <c r="CA147" s="338">
        <f t="shared" ref="CA147:CB147" si="880">SUM(CA148,CA149,CA150,CA151)</f>
        <v>1103</v>
      </c>
      <c r="CB147" s="338">
        <f t="shared" si="880"/>
        <v>1472</v>
      </c>
      <c r="CC147" s="338">
        <f t="shared" ref="CC147:CD147" si="881">SUM(CC148,CC149,CC150,CC151)</f>
        <v>207</v>
      </c>
      <c r="CD147" s="338">
        <f t="shared" si="881"/>
        <v>425</v>
      </c>
      <c r="CE147" s="338">
        <f t="shared" ref="CE147:CG147" si="882">SUM(CE148,CE149,CE150,CE151)</f>
        <v>666</v>
      </c>
      <c r="CF147" s="338">
        <f t="shared" si="882"/>
        <v>569</v>
      </c>
      <c r="CG147" s="338">
        <f t="shared" si="882"/>
        <v>632</v>
      </c>
      <c r="CH147" s="338">
        <f t="shared" ref="CH147:CI147" si="883">SUM(CH148,CH149,CH150,CH151)</f>
        <v>1298</v>
      </c>
      <c r="CI147" s="338">
        <f t="shared" si="883"/>
        <v>1867</v>
      </c>
      <c r="CJ147" s="338">
        <v>217</v>
      </c>
      <c r="CK147" s="338">
        <f t="shared" ref="CK147:CO147" si="884">SUM(CK148,CK149,CK150,CK151)</f>
        <v>386</v>
      </c>
      <c r="CL147" s="338">
        <f t="shared" si="884"/>
        <v>0</v>
      </c>
      <c r="CM147" s="338">
        <f t="shared" si="884"/>
        <v>0</v>
      </c>
      <c r="CN147" s="338">
        <f t="shared" si="884"/>
        <v>603</v>
      </c>
      <c r="CO147" s="338">
        <f t="shared" si="884"/>
        <v>0</v>
      </c>
    </row>
    <row r="148" spans="1:93" x14ac:dyDescent="0.25">
      <c r="A148" s="341" t="str">
        <f>Language!$G145</f>
        <v>Rio Verde</v>
      </c>
      <c r="B148" s="322">
        <v>-8805</v>
      </c>
      <c r="C148" s="322">
        <v>-7659</v>
      </c>
      <c r="D148" s="322">
        <v>-7346</v>
      </c>
      <c r="E148" s="321">
        <v>-4297</v>
      </c>
      <c r="F148" s="322">
        <v>-5848</v>
      </c>
      <c r="G148" s="322">
        <v>-5927</v>
      </c>
      <c r="H148" s="322">
        <v>-5679</v>
      </c>
      <c r="I148" s="321">
        <v>-5432</v>
      </c>
      <c r="J148" s="322">
        <v>-5187</v>
      </c>
      <c r="K148" s="322">
        <v>-4832</v>
      </c>
      <c r="L148" s="322">
        <v>-4185</v>
      </c>
      <c r="M148" s="321">
        <v>-4715</v>
      </c>
      <c r="N148" s="322">
        <v>-4668</v>
      </c>
      <c r="O148" s="322">
        <v>-4159</v>
      </c>
      <c r="P148" s="322">
        <v>-4490</v>
      </c>
      <c r="Q148" s="321">
        <v>-4217</v>
      </c>
      <c r="R148" s="322">
        <v>-4380</v>
      </c>
      <c r="S148" s="322">
        <v>-4534</v>
      </c>
      <c r="T148" s="322">
        <v>2385</v>
      </c>
      <c r="U148" s="322">
        <v>-3322</v>
      </c>
      <c r="V148" s="322">
        <v>-8914</v>
      </c>
      <c r="W148" s="322">
        <v>-6529</v>
      </c>
      <c r="X148" s="321">
        <v>-9851</v>
      </c>
      <c r="Y148" s="322">
        <v>0</v>
      </c>
      <c r="Z148" s="322">
        <f t="shared" ref="Z148:Z166" si="885">AC148-Y148</f>
        <v>0</v>
      </c>
      <c r="AA148" s="322">
        <f t="shared" ref="AA148:AA151" si="886">AD148-Z148-Y148</f>
        <v>0</v>
      </c>
      <c r="AB148" s="322">
        <f t="shared" ref="AB148:AB166" si="887">AE148-Y148-Z148-AA148</f>
        <v>0</v>
      </c>
      <c r="AC148" s="322">
        <v>0</v>
      </c>
      <c r="AD148" s="322">
        <v>0</v>
      </c>
      <c r="AE148" s="321">
        <v>0</v>
      </c>
      <c r="AF148" s="322">
        <v>0</v>
      </c>
      <c r="AG148" s="322">
        <f>AJ148-AF148</f>
        <v>0</v>
      </c>
      <c r="AH148" s="322">
        <f t="shared" ref="AH148:AH151" si="888">AK148-AG148-AF148</f>
        <v>0</v>
      </c>
      <c r="AI148" s="322">
        <f t="shared" ref="AI148:AI151" si="889">AL148-AF148-AG148-AH148</f>
        <v>0</v>
      </c>
      <c r="AJ148" s="322">
        <v>0</v>
      </c>
      <c r="AK148" s="322">
        <v>0</v>
      </c>
      <c r="AL148" s="321">
        <v>0</v>
      </c>
      <c r="AM148" s="322">
        <v>0</v>
      </c>
      <c r="AN148" s="322">
        <f t="shared" si="795"/>
        <v>0</v>
      </c>
      <c r="AO148" s="322">
        <f t="shared" si="796"/>
        <v>0</v>
      </c>
      <c r="AP148" s="322">
        <f t="shared" si="796"/>
        <v>0</v>
      </c>
      <c r="AQ148" s="322">
        <v>0</v>
      </c>
      <c r="AR148" s="322"/>
      <c r="AS148" s="321"/>
      <c r="AT148" s="322"/>
      <c r="AU148" s="322"/>
      <c r="AV148" s="322"/>
      <c r="AW148" s="322"/>
      <c r="AX148" s="322"/>
      <c r="AY148" s="322"/>
      <c r="AZ148" s="322"/>
      <c r="BA148" s="322"/>
      <c r="BB148" s="322"/>
      <c r="BC148" s="322"/>
      <c r="BD148" s="322"/>
      <c r="BE148" s="322"/>
      <c r="BF148" s="322"/>
      <c r="BG148" s="322"/>
      <c r="BH148" s="322"/>
      <c r="BI148" s="322"/>
      <c r="BJ148" s="322"/>
      <c r="BK148" s="322"/>
      <c r="BL148" s="322"/>
      <c r="BM148" s="322"/>
      <c r="BN148" s="322"/>
      <c r="BO148" s="322"/>
      <c r="BP148" s="322"/>
      <c r="BQ148" s="322"/>
      <c r="BR148" s="322"/>
      <c r="BS148" s="322"/>
      <c r="BT148" s="322"/>
      <c r="BU148" s="322"/>
      <c r="BV148" s="322"/>
      <c r="BW148" s="322"/>
      <c r="BX148" s="322"/>
      <c r="BY148" s="322"/>
      <c r="BZ148" s="322"/>
      <c r="CA148" s="322"/>
      <c r="CB148" s="322"/>
      <c r="CC148" s="322"/>
      <c r="CD148" s="322"/>
      <c r="CE148" s="322"/>
      <c r="CF148" s="322"/>
      <c r="CG148" s="322"/>
      <c r="CH148" s="322"/>
      <c r="CI148" s="322"/>
      <c r="CJ148" s="322"/>
      <c r="CK148" s="322"/>
      <c r="CL148" s="322"/>
      <c r="CM148" s="322"/>
      <c r="CN148" s="322"/>
      <c r="CO148" s="322"/>
    </row>
    <row r="149" spans="1:93" x14ac:dyDescent="0.25">
      <c r="A149" s="341" t="str">
        <f>Language!$G146</f>
        <v>Rio Canoas</v>
      </c>
      <c r="B149" s="322">
        <v>0</v>
      </c>
      <c r="C149" s="322">
        <v>-57</v>
      </c>
      <c r="D149" s="322">
        <v>97</v>
      </c>
      <c r="E149" s="321">
        <v>837</v>
      </c>
      <c r="F149" s="322">
        <v>791</v>
      </c>
      <c r="G149" s="322">
        <v>135</v>
      </c>
      <c r="H149" s="322">
        <v>435</v>
      </c>
      <c r="I149" s="321">
        <v>80</v>
      </c>
      <c r="J149" s="322">
        <v>187</v>
      </c>
      <c r="K149" s="322">
        <v>154</v>
      </c>
      <c r="L149" s="322">
        <v>396</v>
      </c>
      <c r="M149" s="321">
        <v>122</v>
      </c>
      <c r="N149" s="322">
        <v>-11713</v>
      </c>
      <c r="O149" s="322">
        <v>-11921</v>
      </c>
      <c r="P149" s="322">
        <v>-10700</v>
      </c>
      <c r="Q149" s="321">
        <v>-12320</v>
      </c>
      <c r="R149" s="322">
        <v>-13758</v>
      </c>
      <c r="S149" s="322">
        <v>-13161</v>
      </c>
      <c r="T149" s="322">
        <v>-12437</v>
      </c>
      <c r="U149" s="322">
        <v>-9497</v>
      </c>
      <c r="V149" s="322">
        <v>-26919</v>
      </c>
      <c r="W149" s="322">
        <v>-39356</v>
      </c>
      <c r="X149" s="321">
        <v>-48853</v>
      </c>
      <c r="Y149" s="322">
        <v>0</v>
      </c>
      <c r="Z149" s="322">
        <f t="shared" si="885"/>
        <v>0</v>
      </c>
      <c r="AA149" s="322">
        <f t="shared" si="886"/>
        <v>0</v>
      </c>
      <c r="AB149" s="322">
        <f t="shared" si="887"/>
        <v>0</v>
      </c>
      <c r="AC149" s="322">
        <v>0</v>
      </c>
      <c r="AD149" s="322">
        <v>0</v>
      </c>
      <c r="AE149" s="321">
        <v>0</v>
      </c>
      <c r="AF149" s="322">
        <v>0</v>
      </c>
      <c r="AG149" s="322">
        <f>AJ149-AF149</f>
        <v>0</v>
      </c>
      <c r="AH149" s="322">
        <f t="shared" si="888"/>
        <v>0</v>
      </c>
      <c r="AI149" s="322">
        <f t="shared" si="889"/>
        <v>0</v>
      </c>
      <c r="AJ149" s="322">
        <v>0</v>
      </c>
      <c r="AK149" s="322">
        <v>0</v>
      </c>
      <c r="AL149" s="321">
        <v>0</v>
      </c>
      <c r="AM149" s="322">
        <v>0</v>
      </c>
      <c r="AN149" s="322">
        <f t="shared" si="795"/>
        <v>0</v>
      </c>
      <c r="AO149" s="322">
        <f t="shared" si="796"/>
        <v>0</v>
      </c>
      <c r="AP149" s="322">
        <f t="shared" si="796"/>
        <v>0</v>
      </c>
      <c r="AQ149" s="322">
        <v>0</v>
      </c>
      <c r="AR149" s="322"/>
      <c r="AS149" s="321"/>
      <c r="AT149" s="322"/>
      <c r="AU149" s="322"/>
      <c r="AV149" s="322"/>
      <c r="AW149" s="322"/>
      <c r="AX149" s="322"/>
      <c r="AY149" s="322"/>
      <c r="AZ149" s="322"/>
      <c r="BA149" s="322"/>
      <c r="BB149" s="322"/>
      <c r="BC149" s="322"/>
      <c r="BD149" s="322"/>
      <c r="BE149" s="322"/>
      <c r="BF149" s="322"/>
      <c r="BG149" s="322"/>
      <c r="BH149" s="322"/>
      <c r="BI149" s="322"/>
      <c r="BJ149" s="322"/>
      <c r="BK149" s="322"/>
      <c r="BL149" s="322"/>
      <c r="BM149" s="322"/>
      <c r="BN149" s="322"/>
      <c r="BO149" s="322"/>
      <c r="BP149" s="322"/>
      <c r="BQ149" s="322"/>
      <c r="BR149" s="322"/>
      <c r="BS149" s="322"/>
      <c r="BT149" s="322"/>
      <c r="BU149" s="322"/>
      <c r="BV149" s="322"/>
      <c r="BW149" s="322"/>
      <c r="BX149" s="322"/>
      <c r="BY149" s="322"/>
      <c r="BZ149" s="322"/>
      <c r="CA149" s="322"/>
      <c r="CB149" s="322"/>
      <c r="CC149" s="322"/>
      <c r="CD149" s="322"/>
      <c r="CE149" s="322"/>
      <c r="CF149" s="322"/>
      <c r="CG149" s="322"/>
      <c r="CH149" s="322"/>
      <c r="CI149" s="322"/>
      <c r="CJ149" s="322"/>
      <c r="CK149" s="322"/>
      <c r="CL149" s="322"/>
      <c r="CM149" s="322"/>
      <c r="CN149" s="322"/>
      <c r="CO149" s="322"/>
    </row>
    <row r="150" spans="1:93" x14ac:dyDescent="0.25">
      <c r="A150" s="341" t="str">
        <f>Language!$G147</f>
        <v>Tijoá</v>
      </c>
      <c r="B150" s="322">
        <v>0</v>
      </c>
      <c r="C150" s="322">
        <v>0</v>
      </c>
      <c r="D150" s="322">
        <v>0</v>
      </c>
      <c r="E150" s="321">
        <v>0</v>
      </c>
      <c r="F150" s="322">
        <v>0</v>
      </c>
      <c r="G150" s="322">
        <v>0</v>
      </c>
      <c r="H150" s="322">
        <v>0</v>
      </c>
      <c r="I150" s="321">
        <v>0</v>
      </c>
      <c r="J150" s="322">
        <v>0</v>
      </c>
      <c r="K150" s="322">
        <v>0</v>
      </c>
      <c r="L150" s="322">
        <v>0</v>
      </c>
      <c r="M150" s="321">
        <v>0</v>
      </c>
      <c r="N150" s="322">
        <v>0</v>
      </c>
      <c r="O150" s="322">
        <v>0</v>
      </c>
      <c r="P150" s="322">
        <v>0</v>
      </c>
      <c r="Q150" s="321">
        <v>0</v>
      </c>
      <c r="R150" s="322">
        <v>116</v>
      </c>
      <c r="S150" s="322">
        <v>125</v>
      </c>
      <c r="T150" s="322">
        <v>263</v>
      </c>
      <c r="U150" s="322">
        <v>239</v>
      </c>
      <c r="V150" s="322">
        <v>241</v>
      </c>
      <c r="W150" s="322">
        <v>504</v>
      </c>
      <c r="X150" s="321">
        <v>743</v>
      </c>
      <c r="Y150" s="322">
        <v>57</v>
      </c>
      <c r="Z150" s="322">
        <f t="shared" si="885"/>
        <v>-333</v>
      </c>
      <c r="AA150" s="322">
        <f t="shared" si="886"/>
        <v>-10</v>
      </c>
      <c r="AB150" s="322">
        <f t="shared" si="887"/>
        <v>49</v>
      </c>
      <c r="AC150" s="322">
        <v>-276</v>
      </c>
      <c r="AD150" s="322">
        <v>-286</v>
      </c>
      <c r="AE150" s="321">
        <v>-237</v>
      </c>
      <c r="AF150" s="322">
        <v>93</v>
      </c>
      <c r="AG150" s="322">
        <f>AJ150-AF150</f>
        <v>133</v>
      </c>
      <c r="AH150" s="322">
        <f t="shared" si="888"/>
        <v>146</v>
      </c>
      <c r="AI150" s="322">
        <f t="shared" si="889"/>
        <v>109</v>
      </c>
      <c r="AJ150" s="322">
        <v>226</v>
      </c>
      <c r="AK150" s="322">
        <v>372</v>
      </c>
      <c r="AL150" s="321">
        <v>481</v>
      </c>
      <c r="AM150" s="322">
        <v>-33</v>
      </c>
      <c r="AN150" s="322">
        <f t="shared" si="795"/>
        <v>13</v>
      </c>
      <c r="AO150" s="322">
        <f t="shared" si="796"/>
        <v>103</v>
      </c>
      <c r="AP150" s="322">
        <f t="shared" si="796"/>
        <v>171</v>
      </c>
      <c r="AQ150" s="322">
        <v>-20</v>
      </c>
      <c r="AR150" s="322">
        <v>83</v>
      </c>
      <c r="AS150" s="321">
        <v>254</v>
      </c>
      <c r="AT150" s="322">
        <v>184</v>
      </c>
      <c r="AU150" s="322">
        <f>AX150-AT150</f>
        <v>183</v>
      </c>
      <c r="AV150" s="322">
        <f>AY150-AX150</f>
        <v>126</v>
      </c>
      <c r="AW150" s="322">
        <f>AZ150-AY150</f>
        <v>23</v>
      </c>
      <c r="AX150" s="322">
        <v>367</v>
      </c>
      <c r="AY150" s="322">
        <v>493</v>
      </c>
      <c r="AZ150" s="322">
        <v>516</v>
      </c>
      <c r="BA150" s="322">
        <v>-2</v>
      </c>
      <c r="BB150" s="353">
        <f>BE150-BA150</f>
        <v>15</v>
      </c>
      <c r="BC150" s="353">
        <f>BF150-BE150</f>
        <v>0</v>
      </c>
      <c r="BD150" s="353">
        <f>BG150-BF150</f>
        <v>-9</v>
      </c>
      <c r="BE150" s="322">
        <v>13</v>
      </c>
      <c r="BF150" s="322">
        <v>13</v>
      </c>
      <c r="BG150" s="322">
        <v>4</v>
      </c>
      <c r="BH150" s="322">
        <v>33</v>
      </c>
      <c r="BI150" s="322">
        <f>BL150-BH150</f>
        <v>-39</v>
      </c>
      <c r="BJ150" s="322">
        <f>BM150-BL150</f>
        <v>40</v>
      </c>
      <c r="BK150" s="322">
        <f>BN150-BM150</f>
        <v>75</v>
      </c>
      <c r="BL150" s="322">
        <v>-6</v>
      </c>
      <c r="BM150" s="322">
        <v>34</v>
      </c>
      <c r="BN150" s="322">
        <v>109</v>
      </c>
      <c r="BO150" s="322">
        <v>77</v>
      </c>
      <c r="BP150" s="322">
        <f>BS150-BO150</f>
        <v>1</v>
      </c>
      <c r="BQ150" s="322">
        <f>BT150-BS150</f>
        <v>273</v>
      </c>
      <c r="BR150" s="322">
        <f>BU150-BT150</f>
        <v>248</v>
      </c>
      <c r="BS150" s="322">
        <v>78</v>
      </c>
      <c r="BT150" s="322">
        <v>351</v>
      </c>
      <c r="BU150" s="322">
        <v>599</v>
      </c>
      <c r="BV150" s="322">
        <v>257</v>
      </c>
      <c r="BW150" s="322">
        <f>BZ150-BV150</f>
        <v>-469</v>
      </c>
      <c r="BX150" s="322">
        <f>CA150-BZ150</f>
        <v>207</v>
      </c>
      <c r="BY150" s="322">
        <f>CB150-CA150</f>
        <v>79</v>
      </c>
      <c r="BZ150" s="322">
        <v>-212</v>
      </c>
      <c r="CA150" s="322">
        <v>-5</v>
      </c>
      <c r="CB150" s="322">
        <v>74</v>
      </c>
      <c r="CC150" s="322">
        <v>-31</v>
      </c>
      <c r="CD150" s="322">
        <f>CG150-CC150</f>
        <v>31</v>
      </c>
      <c r="CE150" s="322">
        <f>CH150-CG150</f>
        <v>169</v>
      </c>
      <c r="CF150" s="322">
        <f>CI150-CH150</f>
        <v>136</v>
      </c>
      <c r="CG150" s="322">
        <v>0</v>
      </c>
      <c r="CH150" s="322">
        <v>169</v>
      </c>
      <c r="CI150" s="322">
        <v>305</v>
      </c>
      <c r="CJ150" s="322">
        <v>169</v>
      </c>
      <c r="CK150" s="322">
        <f>CN150-CJ150</f>
        <v>386</v>
      </c>
      <c r="CL150" s="322"/>
      <c r="CM150" s="322"/>
      <c r="CN150" s="322">
        <v>555</v>
      </c>
      <c r="CO150" s="322"/>
    </row>
    <row r="151" spans="1:93" x14ac:dyDescent="0.25">
      <c r="A151" s="362" t="str">
        <f>Language!$G148</f>
        <v>Outros</v>
      </c>
      <c r="B151" s="345">
        <v>0</v>
      </c>
      <c r="C151" s="345">
        <v>0</v>
      </c>
      <c r="D151" s="345">
        <v>0</v>
      </c>
      <c r="E151" s="346">
        <v>0</v>
      </c>
      <c r="F151" s="345">
        <v>0</v>
      </c>
      <c r="G151" s="345">
        <v>0</v>
      </c>
      <c r="H151" s="345">
        <v>0</v>
      </c>
      <c r="I151" s="346">
        <v>0</v>
      </c>
      <c r="J151" s="345">
        <v>0</v>
      </c>
      <c r="K151" s="345">
        <v>28</v>
      </c>
      <c r="L151" s="345">
        <v>-2</v>
      </c>
      <c r="M151" s="346">
        <v>1</v>
      </c>
      <c r="N151" s="345">
        <v>7</v>
      </c>
      <c r="O151" s="345">
        <v>-46</v>
      </c>
      <c r="P151" s="345">
        <v>15</v>
      </c>
      <c r="Q151" s="346">
        <v>-612</v>
      </c>
      <c r="R151" s="345">
        <v>-425</v>
      </c>
      <c r="S151" s="345">
        <v>-2377</v>
      </c>
      <c r="T151" s="345">
        <v>-5434</v>
      </c>
      <c r="U151" s="345">
        <v>-544</v>
      </c>
      <c r="V151" s="345">
        <v>-2802</v>
      </c>
      <c r="W151" s="345">
        <v>-8236</v>
      </c>
      <c r="X151" s="346">
        <v>-8780</v>
      </c>
      <c r="Y151" s="345">
        <v>0</v>
      </c>
      <c r="Z151" s="345">
        <f t="shared" si="885"/>
        <v>0</v>
      </c>
      <c r="AA151" s="345">
        <f t="shared" si="886"/>
        <v>0</v>
      </c>
      <c r="AB151" s="345">
        <f t="shared" si="887"/>
        <v>0</v>
      </c>
      <c r="AC151" s="345">
        <v>0</v>
      </c>
      <c r="AD151" s="345">
        <v>0</v>
      </c>
      <c r="AE151" s="346">
        <v>0</v>
      </c>
      <c r="AF151" s="345">
        <v>0</v>
      </c>
      <c r="AG151" s="345">
        <f>AJ151-AF151</f>
        <v>0</v>
      </c>
      <c r="AH151" s="345">
        <f t="shared" si="888"/>
        <v>114</v>
      </c>
      <c r="AI151" s="345">
        <f t="shared" si="889"/>
        <v>38</v>
      </c>
      <c r="AJ151" s="345">
        <v>0</v>
      </c>
      <c r="AK151" s="345">
        <v>114</v>
      </c>
      <c r="AL151" s="346">
        <v>152</v>
      </c>
      <c r="AM151" s="345">
        <v>-13</v>
      </c>
      <c r="AN151" s="345">
        <f t="shared" si="795"/>
        <v>38</v>
      </c>
      <c r="AO151" s="345">
        <f t="shared" si="796"/>
        <v>45</v>
      </c>
      <c r="AP151" s="345">
        <f t="shared" si="796"/>
        <v>46</v>
      </c>
      <c r="AQ151" s="345">
        <v>25</v>
      </c>
      <c r="AR151" s="345">
        <v>70</v>
      </c>
      <c r="AS151" s="346">
        <v>116</v>
      </c>
      <c r="AT151" s="345">
        <v>42</v>
      </c>
      <c r="AU151" s="345">
        <f>AX151-AT151</f>
        <v>-1</v>
      </c>
      <c r="AV151" s="345">
        <f>AY151-AX151</f>
        <v>42</v>
      </c>
      <c r="AW151" s="345">
        <f>AZ151-AY151</f>
        <v>11</v>
      </c>
      <c r="AX151" s="345">
        <v>41</v>
      </c>
      <c r="AY151" s="345">
        <v>83</v>
      </c>
      <c r="AZ151" s="345">
        <v>94</v>
      </c>
      <c r="BA151" s="345">
        <v>28</v>
      </c>
      <c r="BB151" s="345">
        <f>BE151-BA151</f>
        <v>20</v>
      </c>
      <c r="BC151" s="345">
        <f>BF151-BE151</f>
        <v>10</v>
      </c>
      <c r="BD151" s="345">
        <f>BG151-BF151</f>
        <v>9</v>
      </c>
      <c r="BE151" s="345">
        <v>48</v>
      </c>
      <c r="BF151" s="345">
        <v>58</v>
      </c>
      <c r="BG151" s="345">
        <v>67</v>
      </c>
      <c r="BH151" s="345">
        <v>-48</v>
      </c>
      <c r="BI151" s="345">
        <f>BL151-BH151</f>
        <v>51</v>
      </c>
      <c r="BJ151" s="345">
        <f>BM151-BL151</f>
        <v>14</v>
      </c>
      <c r="BK151" s="345">
        <f>BN151-BM151</f>
        <v>6</v>
      </c>
      <c r="BL151" s="345">
        <v>3</v>
      </c>
      <c r="BM151" s="345">
        <v>17</v>
      </c>
      <c r="BN151" s="345">
        <v>23</v>
      </c>
      <c r="BO151" s="345">
        <v>14</v>
      </c>
      <c r="BP151" s="345">
        <f>BS151-BO151</f>
        <v>74</v>
      </c>
      <c r="BQ151" s="345">
        <f>BT151-BS151</f>
        <v>249</v>
      </c>
      <c r="BR151" s="345">
        <f>BU151-BT151</f>
        <v>354</v>
      </c>
      <c r="BS151" s="345">
        <v>88</v>
      </c>
      <c r="BT151" s="345">
        <v>337</v>
      </c>
      <c r="BU151" s="345">
        <v>691</v>
      </c>
      <c r="BV151" s="345">
        <v>351</v>
      </c>
      <c r="BW151" s="322">
        <f>BZ151-BV151</f>
        <v>391</v>
      </c>
      <c r="BX151" s="322">
        <f>CA151-BZ151</f>
        <v>366</v>
      </c>
      <c r="BY151" s="322">
        <f>CB151-CA151</f>
        <v>290</v>
      </c>
      <c r="BZ151" s="345">
        <v>742</v>
      </c>
      <c r="CA151" s="345">
        <v>1108</v>
      </c>
      <c r="CB151" s="345">
        <v>1398</v>
      </c>
      <c r="CC151" s="345">
        <v>238</v>
      </c>
      <c r="CD151" s="322">
        <f>CG151-CC151</f>
        <v>394</v>
      </c>
      <c r="CE151" s="322">
        <f>CH151-CG151</f>
        <v>497</v>
      </c>
      <c r="CF151" s="322">
        <f>CI151-CH151</f>
        <v>433</v>
      </c>
      <c r="CG151" s="345">
        <v>632</v>
      </c>
      <c r="CH151" s="345">
        <v>1129</v>
      </c>
      <c r="CI151" s="345">
        <v>1562</v>
      </c>
      <c r="CJ151" s="345">
        <v>48</v>
      </c>
      <c r="CK151" s="322">
        <f>CN151-CJ151</f>
        <v>0</v>
      </c>
      <c r="CL151" s="345"/>
      <c r="CM151" s="345"/>
      <c r="CN151" s="345">
        <v>48</v>
      </c>
      <c r="CO151" s="345"/>
    </row>
    <row r="152" spans="1:93" s="377" customFormat="1" ht="13" x14ac:dyDescent="0.3">
      <c r="A152" s="316" t="str">
        <f>Language!$G149</f>
        <v>Imposto sobre o Lucro</v>
      </c>
      <c r="B152" s="316">
        <f t="shared" ref="B152:Q152" si="890">SUM(B155,B158,B161,B164)</f>
        <v>-331</v>
      </c>
      <c r="C152" s="316">
        <f t="shared" si="890"/>
        <v>-679</v>
      </c>
      <c r="D152" s="316">
        <f t="shared" si="890"/>
        <v>-1259</v>
      </c>
      <c r="E152" s="374">
        <f t="shared" si="890"/>
        <v>-2841</v>
      </c>
      <c r="F152" s="316">
        <f t="shared" si="890"/>
        <v>-2519</v>
      </c>
      <c r="G152" s="316">
        <f t="shared" si="890"/>
        <v>-2542</v>
      </c>
      <c r="H152" s="316">
        <f t="shared" si="890"/>
        <v>-2396</v>
      </c>
      <c r="I152" s="374">
        <f t="shared" si="890"/>
        <v>643</v>
      </c>
      <c r="J152" s="316">
        <f t="shared" si="890"/>
        <v>-3430</v>
      </c>
      <c r="K152" s="316">
        <f t="shared" si="890"/>
        <v>-3279</v>
      </c>
      <c r="L152" s="316">
        <f t="shared" si="890"/>
        <v>1420</v>
      </c>
      <c r="M152" s="374">
        <f t="shared" si="890"/>
        <v>-1949</v>
      </c>
      <c r="N152" s="316">
        <f t="shared" si="890"/>
        <v>-14614</v>
      </c>
      <c r="O152" s="316">
        <f t="shared" si="890"/>
        <v>-801</v>
      </c>
      <c r="P152" s="316">
        <f t="shared" si="890"/>
        <v>1667</v>
      </c>
      <c r="Q152" s="374">
        <f t="shared" si="890"/>
        <v>1067</v>
      </c>
      <c r="R152" s="316">
        <v>-11771</v>
      </c>
      <c r="S152" s="316">
        <v>6351</v>
      </c>
      <c r="T152" s="375">
        <v>-3905</v>
      </c>
      <c r="U152" s="375">
        <v>4253</v>
      </c>
      <c r="V152" s="375">
        <v>-5420</v>
      </c>
      <c r="W152" s="316">
        <v>-9325</v>
      </c>
      <c r="X152" s="374">
        <v>-5072</v>
      </c>
      <c r="Y152" s="316">
        <f t="shared" ref="Y152:AB152" si="891">SUM(Y155,Y158,Y161,Y164)</f>
        <v>-960</v>
      </c>
      <c r="Z152" s="316">
        <f t="shared" si="891"/>
        <v>-728</v>
      </c>
      <c r="AA152" s="375">
        <f t="shared" si="891"/>
        <v>-861</v>
      </c>
      <c r="AB152" s="376">
        <f t="shared" si="891"/>
        <v>-386</v>
      </c>
      <c r="AC152" s="377">
        <f t="shared" ref="AC152:AD152" si="892">SUM(AC155,AC158,AC161,AC164)</f>
        <v>-1688</v>
      </c>
      <c r="AD152" s="377">
        <f t="shared" si="892"/>
        <v>-2549</v>
      </c>
      <c r="AE152" s="374">
        <f t="shared" ref="AE152:AJ152" si="893">SUM(AE155,AE158,AE161,AE164)</f>
        <v>-2935</v>
      </c>
      <c r="AF152" s="377">
        <f t="shared" si="893"/>
        <v>-895</v>
      </c>
      <c r="AG152" s="377">
        <f t="shared" si="893"/>
        <v>-888</v>
      </c>
      <c r="AH152" s="375">
        <f t="shared" si="893"/>
        <v>-916</v>
      </c>
      <c r="AI152" s="376">
        <f t="shared" si="893"/>
        <v>-837</v>
      </c>
      <c r="AJ152" s="377">
        <f t="shared" si="893"/>
        <v>-1783</v>
      </c>
      <c r="AK152" s="377">
        <f t="shared" ref="AK152:AL152" si="894">SUM(AK155,AK158,AK161,AK164)</f>
        <v>-2699</v>
      </c>
      <c r="AL152" s="374">
        <f t="shared" si="894"/>
        <v>-3536</v>
      </c>
      <c r="AM152" s="377">
        <f t="shared" ref="AM152:AQ152" si="895">SUM(AM155,AM158,AM161,AM164)</f>
        <v>-877</v>
      </c>
      <c r="AN152" s="377">
        <f t="shared" si="795"/>
        <v>-977</v>
      </c>
      <c r="AO152" s="377">
        <f t="shared" si="796"/>
        <v>-3982</v>
      </c>
      <c r="AP152" s="377">
        <f t="shared" si="796"/>
        <v>-3266</v>
      </c>
      <c r="AQ152" s="377">
        <f t="shared" si="895"/>
        <v>-1854</v>
      </c>
      <c r="AR152" s="377">
        <f t="shared" ref="AR152:AS152" si="896">SUM(AR155,AR158,AR161,AR164)</f>
        <v>-5836</v>
      </c>
      <c r="AS152" s="374">
        <f t="shared" si="896"/>
        <v>-9102</v>
      </c>
      <c r="AT152" s="377">
        <f t="shared" ref="AT152:AU152" si="897">SUM(AT155,AT158,AT161,AT164)</f>
        <v>-3720</v>
      </c>
      <c r="AU152" s="377">
        <f t="shared" si="897"/>
        <v>-3856</v>
      </c>
      <c r="AV152" s="377">
        <f t="shared" ref="AV152:AX152" si="898">SUM(AV155,AV158,AV161,AV164)</f>
        <v>-4117</v>
      </c>
      <c r="AW152" s="377">
        <f t="shared" si="898"/>
        <v>-3527</v>
      </c>
      <c r="AX152" s="377">
        <f t="shared" si="898"/>
        <v>-7576</v>
      </c>
      <c r="AY152" s="377">
        <f t="shared" ref="AY152:AZ152" si="899">SUM(AY155,AY158,AY161,AY164)</f>
        <v>-11693</v>
      </c>
      <c r="AZ152" s="377">
        <f t="shared" si="899"/>
        <v>-15220</v>
      </c>
      <c r="BA152" s="377">
        <f t="shared" ref="BA152:BD152" si="900">SUM(BA155,BA158,BA161,BA164)</f>
        <v>-4053</v>
      </c>
      <c r="BB152" s="377">
        <f t="shared" si="900"/>
        <v>-4177</v>
      </c>
      <c r="BC152" s="377">
        <f t="shared" si="900"/>
        <v>-4617</v>
      </c>
      <c r="BD152" s="377">
        <f t="shared" si="900"/>
        <v>-4007</v>
      </c>
      <c r="BE152" s="377">
        <f t="shared" ref="BE152:BF152" si="901">SUM(BE155,BE158,BE161,BE164)</f>
        <v>-8230</v>
      </c>
      <c r="BF152" s="377">
        <f t="shared" si="901"/>
        <v>-12847</v>
      </c>
      <c r="BG152" s="377">
        <f t="shared" ref="BG152:BH152" si="902">SUM(BG155,BG158,BG161,BG164)</f>
        <v>-16854</v>
      </c>
      <c r="BH152" s="377">
        <f t="shared" si="902"/>
        <v>-4383</v>
      </c>
      <c r="BI152" s="377">
        <f t="shared" ref="BI152:BL152" si="903">SUM(BI155,BI158,BI161,BI164)</f>
        <v>-4154</v>
      </c>
      <c r="BJ152" s="377">
        <f t="shared" si="903"/>
        <v>-5016</v>
      </c>
      <c r="BK152" s="377">
        <f t="shared" si="903"/>
        <v>-4563</v>
      </c>
      <c r="BL152" s="377">
        <f t="shared" si="903"/>
        <v>-8537</v>
      </c>
      <c r="BM152" s="377">
        <f t="shared" ref="BM152:BN152" si="904">SUM(BM155,BM158,BM161,BM164)</f>
        <v>-13553</v>
      </c>
      <c r="BN152" s="377">
        <f t="shared" si="904"/>
        <v>-18116</v>
      </c>
      <c r="BO152" s="377">
        <f t="shared" ref="BO152:BS152" si="905">SUM(BO155,BO158,BO161,BO164)</f>
        <v>-4960</v>
      </c>
      <c r="BP152" s="377">
        <f t="shared" si="905"/>
        <v>-4994</v>
      </c>
      <c r="BQ152" s="377">
        <f t="shared" si="905"/>
        <v>-5963</v>
      </c>
      <c r="BR152" s="377">
        <f t="shared" si="905"/>
        <v>-4841</v>
      </c>
      <c r="BS152" s="377">
        <f t="shared" si="905"/>
        <v>-9954</v>
      </c>
      <c r="BT152" s="377">
        <f t="shared" ref="BT152:BU152" si="906">SUM(BT155,BT158,BT161,BT164)</f>
        <v>-15857</v>
      </c>
      <c r="BU152" s="377">
        <f t="shared" si="906"/>
        <v>-20698</v>
      </c>
      <c r="BV152" s="377">
        <f t="shared" ref="BV152:BZ152" si="907">SUM(BV155,BV158,BV161,BV164)</f>
        <v>-5986</v>
      </c>
      <c r="BW152" s="377">
        <f t="shared" si="907"/>
        <v>-5507</v>
      </c>
      <c r="BX152" s="377">
        <f t="shared" si="907"/>
        <v>-5897</v>
      </c>
      <c r="BY152" s="377">
        <f t="shared" si="907"/>
        <v>-5376</v>
      </c>
      <c r="BZ152" s="377">
        <f t="shared" si="907"/>
        <v>-11493</v>
      </c>
      <c r="CA152" s="377">
        <f t="shared" ref="CA152:CB152" si="908">SUM(CA155,CA158,CA161,CA164)</f>
        <v>-17390</v>
      </c>
      <c r="CB152" s="377">
        <f t="shared" si="908"/>
        <v>-22766</v>
      </c>
      <c r="CC152" s="377">
        <f t="shared" ref="CC152:CD152" si="909">SUM(CC155,CC158,CC161,CC164)</f>
        <v>-5546</v>
      </c>
      <c r="CD152" s="338">
        <f t="shared" si="909"/>
        <v>-5588</v>
      </c>
      <c r="CE152" s="338">
        <f t="shared" ref="CE152:CG152" si="910">SUM(CE155,CE158,CE161,CE164)</f>
        <v>-5916</v>
      </c>
      <c r="CF152" s="338">
        <f t="shared" si="910"/>
        <v>-5355</v>
      </c>
      <c r="CG152" s="377">
        <f t="shared" si="910"/>
        <v>-11134</v>
      </c>
      <c r="CH152" s="377">
        <f t="shared" ref="CH152:CI152" si="911">SUM(CH155,CH158,CH161,CH164)</f>
        <v>-17050</v>
      </c>
      <c r="CI152" s="377">
        <f t="shared" si="911"/>
        <v>-22405</v>
      </c>
      <c r="CJ152" s="377">
        <v>-5895</v>
      </c>
      <c r="CK152" s="377">
        <f t="shared" ref="CK152:CO152" si="912">SUM(CK155,CK158,CK161,CK164)</f>
        <v>-6016</v>
      </c>
      <c r="CL152" s="377">
        <f t="shared" si="912"/>
        <v>0</v>
      </c>
      <c r="CM152" s="377">
        <f t="shared" si="912"/>
        <v>0</v>
      </c>
      <c r="CN152" s="377">
        <f t="shared" si="912"/>
        <v>-11911</v>
      </c>
      <c r="CO152" s="377">
        <f t="shared" si="912"/>
        <v>0</v>
      </c>
    </row>
    <row r="153" spans="1:93" s="377" customFormat="1" ht="13" x14ac:dyDescent="0.3">
      <c r="A153" s="378" t="str">
        <f>Language!$G150</f>
        <v>Corrente</v>
      </c>
      <c r="B153" s="309">
        <f t="shared" ref="B153:M153" si="913">SUM(B156,B159,B165)</f>
        <v>-998</v>
      </c>
      <c r="C153" s="309">
        <f t="shared" si="913"/>
        <v>-2048</v>
      </c>
      <c r="D153" s="309">
        <f t="shared" si="913"/>
        <v>-2908</v>
      </c>
      <c r="E153" s="325">
        <f t="shared" si="913"/>
        <v>-1172</v>
      </c>
      <c r="F153" s="309">
        <f t="shared" si="913"/>
        <v>-2935</v>
      </c>
      <c r="G153" s="309">
        <f t="shared" si="913"/>
        <v>-2855</v>
      </c>
      <c r="H153" s="309">
        <f t="shared" si="913"/>
        <v>-2812</v>
      </c>
      <c r="I153" s="325">
        <f t="shared" si="913"/>
        <v>91</v>
      </c>
      <c r="J153" s="309">
        <f t="shared" si="913"/>
        <v>-3709</v>
      </c>
      <c r="K153" s="309">
        <f t="shared" si="913"/>
        <v>-3694</v>
      </c>
      <c r="L153" s="309">
        <f t="shared" si="913"/>
        <v>-2056</v>
      </c>
      <c r="M153" s="325">
        <f t="shared" si="913"/>
        <v>695</v>
      </c>
      <c r="N153" s="309">
        <f t="shared" ref="N153" si="914">SUM(N156,N159,N165)</f>
        <v>-15030</v>
      </c>
      <c r="O153" s="309">
        <f t="shared" ref="O153:Q153" si="915">SUM(O156,O159,O165)</f>
        <v>-1216</v>
      </c>
      <c r="P153" s="309">
        <f t="shared" si="915"/>
        <v>1251</v>
      </c>
      <c r="Q153" s="325">
        <f t="shared" si="915"/>
        <v>652</v>
      </c>
      <c r="R153" s="309">
        <v>-12023</v>
      </c>
      <c r="S153" s="309">
        <v>6738</v>
      </c>
      <c r="T153" s="309">
        <v>-4321</v>
      </c>
      <c r="U153" s="309">
        <v>695</v>
      </c>
      <c r="V153" s="309">
        <v>-6251</v>
      </c>
      <c r="W153" s="309">
        <v>-10572</v>
      </c>
      <c r="X153" s="325">
        <v>-9877</v>
      </c>
      <c r="Y153" s="309">
        <f t="shared" ref="Y153:AB153" si="916">SUM(Y156,Y159,Y162,Y165)</f>
        <v>-960</v>
      </c>
      <c r="Z153" s="309">
        <f t="shared" si="916"/>
        <v>-728</v>
      </c>
      <c r="AA153" s="309">
        <f t="shared" si="916"/>
        <v>-861</v>
      </c>
      <c r="AB153" s="310">
        <f t="shared" si="916"/>
        <v>-519</v>
      </c>
      <c r="AC153" s="310">
        <f t="shared" ref="AC153:AD153" si="917">SUM(AC156,AC159,AC162,AC165)</f>
        <v>-1688</v>
      </c>
      <c r="AD153" s="310">
        <f t="shared" si="917"/>
        <v>-2549</v>
      </c>
      <c r="AE153" s="325">
        <f t="shared" ref="AE153:AJ153" si="918">SUM(AE156,AE159,AE162,AE165)</f>
        <v>-3068</v>
      </c>
      <c r="AF153" s="310">
        <f t="shared" si="918"/>
        <v>-895</v>
      </c>
      <c r="AG153" s="310">
        <f t="shared" si="918"/>
        <v>-800</v>
      </c>
      <c r="AH153" s="309">
        <f t="shared" si="918"/>
        <v>-936</v>
      </c>
      <c r="AI153" s="310">
        <f t="shared" si="918"/>
        <v>-979</v>
      </c>
      <c r="AJ153" s="310">
        <f t="shared" si="918"/>
        <v>-1695</v>
      </c>
      <c r="AK153" s="310">
        <f t="shared" ref="AK153:AL153" si="919">SUM(AK156,AK159,AK162,AK165)</f>
        <v>-2631</v>
      </c>
      <c r="AL153" s="325">
        <f t="shared" si="919"/>
        <v>-3610</v>
      </c>
      <c r="AM153" s="310">
        <f t="shared" ref="AM153:AQ153" si="920">SUM(AM156,AM159,AM162,AM165)</f>
        <v>-931</v>
      </c>
      <c r="AN153" s="310">
        <f t="shared" si="795"/>
        <v>-775</v>
      </c>
      <c r="AO153" s="310">
        <f t="shared" si="796"/>
        <v>-4011</v>
      </c>
      <c r="AP153" s="310">
        <f t="shared" si="796"/>
        <v>-3296</v>
      </c>
      <c r="AQ153" s="310">
        <f t="shared" si="920"/>
        <v>-1706</v>
      </c>
      <c r="AR153" s="310">
        <f t="shared" ref="AR153:AS153" si="921">SUM(AR156,AR159,AR162,AR165)</f>
        <v>-5717</v>
      </c>
      <c r="AS153" s="325">
        <f t="shared" si="921"/>
        <v>-9013</v>
      </c>
      <c r="AT153" s="310">
        <f t="shared" ref="AT153:AU153" si="922">SUM(AT156,AT159,AT162,AT165)</f>
        <v>-3740</v>
      </c>
      <c r="AU153" s="310">
        <f t="shared" si="922"/>
        <v>-3895</v>
      </c>
      <c r="AV153" s="310">
        <f t="shared" ref="AV153:AX153" si="923">SUM(AV156,AV159,AV162,AV165)</f>
        <v>-4029</v>
      </c>
      <c r="AW153" s="310">
        <f t="shared" si="923"/>
        <v>-3544</v>
      </c>
      <c r="AX153" s="310">
        <f t="shared" si="923"/>
        <v>-7635</v>
      </c>
      <c r="AY153" s="310">
        <f t="shared" ref="AY153:AZ153" si="924">SUM(AY156,AY159,AY162,AY165)</f>
        <v>-11664</v>
      </c>
      <c r="AZ153" s="310">
        <f t="shared" si="924"/>
        <v>-15208</v>
      </c>
      <c r="BA153" s="310">
        <f t="shared" ref="BA153:BD153" si="925">SUM(BA156,BA159,BA162,BA165)</f>
        <v>-4079</v>
      </c>
      <c r="BB153" s="310">
        <f t="shared" si="925"/>
        <v>-4044</v>
      </c>
      <c r="BC153" s="310">
        <f t="shared" si="925"/>
        <v>-4617</v>
      </c>
      <c r="BD153" s="310">
        <f t="shared" si="925"/>
        <v>-4007</v>
      </c>
      <c r="BE153" s="310">
        <f t="shared" ref="BE153:BF153" si="926">SUM(BE156,BE159,BE162,BE165)</f>
        <v>-8123</v>
      </c>
      <c r="BF153" s="310">
        <f t="shared" si="926"/>
        <v>-12740</v>
      </c>
      <c r="BG153" s="310">
        <f t="shared" ref="BG153:BH153" si="927">SUM(BG156,BG159,BG162,BG165)</f>
        <v>-16747</v>
      </c>
      <c r="BH153" s="310">
        <f t="shared" si="927"/>
        <v>-4383</v>
      </c>
      <c r="BI153" s="310">
        <f t="shared" ref="BI153:BL153" si="928">SUM(BI156,BI159,BI162,BI165)</f>
        <v>-4201</v>
      </c>
      <c r="BJ153" s="310">
        <f t="shared" si="928"/>
        <v>-5019</v>
      </c>
      <c r="BK153" s="310">
        <f t="shared" si="928"/>
        <v>-4778</v>
      </c>
      <c r="BL153" s="310">
        <f t="shared" si="928"/>
        <v>-8584</v>
      </c>
      <c r="BM153" s="310">
        <f t="shared" ref="BM153:BN153" si="929">SUM(BM156,BM159,BM162,BM165)</f>
        <v>-13603</v>
      </c>
      <c r="BN153" s="310">
        <f t="shared" si="929"/>
        <v>-18381</v>
      </c>
      <c r="BO153" s="310">
        <f t="shared" ref="BO153:BS153" si="930">SUM(BO156,BO159,BO162,BO165)</f>
        <v>-5025</v>
      </c>
      <c r="BP153" s="310">
        <f t="shared" si="930"/>
        <v>-4810</v>
      </c>
      <c r="BQ153" s="310">
        <f t="shared" si="930"/>
        <v>-6035</v>
      </c>
      <c r="BR153" s="310">
        <f t="shared" si="930"/>
        <v>-4946</v>
      </c>
      <c r="BS153" s="310">
        <f t="shared" si="930"/>
        <v>-9835</v>
      </c>
      <c r="BT153" s="310">
        <f t="shared" ref="BT153:BU153" si="931">SUM(BT156,BT159,BT162,BT165)</f>
        <v>-15810</v>
      </c>
      <c r="BU153" s="310">
        <f t="shared" si="931"/>
        <v>-20756</v>
      </c>
      <c r="BV153" s="310">
        <f t="shared" ref="BV153:BZ153" si="932">SUM(BV156,BV159,BV162,BV165)</f>
        <v>-6060</v>
      </c>
      <c r="BW153" s="310">
        <f t="shared" si="932"/>
        <v>-5307</v>
      </c>
      <c r="BX153" s="310">
        <f t="shared" si="932"/>
        <v>-5863</v>
      </c>
      <c r="BY153" s="310">
        <f t="shared" si="932"/>
        <v>-5482</v>
      </c>
      <c r="BZ153" s="310">
        <f t="shared" si="932"/>
        <v>-11367</v>
      </c>
      <c r="CA153" s="310">
        <f t="shared" ref="CA153:CB153" si="933">SUM(CA156,CA159,CA162,CA165)</f>
        <v>-17230</v>
      </c>
      <c r="CB153" s="310">
        <f t="shared" si="933"/>
        <v>-22712</v>
      </c>
      <c r="CC153" s="310">
        <f t="shared" ref="CC153:CD153" si="934">SUM(CC156,CC159,CC162,CC165)</f>
        <v>-5602</v>
      </c>
      <c r="CD153" s="310">
        <f t="shared" si="934"/>
        <v>-5377</v>
      </c>
      <c r="CE153" s="310">
        <f t="shared" ref="CE153:CG153" si="935">SUM(CE156,CE159,CE162,CE165)</f>
        <v>-5972</v>
      </c>
      <c r="CF153" s="310">
        <f t="shared" si="935"/>
        <v>-5415</v>
      </c>
      <c r="CG153" s="310">
        <f t="shared" si="935"/>
        <v>-10979</v>
      </c>
      <c r="CH153" s="310">
        <f t="shared" ref="CH153:CI153" si="936">SUM(CH156,CH159,CH162,CH165)</f>
        <v>-16951</v>
      </c>
      <c r="CI153" s="310">
        <f t="shared" si="936"/>
        <v>-22366</v>
      </c>
      <c r="CJ153" s="310">
        <v>-5950</v>
      </c>
      <c r="CK153" s="310">
        <f t="shared" ref="CK153:CO153" si="937">SUM(CK156,CK159,CK162,CK165)</f>
        <v>-5902</v>
      </c>
      <c r="CL153" s="310">
        <f t="shared" si="937"/>
        <v>0</v>
      </c>
      <c r="CM153" s="310">
        <f t="shared" si="937"/>
        <v>0</v>
      </c>
      <c r="CN153" s="310">
        <f t="shared" si="937"/>
        <v>-11852</v>
      </c>
      <c r="CO153" s="310">
        <f t="shared" si="937"/>
        <v>0</v>
      </c>
    </row>
    <row r="154" spans="1:93" s="377" customFormat="1" ht="13" x14ac:dyDescent="0.3">
      <c r="A154" s="378" t="str">
        <f>Language!$G151</f>
        <v>Diferido</v>
      </c>
      <c r="B154" s="309">
        <f t="shared" ref="B154:M154" si="938">SUM(B157,B160,B166)</f>
        <v>667</v>
      </c>
      <c r="C154" s="309">
        <f t="shared" si="938"/>
        <v>1369</v>
      </c>
      <c r="D154" s="309">
        <f t="shared" si="938"/>
        <v>1649</v>
      </c>
      <c r="E154" s="325">
        <f t="shared" si="938"/>
        <v>-1669</v>
      </c>
      <c r="F154" s="309">
        <f t="shared" si="938"/>
        <v>416</v>
      </c>
      <c r="G154" s="309">
        <f t="shared" si="938"/>
        <v>313</v>
      </c>
      <c r="H154" s="309">
        <f t="shared" si="938"/>
        <v>416</v>
      </c>
      <c r="I154" s="325">
        <f t="shared" si="938"/>
        <v>552</v>
      </c>
      <c r="J154" s="309">
        <f t="shared" si="938"/>
        <v>279</v>
      </c>
      <c r="K154" s="309">
        <f t="shared" si="938"/>
        <v>415</v>
      </c>
      <c r="L154" s="309">
        <f t="shared" si="938"/>
        <v>3476</v>
      </c>
      <c r="M154" s="325">
        <f t="shared" si="938"/>
        <v>-2644</v>
      </c>
      <c r="N154" s="309">
        <f t="shared" ref="N154" si="939">SUM(N157,N160,N166)</f>
        <v>416</v>
      </c>
      <c r="O154" s="309">
        <f t="shared" ref="O154:Q154" si="940">SUM(O157,O160,O166)</f>
        <v>415</v>
      </c>
      <c r="P154" s="309">
        <f t="shared" si="940"/>
        <v>416</v>
      </c>
      <c r="Q154" s="325">
        <f t="shared" si="940"/>
        <v>415</v>
      </c>
      <c r="R154" s="309">
        <v>416</v>
      </c>
      <c r="S154" s="309">
        <v>415</v>
      </c>
      <c r="T154" s="309">
        <v>416</v>
      </c>
      <c r="U154" s="309">
        <v>3558</v>
      </c>
      <c r="V154" s="309">
        <v>831</v>
      </c>
      <c r="W154" s="309">
        <v>1247</v>
      </c>
      <c r="X154" s="325">
        <v>4805</v>
      </c>
      <c r="Y154" s="309">
        <f t="shared" ref="Y154" si="941">SUM(Y157,Y160,Y163,Y166)</f>
        <v>0</v>
      </c>
      <c r="Z154" s="309">
        <f t="shared" si="885"/>
        <v>0</v>
      </c>
      <c r="AA154" s="309">
        <f t="shared" ref="AA154:AB154" si="942">SUM(AA157,AA160,AA163,AA166)</f>
        <v>0</v>
      </c>
      <c r="AB154" s="310">
        <f t="shared" si="942"/>
        <v>133</v>
      </c>
      <c r="AC154" s="310">
        <f t="shared" ref="AC154:AD154" si="943">SUM(AC157,AC160,AC163,AC166)</f>
        <v>0</v>
      </c>
      <c r="AD154" s="310">
        <f t="shared" si="943"/>
        <v>0</v>
      </c>
      <c r="AE154" s="325">
        <f t="shared" ref="AE154:AF154" si="944">SUM(AE157,AE160,AE163,AE166)</f>
        <v>133</v>
      </c>
      <c r="AF154" s="310">
        <f t="shared" si="944"/>
        <v>0</v>
      </c>
      <c r="AG154" s="310">
        <f t="shared" ref="AG154:AG166" si="945">AJ154-AF154</f>
        <v>-88</v>
      </c>
      <c r="AH154" s="309">
        <f t="shared" ref="AH154:AI154" si="946">SUM(AH157,AH160,AH163,AH166)</f>
        <v>20</v>
      </c>
      <c r="AI154" s="310">
        <f t="shared" si="946"/>
        <v>142</v>
      </c>
      <c r="AJ154" s="310">
        <f t="shared" ref="AJ154:AK154" si="947">SUM(AJ157,AJ160,AJ163,AJ166)</f>
        <v>-88</v>
      </c>
      <c r="AK154" s="310">
        <f t="shared" si="947"/>
        <v>-68</v>
      </c>
      <c r="AL154" s="325">
        <f t="shared" ref="AL154:AM154" si="948">SUM(AL157,AL160,AL163,AL166)</f>
        <v>74</v>
      </c>
      <c r="AM154" s="310">
        <f t="shared" si="948"/>
        <v>54</v>
      </c>
      <c r="AN154" s="310">
        <f t="shared" si="795"/>
        <v>-202</v>
      </c>
      <c r="AO154" s="310">
        <f t="shared" si="796"/>
        <v>29</v>
      </c>
      <c r="AP154" s="310">
        <f t="shared" si="796"/>
        <v>30</v>
      </c>
      <c r="AQ154" s="310">
        <f t="shared" ref="AQ154:AR154" si="949">SUM(AQ157,AQ160,AQ163,AQ166)</f>
        <v>-148</v>
      </c>
      <c r="AR154" s="310">
        <f t="shared" si="949"/>
        <v>-119</v>
      </c>
      <c r="AS154" s="325">
        <f t="shared" ref="AS154:AU154" si="950">SUM(AS157,AS160,AS163,AS166)</f>
        <v>-89</v>
      </c>
      <c r="AT154" s="310">
        <f t="shared" si="950"/>
        <v>20</v>
      </c>
      <c r="AU154" s="310">
        <f t="shared" si="950"/>
        <v>39</v>
      </c>
      <c r="AV154" s="310">
        <f t="shared" ref="AV154:AX154" si="951">SUM(AV157,AV160,AV163,AV166)</f>
        <v>-88</v>
      </c>
      <c r="AW154" s="310">
        <f t="shared" si="951"/>
        <v>17</v>
      </c>
      <c r="AX154" s="310">
        <f t="shared" si="951"/>
        <v>59</v>
      </c>
      <c r="AY154" s="310">
        <f t="shared" ref="AY154:AZ154" si="952">SUM(AY157,AY160,AY163,AY166)</f>
        <v>-29</v>
      </c>
      <c r="AZ154" s="310">
        <f t="shared" si="952"/>
        <v>-12</v>
      </c>
      <c r="BA154" s="310">
        <f t="shared" ref="BA154:BD154" si="953">SUM(BA157,BA160,BA163,BA166)</f>
        <v>26</v>
      </c>
      <c r="BB154" s="310">
        <f t="shared" si="953"/>
        <v>-133</v>
      </c>
      <c r="BC154" s="310">
        <f t="shared" si="953"/>
        <v>0</v>
      </c>
      <c r="BD154" s="310">
        <f t="shared" si="953"/>
        <v>0</v>
      </c>
      <c r="BE154" s="310">
        <f t="shared" ref="BE154:BF154" si="954">SUM(BE157,BE160,BE163,BE166)</f>
        <v>-107</v>
      </c>
      <c r="BF154" s="310">
        <f t="shared" si="954"/>
        <v>-107</v>
      </c>
      <c r="BG154" s="310">
        <f t="shared" ref="BG154:BH154" si="955">SUM(BG157,BG160,BG163,BG166)</f>
        <v>-107</v>
      </c>
      <c r="BH154" s="310">
        <f t="shared" si="955"/>
        <v>0</v>
      </c>
      <c r="BI154" s="310">
        <f t="shared" ref="BI154:BL154" si="956">SUM(BI157,BI160,BI163,BI166)</f>
        <v>47</v>
      </c>
      <c r="BJ154" s="310">
        <f t="shared" si="956"/>
        <v>3</v>
      </c>
      <c r="BK154" s="310">
        <f t="shared" si="956"/>
        <v>215</v>
      </c>
      <c r="BL154" s="310">
        <f t="shared" si="956"/>
        <v>47</v>
      </c>
      <c r="BM154" s="310">
        <f t="shared" ref="BM154:BN154" si="957">SUM(BM157,BM160,BM163,BM166)</f>
        <v>50</v>
      </c>
      <c r="BN154" s="310">
        <f t="shared" si="957"/>
        <v>265</v>
      </c>
      <c r="BO154" s="310">
        <f t="shared" ref="BO154:BS154" si="958">SUM(BO157,BO160,BO163,BO166)</f>
        <v>65</v>
      </c>
      <c r="BP154" s="310">
        <f t="shared" si="958"/>
        <v>-184</v>
      </c>
      <c r="BQ154" s="310">
        <f t="shared" si="958"/>
        <v>72</v>
      </c>
      <c r="BR154" s="310">
        <f t="shared" si="958"/>
        <v>105</v>
      </c>
      <c r="BS154" s="310">
        <f t="shared" si="958"/>
        <v>-119</v>
      </c>
      <c r="BT154" s="310">
        <f t="shared" ref="BT154:BU154" si="959">SUM(BT157,BT160,BT163,BT166)</f>
        <v>-47</v>
      </c>
      <c r="BU154" s="310">
        <f t="shared" si="959"/>
        <v>58</v>
      </c>
      <c r="BV154" s="310">
        <f t="shared" ref="BV154:BZ154" si="960">SUM(BV157,BV160,BV163,BV166)</f>
        <v>74</v>
      </c>
      <c r="BW154" s="310">
        <f t="shared" si="960"/>
        <v>-200</v>
      </c>
      <c r="BX154" s="310">
        <f t="shared" si="960"/>
        <v>-34</v>
      </c>
      <c r="BY154" s="310">
        <f t="shared" si="960"/>
        <v>106</v>
      </c>
      <c r="BZ154" s="310">
        <f t="shared" si="960"/>
        <v>-126</v>
      </c>
      <c r="CA154" s="310">
        <f t="shared" ref="CA154:CB154" si="961">SUM(CA157,CA160,CA163,CA166)</f>
        <v>-160</v>
      </c>
      <c r="CB154" s="310">
        <f t="shared" si="961"/>
        <v>-54</v>
      </c>
      <c r="CC154" s="310">
        <f t="shared" ref="CC154:CD154" si="962">SUM(CC157,CC160,CC163,CC166)</f>
        <v>56</v>
      </c>
      <c r="CD154" s="310">
        <f t="shared" si="962"/>
        <v>-211</v>
      </c>
      <c r="CE154" s="310">
        <f t="shared" ref="CE154:CG154" si="963">SUM(CE157,CE160,CE163,CE166)</f>
        <v>56</v>
      </c>
      <c r="CF154" s="310">
        <f t="shared" si="963"/>
        <v>60</v>
      </c>
      <c r="CG154" s="310">
        <f t="shared" si="963"/>
        <v>-155</v>
      </c>
      <c r="CH154" s="310">
        <f t="shared" ref="CH154:CI154" si="964">SUM(CH157,CH160,CH163,CH166)</f>
        <v>-99</v>
      </c>
      <c r="CI154" s="310">
        <f t="shared" si="964"/>
        <v>-39</v>
      </c>
      <c r="CJ154" s="310">
        <v>55</v>
      </c>
      <c r="CK154" s="310">
        <f t="shared" ref="CK154:CO154" si="965">SUM(CK157,CK160,CK163,CK166)</f>
        <v>-114</v>
      </c>
      <c r="CL154" s="310">
        <f t="shared" si="965"/>
        <v>0</v>
      </c>
      <c r="CM154" s="310">
        <f t="shared" si="965"/>
        <v>0</v>
      </c>
      <c r="CN154" s="310">
        <f t="shared" si="965"/>
        <v>-59</v>
      </c>
      <c r="CO154" s="310">
        <f t="shared" si="965"/>
        <v>0</v>
      </c>
    </row>
    <row r="155" spans="1:93" x14ac:dyDescent="0.25">
      <c r="A155" s="379" t="str">
        <f>Language!$G152</f>
        <v>Rio Verde</v>
      </c>
      <c r="B155" s="344">
        <f t="shared" ref="B155:N155" si="966">SUM(B156,B157)</f>
        <v>-331</v>
      </c>
      <c r="C155" s="344">
        <f t="shared" si="966"/>
        <v>-679</v>
      </c>
      <c r="D155" s="344">
        <f t="shared" si="966"/>
        <v>-1259</v>
      </c>
      <c r="E155" s="343">
        <f t="shared" si="966"/>
        <v>-2841</v>
      </c>
      <c r="F155" s="344">
        <f t="shared" si="966"/>
        <v>-2519</v>
      </c>
      <c r="G155" s="344">
        <f t="shared" si="966"/>
        <v>-2542</v>
      </c>
      <c r="H155" s="344">
        <f t="shared" si="966"/>
        <v>-2396</v>
      </c>
      <c r="I155" s="343">
        <f t="shared" si="966"/>
        <v>643</v>
      </c>
      <c r="J155" s="344">
        <f t="shared" si="966"/>
        <v>-3430</v>
      </c>
      <c r="K155" s="344">
        <f t="shared" si="966"/>
        <v>-2778</v>
      </c>
      <c r="L155" s="344">
        <f t="shared" si="966"/>
        <v>2392</v>
      </c>
      <c r="M155" s="343">
        <f t="shared" si="966"/>
        <v>-744</v>
      </c>
      <c r="N155" s="344">
        <f t="shared" si="966"/>
        <v>-7705</v>
      </c>
      <c r="O155" s="344">
        <f t="shared" ref="O155:Q155" si="967">SUM(O156,O157)</f>
        <v>102</v>
      </c>
      <c r="P155" s="344">
        <f t="shared" si="967"/>
        <v>3508</v>
      </c>
      <c r="Q155" s="343">
        <f t="shared" si="967"/>
        <v>2290</v>
      </c>
      <c r="R155" s="344">
        <v>-645</v>
      </c>
      <c r="S155" s="344">
        <v>-917</v>
      </c>
      <c r="T155" s="344">
        <v>-6539</v>
      </c>
      <c r="U155" s="344">
        <v>-2212</v>
      </c>
      <c r="V155" s="344">
        <v>-1562</v>
      </c>
      <c r="W155" s="344">
        <v>-8101</v>
      </c>
      <c r="X155" s="343">
        <v>-10313</v>
      </c>
      <c r="Y155" s="344">
        <f t="shared" ref="Y155" si="968">SUM(Y156,Y157)</f>
        <v>0</v>
      </c>
      <c r="Z155" s="344">
        <f t="shared" si="885"/>
        <v>0</v>
      </c>
      <c r="AA155" s="344">
        <f>SUM(AA156,AA157)</f>
        <v>0</v>
      </c>
      <c r="AB155" s="342">
        <f>SUM(AB156,AB157)</f>
        <v>0</v>
      </c>
      <c r="AC155" s="342">
        <f t="shared" ref="AC155:AD155" si="969">SUM(AC156,AC157)</f>
        <v>0</v>
      </c>
      <c r="AD155" s="342">
        <f t="shared" si="969"/>
        <v>0</v>
      </c>
      <c r="AE155" s="343">
        <f t="shared" ref="AE155:AF155" si="970">SUM(AE156,AE157)</f>
        <v>0</v>
      </c>
      <c r="AF155" s="342">
        <f t="shared" si="970"/>
        <v>0</v>
      </c>
      <c r="AG155" s="342">
        <f t="shared" si="945"/>
        <v>0</v>
      </c>
      <c r="AH155" s="344">
        <f>SUM(AH156,AH157)</f>
        <v>0</v>
      </c>
      <c r="AI155" s="342">
        <f>SUM(AI156,AI157)</f>
        <v>0</v>
      </c>
      <c r="AJ155" s="342">
        <f t="shared" ref="AJ155:AK155" si="971">SUM(AJ156,AJ157)</f>
        <v>0</v>
      </c>
      <c r="AK155" s="342">
        <f t="shared" si="971"/>
        <v>0</v>
      </c>
      <c r="AL155" s="343">
        <f t="shared" ref="AL155:AM155" si="972">SUM(AL156,AL157)</f>
        <v>0</v>
      </c>
      <c r="AM155" s="342">
        <f t="shared" si="972"/>
        <v>0</v>
      </c>
      <c r="AN155" s="342">
        <f t="shared" si="795"/>
        <v>0</v>
      </c>
      <c r="AO155" s="342">
        <f t="shared" si="796"/>
        <v>0</v>
      </c>
      <c r="AP155" s="342">
        <f t="shared" si="796"/>
        <v>0</v>
      </c>
      <c r="AQ155" s="342">
        <f t="shared" ref="AQ155:AR155" si="973">SUM(AQ156,AQ157)</f>
        <v>0</v>
      </c>
      <c r="AR155" s="342">
        <f t="shared" si="973"/>
        <v>0</v>
      </c>
      <c r="AS155" s="343">
        <f t="shared" ref="AS155:AU155" si="974">SUM(AS156,AS157)</f>
        <v>0</v>
      </c>
      <c r="AT155" s="342">
        <f t="shared" si="974"/>
        <v>0</v>
      </c>
      <c r="AU155" s="342">
        <f t="shared" si="974"/>
        <v>0</v>
      </c>
      <c r="AV155" s="342">
        <f t="shared" ref="AV155:AW155" si="975">SUM(AV156,AV157)</f>
        <v>0</v>
      </c>
      <c r="AW155" s="342">
        <f t="shared" si="975"/>
        <v>0</v>
      </c>
      <c r="AX155" s="342">
        <f t="shared" ref="AX155:AY155" si="976">SUM(AX156,AX157)</f>
        <v>0</v>
      </c>
      <c r="AY155" s="342">
        <f t="shared" si="976"/>
        <v>0</v>
      </c>
      <c r="AZ155" s="342"/>
      <c r="BA155" s="342"/>
      <c r="BB155" s="342"/>
      <c r="BC155" s="342"/>
      <c r="BD155" s="342"/>
      <c r="BE155" s="342"/>
      <c r="BF155" s="342"/>
      <c r="BG155" s="342"/>
      <c r="BH155" s="342"/>
      <c r="BI155" s="342"/>
      <c r="BJ155" s="342"/>
      <c r="BK155" s="342"/>
      <c r="BL155" s="342"/>
      <c r="BM155" s="342"/>
      <c r="BN155" s="342"/>
      <c r="BO155" s="342"/>
      <c r="BP155" s="342"/>
      <c r="BQ155" s="342"/>
      <c r="BR155" s="342"/>
      <c r="BS155" s="342"/>
      <c r="BT155" s="342"/>
      <c r="BU155" s="342"/>
      <c r="BV155" s="342"/>
      <c r="BW155" s="342"/>
      <c r="BX155" s="342"/>
      <c r="BY155" s="342"/>
      <c r="BZ155" s="342"/>
      <c r="CA155" s="342"/>
      <c r="CB155" s="342"/>
      <c r="CC155" s="342"/>
      <c r="CD155" s="342"/>
      <c r="CE155" s="342"/>
      <c r="CF155" s="342"/>
      <c r="CG155" s="342"/>
      <c r="CH155" s="342"/>
      <c r="CI155" s="342"/>
      <c r="CJ155" s="342"/>
      <c r="CK155" s="342"/>
      <c r="CL155" s="342"/>
      <c r="CM155" s="342"/>
      <c r="CN155" s="342"/>
      <c r="CO155" s="342"/>
    </row>
    <row r="156" spans="1:93" s="394" customFormat="1" x14ac:dyDescent="0.25">
      <c r="A156" s="380" t="str">
        <f>Language!$G153</f>
        <v>Corrente</v>
      </c>
      <c r="B156" s="381">
        <v>-998</v>
      </c>
      <c r="C156" s="381">
        <v>-2048</v>
      </c>
      <c r="D156" s="381">
        <v>-2908</v>
      </c>
      <c r="E156" s="382">
        <v>-1172</v>
      </c>
      <c r="F156" s="381">
        <v>-2935</v>
      </c>
      <c r="G156" s="381">
        <v>-2855</v>
      </c>
      <c r="H156" s="381">
        <v>-2812</v>
      </c>
      <c r="I156" s="382">
        <v>91</v>
      </c>
      <c r="J156" s="381">
        <v>-3709</v>
      </c>
      <c r="K156" s="381">
        <v>-3193</v>
      </c>
      <c r="L156" s="381">
        <v>-1084</v>
      </c>
      <c r="M156" s="382">
        <v>1900</v>
      </c>
      <c r="N156" s="381">
        <v>-8121</v>
      </c>
      <c r="O156" s="381">
        <v>-313</v>
      </c>
      <c r="P156" s="381">
        <v>3092</v>
      </c>
      <c r="Q156" s="382">
        <v>1875</v>
      </c>
      <c r="R156" s="381">
        <v>-1061</v>
      </c>
      <c r="S156" s="381">
        <v>-1332</v>
      </c>
      <c r="T156" s="381">
        <v>-6955</v>
      </c>
      <c r="U156" s="381">
        <v>-2489</v>
      </c>
      <c r="V156" s="381">
        <v>-2393</v>
      </c>
      <c r="W156" s="381">
        <v>-9348</v>
      </c>
      <c r="X156" s="382">
        <v>-11837</v>
      </c>
      <c r="Y156" s="381">
        <v>0</v>
      </c>
      <c r="Z156" s="381">
        <f t="shared" si="885"/>
        <v>0</v>
      </c>
      <c r="AA156" s="381">
        <f>AD156-Z156-Y156</f>
        <v>0</v>
      </c>
      <c r="AB156" s="383">
        <f t="shared" si="887"/>
        <v>0</v>
      </c>
      <c r="AC156" s="383">
        <v>0</v>
      </c>
      <c r="AD156" s="383">
        <v>0</v>
      </c>
      <c r="AE156" s="382">
        <v>0</v>
      </c>
      <c r="AF156" s="383">
        <v>0</v>
      </c>
      <c r="AG156" s="383">
        <f t="shared" si="945"/>
        <v>0</v>
      </c>
      <c r="AH156" s="381">
        <f>AK156-AG156-AF156</f>
        <v>0</v>
      </c>
      <c r="AI156" s="383">
        <f t="shared" ref="AI156:AI157" si="977">AL156-AF156-AG156-AH156</f>
        <v>0</v>
      </c>
      <c r="AJ156" s="383">
        <v>0</v>
      </c>
      <c r="AK156" s="383">
        <v>0</v>
      </c>
      <c r="AL156" s="382">
        <v>0</v>
      </c>
      <c r="AM156" s="383">
        <v>0</v>
      </c>
      <c r="AN156" s="383">
        <f t="shared" si="795"/>
        <v>0</v>
      </c>
      <c r="AO156" s="383">
        <f t="shared" si="796"/>
        <v>0</v>
      </c>
      <c r="AP156" s="383">
        <f t="shared" si="796"/>
        <v>0</v>
      </c>
      <c r="AQ156" s="383">
        <v>0</v>
      </c>
      <c r="AR156" s="383"/>
      <c r="AS156" s="382"/>
      <c r="AT156" s="383"/>
      <c r="AU156" s="383"/>
      <c r="AV156" s="383"/>
      <c r="AW156" s="383"/>
      <c r="AX156" s="383"/>
      <c r="AY156" s="383"/>
      <c r="AZ156" s="383"/>
      <c r="BA156" s="383"/>
      <c r="BB156" s="383"/>
      <c r="BC156" s="383"/>
      <c r="BD156" s="383"/>
      <c r="BE156" s="383"/>
      <c r="BF156" s="383"/>
      <c r="BG156" s="383"/>
      <c r="BH156" s="383"/>
      <c r="BI156" s="383"/>
      <c r="BJ156" s="383"/>
      <c r="BK156" s="383"/>
      <c r="BL156" s="383"/>
      <c r="BM156" s="383"/>
      <c r="BN156" s="383"/>
      <c r="BO156" s="383"/>
      <c r="BP156" s="383"/>
      <c r="BQ156" s="383"/>
      <c r="BR156" s="383"/>
      <c r="BS156" s="383"/>
      <c r="BT156" s="383"/>
      <c r="BU156" s="383"/>
      <c r="BV156" s="383"/>
      <c r="BW156" s="383"/>
      <c r="BX156" s="383"/>
      <c r="BY156" s="383"/>
      <c r="BZ156" s="383"/>
      <c r="CA156" s="383"/>
      <c r="CB156" s="383"/>
      <c r="CC156" s="383"/>
      <c r="CD156" s="383"/>
      <c r="CE156" s="383"/>
      <c r="CF156" s="383"/>
      <c r="CG156" s="383"/>
      <c r="CH156" s="383"/>
      <c r="CI156" s="383"/>
      <c r="CJ156" s="383"/>
      <c r="CK156" s="383"/>
      <c r="CL156" s="383"/>
      <c r="CM156" s="383"/>
      <c r="CN156" s="383"/>
      <c r="CO156" s="383"/>
    </row>
    <row r="157" spans="1:93" s="394" customFormat="1" x14ac:dyDescent="0.25">
      <c r="A157" s="380" t="str">
        <f>Language!$G154</f>
        <v>Diferido</v>
      </c>
      <c r="B157" s="381">
        <v>667</v>
      </c>
      <c r="C157" s="381">
        <v>1369</v>
      </c>
      <c r="D157" s="381">
        <v>1649</v>
      </c>
      <c r="E157" s="382">
        <v>-1669</v>
      </c>
      <c r="F157" s="381">
        <v>416</v>
      </c>
      <c r="G157" s="381">
        <v>313</v>
      </c>
      <c r="H157" s="381">
        <v>416</v>
      </c>
      <c r="I157" s="382">
        <v>552</v>
      </c>
      <c r="J157" s="381">
        <v>279</v>
      </c>
      <c r="K157" s="381">
        <v>415</v>
      </c>
      <c r="L157" s="381">
        <v>3476</v>
      </c>
      <c r="M157" s="382">
        <v>-2644</v>
      </c>
      <c r="N157" s="381">
        <v>416</v>
      </c>
      <c r="O157" s="381">
        <v>415</v>
      </c>
      <c r="P157" s="381">
        <v>416</v>
      </c>
      <c r="Q157" s="382">
        <v>415</v>
      </c>
      <c r="R157" s="381">
        <v>416</v>
      </c>
      <c r="S157" s="381">
        <v>415</v>
      </c>
      <c r="T157" s="381">
        <v>416</v>
      </c>
      <c r="U157" s="381">
        <v>277</v>
      </c>
      <c r="V157" s="381">
        <v>831</v>
      </c>
      <c r="W157" s="381">
        <v>1247</v>
      </c>
      <c r="X157" s="382">
        <v>1524</v>
      </c>
      <c r="Y157" s="381">
        <v>0</v>
      </c>
      <c r="Z157" s="381">
        <f t="shared" si="885"/>
        <v>0</v>
      </c>
      <c r="AA157" s="381">
        <f>AD157-Z157-Y157</f>
        <v>0</v>
      </c>
      <c r="AB157" s="383">
        <f t="shared" si="887"/>
        <v>0</v>
      </c>
      <c r="AC157" s="383">
        <v>0</v>
      </c>
      <c r="AD157" s="383">
        <v>0</v>
      </c>
      <c r="AE157" s="382">
        <v>0</v>
      </c>
      <c r="AF157" s="383">
        <v>0</v>
      </c>
      <c r="AG157" s="383">
        <f t="shared" si="945"/>
        <v>0</v>
      </c>
      <c r="AH157" s="381">
        <f>AK157-AG157-AF157</f>
        <v>0</v>
      </c>
      <c r="AI157" s="383">
        <f t="shared" si="977"/>
        <v>0</v>
      </c>
      <c r="AJ157" s="383">
        <v>0</v>
      </c>
      <c r="AK157" s="383">
        <v>0</v>
      </c>
      <c r="AL157" s="382">
        <v>0</v>
      </c>
      <c r="AM157" s="383">
        <v>0</v>
      </c>
      <c r="AN157" s="383">
        <f t="shared" si="795"/>
        <v>0</v>
      </c>
      <c r="AO157" s="383">
        <f t="shared" si="796"/>
        <v>0</v>
      </c>
      <c r="AP157" s="383">
        <f t="shared" si="796"/>
        <v>0</v>
      </c>
      <c r="AQ157" s="383">
        <v>0</v>
      </c>
      <c r="AR157" s="383"/>
      <c r="AS157" s="382"/>
      <c r="AT157" s="383"/>
      <c r="AU157" s="383"/>
      <c r="AV157" s="383"/>
      <c r="AW157" s="383"/>
      <c r="AX157" s="383"/>
      <c r="AY157" s="383"/>
      <c r="AZ157" s="383"/>
      <c r="BA157" s="383"/>
      <c r="BB157" s="383"/>
      <c r="BC157" s="383"/>
      <c r="BD157" s="383"/>
      <c r="BE157" s="383"/>
      <c r="BF157" s="383"/>
      <c r="BG157" s="383"/>
      <c r="BH157" s="383"/>
      <c r="BI157" s="383"/>
      <c r="BJ157" s="383"/>
      <c r="BK157" s="383"/>
      <c r="BL157" s="383"/>
      <c r="BM157" s="383"/>
      <c r="BN157" s="383"/>
      <c r="BO157" s="383"/>
      <c r="BP157" s="383"/>
      <c r="BQ157" s="383"/>
      <c r="BR157" s="383"/>
      <c r="BS157" s="383"/>
      <c r="BT157" s="383"/>
      <c r="BU157" s="383"/>
      <c r="BV157" s="383"/>
      <c r="BW157" s="383"/>
      <c r="BX157" s="383"/>
      <c r="BY157" s="383"/>
      <c r="BZ157" s="383"/>
      <c r="CA157" s="383"/>
      <c r="CB157" s="383"/>
      <c r="CC157" s="383"/>
      <c r="CD157" s="383"/>
      <c r="CE157" s="383"/>
      <c r="CF157" s="383"/>
      <c r="CG157" s="383"/>
      <c r="CH157" s="383"/>
      <c r="CI157" s="383"/>
      <c r="CJ157" s="383"/>
      <c r="CK157" s="383"/>
      <c r="CL157" s="383"/>
      <c r="CM157" s="383"/>
      <c r="CN157" s="383"/>
      <c r="CO157" s="383"/>
    </row>
    <row r="158" spans="1:93" x14ac:dyDescent="0.25">
      <c r="A158" s="379" t="str">
        <f>Language!$G155</f>
        <v>Rio Canoas</v>
      </c>
      <c r="B158" s="344">
        <f t="shared" ref="B158:N158" si="978">SUM(B159,B160)</f>
        <v>0</v>
      </c>
      <c r="C158" s="344">
        <f t="shared" si="978"/>
        <v>0</v>
      </c>
      <c r="D158" s="344">
        <f t="shared" si="978"/>
        <v>0</v>
      </c>
      <c r="E158" s="343">
        <f t="shared" si="978"/>
        <v>0</v>
      </c>
      <c r="F158" s="344">
        <f t="shared" si="978"/>
        <v>0</v>
      </c>
      <c r="G158" s="344">
        <f t="shared" si="978"/>
        <v>0</v>
      </c>
      <c r="H158" s="344">
        <f t="shared" si="978"/>
        <v>0</v>
      </c>
      <c r="I158" s="343">
        <f t="shared" si="978"/>
        <v>0</v>
      </c>
      <c r="J158" s="344">
        <f t="shared" si="978"/>
        <v>0</v>
      </c>
      <c r="K158" s="344">
        <f t="shared" si="978"/>
        <v>0</v>
      </c>
      <c r="L158" s="344">
        <f t="shared" si="978"/>
        <v>-87</v>
      </c>
      <c r="M158" s="343">
        <f t="shared" si="978"/>
        <v>-1216</v>
      </c>
      <c r="N158" s="344">
        <f t="shared" si="978"/>
        <v>-6909</v>
      </c>
      <c r="O158" s="344">
        <f t="shared" ref="O158:Q158" si="979">SUM(O159,O160)</f>
        <v>-903</v>
      </c>
      <c r="P158" s="344">
        <f t="shared" si="979"/>
        <v>-764</v>
      </c>
      <c r="Q158" s="343">
        <f t="shared" si="979"/>
        <v>-686</v>
      </c>
      <c r="R158" s="344">
        <v>-10586</v>
      </c>
      <c r="S158" s="344">
        <v>8447</v>
      </c>
      <c r="T158" s="344">
        <v>3979</v>
      </c>
      <c r="U158" s="344">
        <v>3374</v>
      </c>
      <c r="V158" s="344">
        <v>-2139</v>
      </c>
      <c r="W158" s="344">
        <v>1840</v>
      </c>
      <c r="X158" s="343">
        <v>5214</v>
      </c>
      <c r="Y158" s="344">
        <f t="shared" ref="Y158" si="980">SUM(Y159,Y160)</f>
        <v>0</v>
      </c>
      <c r="Z158" s="344">
        <f t="shared" si="885"/>
        <v>0</v>
      </c>
      <c r="AA158" s="344">
        <f>SUM(AA159,AA160)</f>
        <v>0</v>
      </c>
      <c r="AB158" s="342">
        <f>SUM(AB159,AB160)</f>
        <v>0</v>
      </c>
      <c r="AC158" s="342">
        <f t="shared" ref="AC158:AD158" si="981">SUM(AC159,AC160)</f>
        <v>0</v>
      </c>
      <c r="AD158" s="342">
        <f t="shared" si="981"/>
        <v>0</v>
      </c>
      <c r="AE158" s="343">
        <f t="shared" ref="AE158:AF158" si="982">SUM(AE159,AE160)</f>
        <v>0</v>
      </c>
      <c r="AF158" s="342">
        <f t="shared" si="982"/>
        <v>0</v>
      </c>
      <c r="AG158" s="342">
        <f t="shared" si="945"/>
        <v>0</v>
      </c>
      <c r="AH158" s="344">
        <f>SUM(AH159,AH160)</f>
        <v>0</v>
      </c>
      <c r="AI158" s="342">
        <f>SUM(AI159,AI160)</f>
        <v>0</v>
      </c>
      <c r="AJ158" s="342">
        <f t="shared" ref="AJ158:AK158" si="983">SUM(AJ159,AJ160)</f>
        <v>0</v>
      </c>
      <c r="AK158" s="342">
        <f t="shared" si="983"/>
        <v>0</v>
      </c>
      <c r="AL158" s="343">
        <f t="shared" ref="AL158:AM158" si="984">SUM(AL159,AL160)</f>
        <v>0</v>
      </c>
      <c r="AM158" s="342">
        <f t="shared" si="984"/>
        <v>0</v>
      </c>
      <c r="AN158" s="342">
        <f t="shared" si="795"/>
        <v>0</v>
      </c>
      <c r="AO158" s="342">
        <f t="shared" si="796"/>
        <v>0</v>
      </c>
      <c r="AP158" s="342">
        <f t="shared" si="796"/>
        <v>0</v>
      </c>
      <c r="AQ158" s="342">
        <f t="shared" ref="AQ158:AR158" si="985">SUM(AQ159,AQ160)</f>
        <v>0</v>
      </c>
      <c r="AR158" s="342">
        <f t="shared" si="985"/>
        <v>0</v>
      </c>
      <c r="AS158" s="343">
        <f t="shared" ref="AS158:AT158" si="986">SUM(AS159,AS160)</f>
        <v>0</v>
      </c>
      <c r="AT158" s="342">
        <f t="shared" si="986"/>
        <v>0</v>
      </c>
      <c r="AU158" s="342"/>
      <c r="AV158" s="342">
        <f t="shared" ref="AV158:AW158" si="987">SUM(AV159,AV160)</f>
        <v>0</v>
      </c>
      <c r="AW158" s="342">
        <f t="shared" si="987"/>
        <v>0</v>
      </c>
      <c r="AX158" s="342">
        <v>0</v>
      </c>
      <c r="AY158" s="342">
        <f t="shared" ref="AY158" si="988">SUM(AY159,AY160)</f>
        <v>0</v>
      </c>
      <c r="AZ158" s="342"/>
      <c r="BA158" s="342"/>
      <c r="BB158" s="342"/>
      <c r="BC158" s="342"/>
      <c r="BD158" s="342"/>
      <c r="BE158" s="342"/>
      <c r="BF158" s="342"/>
      <c r="BG158" s="342"/>
      <c r="BH158" s="342"/>
      <c r="BI158" s="342"/>
      <c r="BJ158" s="342"/>
      <c r="BK158" s="342"/>
      <c r="BL158" s="342"/>
      <c r="BM158" s="342"/>
      <c r="BN158" s="342"/>
      <c r="BO158" s="342"/>
      <c r="BP158" s="342"/>
      <c r="BQ158" s="342"/>
      <c r="BR158" s="342"/>
      <c r="BS158" s="342"/>
      <c r="BT158" s="342"/>
      <c r="BU158" s="342"/>
      <c r="BV158" s="342"/>
      <c r="BW158" s="342"/>
      <c r="BX158" s="342"/>
      <c r="BY158" s="342"/>
      <c r="BZ158" s="342"/>
      <c r="CA158" s="342"/>
      <c r="CB158" s="342"/>
      <c r="CC158" s="342"/>
      <c r="CD158" s="342"/>
      <c r="CE158" s="342"/>
      <c r="CF158" s="342"/>
      <c r="CG158" s="342"/>
      <c r="CH158" s="342"/>
      <c r="CI158" s="342"/>
      <c r="CJ158" s="342"/>
      <c r="CK158" s="342"/>
      <c r="CL158" s="342"/>
      <c r="CM158" s="342"/>
      <c r="CN158" s="342"/>
      <c r="CO158" s="342"/>
    </row>
    <row r="159" spans="1:93" s="394" customFormat="1" x14ac:dyDescent="0.25">
      <c r="A159" s="380" t="str">
        <f>Language!$G156</f>
        <v>Corrente</v>
      </c>
      <c r="B159" s="381">
        <v>0</v>
      </c>
      <c r="C159" s="381">
        <v>0</v>
      </c>
      <c r="D159" s="381">
        <v>0</v>
      </c>
      <c r="E159" s="382">
        <v>0</v>
      </c>
      <c r="F159" s="381">
        <v>0</v>
      </c>
      <c r="G159" s="381">
        <v>0</v>
      </c>
      <c r="H159" s="381">
        <v>0</v>
      </c>
      <c r="I159" s="382">
        <v>0</v>
      </c>
      <c r="J159" s="381">
        <v>0</v>
      </c>
      <c r="K159" s="381">
        <v>0</v>
      </c>
      <c r="L159" s="381">
        <v>-87</v>
      </c>
      <c r="M159" s="382">
        <v>-1216</v>
      </c>
      <c r="N159" s="381">
        <v>-6909</v>
      </c>
      <c r="O159" s="381">
        <v>-903</v>
      </c>
      <c r="P159" s="381">
        <v>-764</v>
      </c>
      <c r="Q159" s="382">
        <v>-686</v>
      </c>
      <c r="R159" s="381">
        <v>-10586</v>
      </c>
      <c r="S159" s="381">
        <v>8447</v>
      </c>
      <c r="T159" s="381">
        <v>3979</v>
      </c>
      <c r="U159" s="381">
        <v>3374</v>
      </c>
      <c r="V159" s="381">
        <v>-2139</v>
      </c>
      <c r="W159" s="381">
        <v>1840</v>
      </c>
      <c r="X159" s="382">
        <v>5214</v>
      </c>
      <c r="Y159" s="381">
        <v>0</v>
      </c>
      <c r="Z159" s="381">
        <f t="shared" si="885"/>
        <v>0</v>
      </c>
      <c r="AA159" s="381">
        <f>AD159-Z159-Y159</f>
        <v>0</v>
      </c>
      <c r="AB159" s="383">
        <f t="shared" si="887"/>
        <v>0</v>
      </c>
      <c r="AC159" s="383">
        <v>0</v>
      </c>
      <c r="AD159" s="383">
        <v>0</v>
      </c>
      <c r="AE159" s="382">
        <v>0</v>
      </c>
      <c r="AF159" s="383">
        <v>0</v>
      </c>
      <c r="AG159" s="383">
        <f t="shared" si="945"/>
        <v>0</v>
      </c>
      <c r="AH159" s="381">
        <f>AK159-AG159-AF159</f>
        <v>0</v>
      </c>
      <c r="AI159" s="383">
        <f t="shared" ref="AI159:AI160" si="989">AL159-AF159-AG159-AH159</f>
        <v>0</v>
      </c>
      <c r="AJ159" s="383">
        <v>0</v>
      </c>
      <c r="AK159" s="383">
        <v>0</v>
      </c>
      <c r="AL159" s="382">
        <v>0</v>
      </c>
      <c r="AM159" s="383">
        <v>0</v>
      </c>
      <c r="AN159" s="383">
        <f t="shared" si="795"/>
        <v>0</v>
      </c>
      <c r="AO159" s="383">
        <f t="shared" si="796"/>
        <v>0</v>
      </c>
      <c r="AP159" s="383">
        <f t="shared" si="796"/>
        <v>0</v>
      </c>
      <c r="AQ159" s="383">
        <v>0</v>
      </c>
      <c r="AR159" s="383"/>
      <c r="AS159" s="382"/>
      <c r="AT159" s="383"/>
      <c r="AU159" s="383"/>
      <c r="AV159" s="383"/>
      <c r="AW159" s="383"/>
      <c r="AX159" s="383"/>
      <c r="AY159" s="383"/>
      <c r="AZ159" s="383"/>
      <c r="BA159" s="383"/>
      <c r="BB159" s="383"/>
      <c r="BC159" s="383"/>
      <c r="BD159" s="383"/>
      <c r="BE159" s="383"/>
      <c r="BF159" s="383"/>
      <c r="BG159" s="383"/>
      <c r="BH159" s="383"/>
      <c r="BI159" s="383"/>
      <c r="BJ159" s="383"/>
      <c r="BK159" s="383"/>
      <c r="BL159" s="383"/>
      <c r="BM159" s="383"/>
      <c r="BN159" s="383"/>
      <c r="BO159" s="383"/>
      <c r="BP159" s="383"/>
      <c r="BQ159" s="383"/>
      <c r="BR159" s="383"/>
      <c r="BS159" s="383"/>
      <c r="BT159" s="383"/>
      <c r="BU159" s="383"/>
      <c r="BV159" s="383"/>
      <c r="BW159" s="383"/>
      <c r="BX159" s="383"/>
      <c r="BY159" s="383"/>
      <c r="BZ159" s="383"/>
      <c r="CA159" s="383"/>
      <c r="CB159" s="383"/>
      <c r="CC159" s="383"/>
      <c r="CD159" s="383"/>
      <c r="CE159" s="383"/>
      <c r="CF159" s="383"/>
      <c r="CG159" s="383"/>
      <c r="CH159" s="383"/>
      <c r="CI159" s="383"/>
      <c r="CJ159" s="383"/>
      <c r="CK159" s="383"/>
      <c r="CL159" s="383"/>
      <c r="CM159" s="383"/>
      <c r="CN159" s="383"/>
      <c r="CO159" s="383"/>
    </row>
    <row r="160" spans="1:93" s="394" customFormat="1" x14ac:dyDescent="0.25">
      <c r="A160" s="380" t="str">
        <f>Language!$G157</f>
        <v>Diferido</v>
      </c>
      <c r="B160" s="381">
        <v>0</v>
      </c>
      <c r="C160" s="381">
        <v>0</v>
      </c>
      <c r="D160" s="381">
        <v>0</v>
      </c>
      <c r="E160" s="382">
        <v>0</v>
      </c>
      <c r="F160" s="381">
        <v>0</v>
      </c>
      <c r="G160" s="381">
        <v>0</v>
      </c>
      <c r="H160" s="381">
        <v>0</v>
      </c>
      <c r="I160" s="382">
        <v>0</v>
      </c>
      <c r="J160" s="381">
        <v>0</v>
      </c>
      <c r="K160" s="381">
        <v>0</v>
      </c>
      <c r="L160" s="381">
        <v>0</v>
      </c>
      <c r="M160" s="382">
        <v>0</v>
      </c>
      <c r="N160" s="381">
        <v>0</v>
      </c>
      <c r="O160" s="381">
        <v>0</v>
      </c>
      <c r="P160" s="381">
        <v>0</v>
      </c>
      <c r="Q160" s="382">
        <v>0</v>
      </c>
      <c r="R160" s="381">
        <v>0</v>
      </c>
      <c r="S160" s="381">
        <v>0</v>
      </c>
      <c r="T160" s="381">
        <v>0</v>
      </c>
      <c r="U160" s="381">
        <v>0</v>
      </c>
      <c r="V160" s="381">
        <v>0</v>
      </c>
      <c r="W160" s="381">
        <v>0</v>
      </c>
      <c r="X160" s="382">
        <v>0</v>
      </c>
      <c r="Y160" s="381">
        <v>0</v>
      </c>
      <c r="Z160" s="381">
        <f t="shared" si="885"/>
        <v>0</v>
      </c>
      <c r="AA160" s="381">
        <f t="shared" ref="AA160" si="990">AD160-Z160-Y160</f>
        <v>0</v>
      </c>
      <c r="AB160" s="383">
        <f t="shared" si="887"/>
        <v>0</v>
      </c>
      <c r="AC160" s="383">
        <v>0</v>
      </c>
      <c r="AD160" s="383">
        <v>0</v>
      </c>
      <c r="AE160" s="382">
        <v>0</v>
      </c>
      <c r="AF160" s="383">
        <v>0</v>
      </c>
      <c r="AG160" s="383">
        <f t="shared" si="945"/>
        <v>0</v>
      </c>
      <c r="AH160" s="381">
        <f t="shared" ref="AH160" si="991">AK160-AG160-AF160</f>
        <v>0</v>
      </c>
      <c r="AI160" s="383">
        <f t="shared" si="989"/>
        <v>0</v>
      </c>
      <c r="AJ160" s="383">
        <v>0</v>
      </c>
      <c r="AK160" s="383">
        <v>0</v>
      </c>
      <c r="AL160" s="382">
        <v>0</v>
      </c>
      <c r="AM160" s="383">
        <v>0</v>
      </c>
      <c r="AN160" s="383">
        <f t="shared" si="795"/>
        <v>0</v>
      </c>
      <c r="AO160" s="383">
        <f t="shared" si="796"/>
        <v>0</v>
      </c>
      <c r="AP160" s="383">
        <f t="shared" si="796"/>
        <v>0</v>
      </c>
      <c r="AQ160" s="383">
        <v>0</v>
      </c>
      <c r="AR160" s="383"/>
      <c r="AS160" s="382"/>
      <c r="AT160" s="383"/>
      <c r="AU160" s="383"/>
      <c r="AV160" s="383"/>
      <c r="AW160" s="383"/>
      <c r="AX160" s="383"/>
      <c r="AY160" s="383"/>
      <c r="AZ160" s="383"/>
      <c r="BA160" s="383"/>
      <c r="BB160" s="383"/>
      <c r="BC160" s="383"/>
      <c r="BD160" s="383"/>
      <c r="BE160" s="383"/>
      <c r="BF160" s="383"/>
      <c r="BG160" s="383"/>
      <c r="BH160" s="383"/>
      <c r="BI160" s="383"/>
      <c r="BJ160" s="383"/>
      <c r="BK160" s="383"/>
      <c r="BL160" s="383"/>
      <c r="BM160" s="383"/>
      <c r="BN160" s="383"/>
      <c r="BO160" s="383"/>
      <c r="BP160" s="383"/>
      <c r="BQ160" s="383"/>
      <c r="BR160" s="383"/>
      <c r="BS160" s="383"/>
      <c r="BT160" s="383"/>
      <c r="BU160" s="383"/>
      <c r="BV160" s="383"/>
      <c r="BW160" s="383"/>
      <c r="BX160" s="383"/>
      <c r="BY160" s="383"/>
      <c r="BZ160" s="383"/>
      <c r="CA160" s="383"/>
      <c r="CB160" s="383"/>
      <c r="CC160" s="383"/>
      <c r="CD160" s="383"/>
      <c r="CE160" s="383"/>
      <c r="CF160" s="383"/>
      <c r="CG160" s="383"/>
      <c r="CH160" s="383"/>
      <c r="CI160" s="383"/>
      <c r="CJ160" s="383"/>
      <c r="CK160" s="383"/>
      <c r="CL160" s="383"/>
      <c r="CM160" s="383"/>
      <c r="CN160" s="383"/>
      <c r="CO160" s="383"/>
    </row>
    <row r="161" spans="1:93" s="394" customFormat="1" x14ac:dyDescent="0.25">
      <c r="A161" s="379" t="str">
        <f>Language!$G158</f>
        <v>Tijoá</v>
      </c>
      <c r="B161" s="344">
        <f t="shared" ref="B161:Q161" si="992">SUM(B162,B163)</f>
        <v>0</v>
      </c>
      <c r="C161" s="344">
        <f t="shared" si="992"/>
        <v>0</v>
      </c>
      <c r="D161" s="344">
        <f t="shared" si="992"/>
        <v>0</v>
      </c>
      <c r="E161" s="343">
        <f t="shared" si="992"/>
        <v>0</v>
      </c>
      <c r="F161" s="344">
        <f t="shared" si="992"/>
        <v>0</v>
      </c>
      <c r="G161" s="344">
        <f t="shared" si="992"/>
        <v>0</v>
      </c>
      <c r="H161" s="344">
        <f t="shared" si="992"/>
        <v>0</v>
      </c>
      <c r="I161" s="343">
        <f t="shared" si="992"/>
        <v>0</v>
      </c>
      <c r="J161" s="344">
        <f t="shared" si="992"/>
        <v>0</v>
      </c>
      <c r="K161" s="344">
        <f t="shared" si="992"/>
        <v>0</v>
      </c>
      <c r="L161" s="344">
        <f t="shared" si="992"/>
        <v>0</v>
      </c>
      <c r="M161" s="343">
        <f t="shared" si="992"/>
        <v>0</v>
      </c>
      <c r="N161" s="344">
        <f t="shared" si="992"/>
        <v>0</v>
      </c>
      <c r="O161" s="344">
        <f t="shared" si="992"/>
        <v>0</v>
      </c>
      <c r="P161" s="344">
        <f t="shared" si="992"/>
        <v>0</v>
      </c>
      <c r="Q161" s="343">
        <f t="shared" si="992"/>
        <v>0</v>
      </c>
      <c r="R161" s="344">
        <v>-164</v>
      </c>
      <c r="S161" s="344">
        <v>-802</v>
      </c>
      <c r="T161" s="344">
        <v>-968</v>
      </c>
      <c r="U161" s="344">
        <v>-189</v>
      </c>
      <c r="V161" s="344">
        <v>-966</v>
      </c>
      <c r="W161" s="344">
        <v>-1934</v>
      </c>
      <c r="X161" s="343">
        <v>-2123</v>
      </c>
      <c r="Y161" s="344">
        <f t="shared" ref="Y161" si="993">SUM(Y162,Y163)</f>
        <v>-960</v>
      </c>
      <c r="Z161" s="344">
        <f t="shared" si="885"/>
        <v>-728</v>
      </c>
      <c r="AA161" s="344">
        <f>SUM(AA162,AA163)</f>
        <v>-861</v>
      </c>
      <c r="AB161" s="342">
        <f>SUM(AB162,AB163)</f>
        <v>-386</v>
      </c>
      <c r="AC161" s="342">
        <f t="shared" ref="AC161:AD161" si="994">SUM(AC162,AC163)</f>
        <v>-1688</v>
      </c>
      <c r="AD161" s="342">
        <f t="shared" si="994"/>
        <v>-2549</v>
      </c>
      <c r="AE161" s="343">
        <f t="shared" ref="AE161:AF161" si="995">SUM(AE162,AE163)</f>
        <v>-2935</v>
      </c>
      <c r="AF161" s="342">
        <f t="shared" si="995"/>
        <v>-895</v>
      </c>
      <c r="AG161" s="342">
        <f t="shared" si="945"/>
        <v>-888</v>
      </c>
      <c r="AH161" s="344">
        <f>SUM(AH162,AH163)</f>
        <v>-698</v>
      </c>
      <c r="AI161" s="342">
        <f>SUM(AI162,AI163)</f>
        <v>-740</v>
      </c>
      <c r="AJ161" s="342">
        <f t="shared" ref="AJ161:AK161" si="996">SUM(AJ162,AJ163)</f>
        <v>-1783</v>
      </c>
      <c r="AK161" s="342">
        <f t="shared" si="996"/>
        <v>-2481</v>
      </c>
      <c r="AL161" s="343">
        <f t="shared" ref="AL161:AM161" si="997">SUM(AL162,AL163)</f>
        <v>-3221</v>
      </c>
      <c r="AM161" s="342">
        <f t="shared" si="997"/>
        <v>-719</v>
      </c>
      <c r="AN161" s="342">
        <f t="shared" si="795"/>
        <v>-827</v>
      </c>
      <c r="AO161" s="342">
        <f t="shared" si="796"/>
        <v>-3963</v>
      </c>
      <c r="AP161" s="342">
        <f t="shared" si="796"/>
        <v>-3251</v>
      </c>
      <c r="AQ161" s="342">
        <f t="shared" ref="AQ161:AR161" si="998">SUM(AQ162,AQ163)</f>
        <v>-1546</v>
      </c>
      <c r="AR161" s="342">
        <f t="shared" si="998"/>
        <v>-5509</v>
      </c>
      <c r="AS161" s="343">
        <f t="shared" ref="AS161:AU161" si="999">SUM(AS162,AS163)</f>
        <v>-8760</v>
      </c>
      <c r="AT161" s="342">
        <f t="shared" si="999"/>
        <v>-3712</v>
      </c>
      <c r="AU161" s="342">
        <f t="shared" si="999"/>
        <v>-3821</v>
      </c>
      <c r="AV161" s="342">
        <f t="shared" ref="AV161:AW161" si="1000">SUM(AV162,AV163)</f>
        <v>-3983</v>
      </c>
      <c r="AW161" s="342">
        <f t="shared" si="1000"/>
        <v>-3417</v>
      </c>
      <c r="AX161" s="342">
        <f t="shared" ref="AX161:AZ161" si="1001">SUM(AX162,AX163)</f>
        <v>-7533</v>
      </c>
      <c r="AY161" s="342">
        <f t="shared" si="1001"/>
        <v>-11516</v>
      </c>
      <c r="AZ161" s="342">
        <f t="shared" si="1001"/>
        <v>-14933</v>
      </c>
      <c r="BA161" s="342">
        <f t="shared" ref="BA161:BD161" si="1002">SUM(BA162,BA163)</f>
        <v>-4053</v>
      </c>
      <c r="BB161" s="342">
        <f t="shared" si="1002"/>
        <v>-4177</v>
      </c>
      <c r="BC161" s="342">
        <f t="shared" si="1002"/>
        <v>-4617</v>
      </c>
      <c r="BD161" s="342">
        <f t="shared" si="1002"/>
        <v>-4007</v>
      </c>
      <c r="BE161" s="342">
        <f t="shared" ref="BE161:BF161" si="1003">SUM(BE162,BE163)</f>
        <v>-8230</v>
      </c>
      <c r="BF161" s="342">
        <f t="shared" si="1003"/>
        <v>-12847</v>
      </c>
      <c r="BG161" s="342">
        <f t="shared" ref="BG161:BH161" si="1004">SUM(BG162,BG163)</f>
        <v>-16854</v>
      </c>
      <c r="BH161" s="342">
        <f t="shared" si="1004"/>
        <v>-4383</v>
      </c>
      <c r="BI161" s="342">
        <f t="shared" ref="BI161:BL161" si="1005">SUM(BI162,BI163)</f>
        <v>-4154</v>
      </c>
      <c r="BJ161" s="342">
        <f t="shared" si="1005"/>
        <v>-5016</v>
      </c>
      <c r="BK161" s="342">
        <f t="shared" si="1005"/>
        <v>-4563</v>
      </c>
      <c r="BL161" s="342">
        <f t="shared" si="1005"/>
        <v>-8537</v>
      </c>
      <c r="BM161" s="342">
        <f t="shared" ref="BM161:BN161" si="1006">SUM(BM162,BM163)</f>
        <v>-13553</v>
      </c>
      <c r="BN161" s="342">
        <f t="shared" si="1006"/>
        <v>-18116</v>
      </c>
      <c r="BO161" s="342">
        <f t="shared" ref="BO161:BS161" si="1007">SUM(BO162,BO163)</f>
        <v>-4960</v>
      </c>
      <c r="BP161" s="342">
        <f t="shared" si="1007"/>
        <v>-4994</v>
      </c>
      <c r="BQ161" s="342">
        <f t="shared" si="1007"/>
        <v>-5903</v>
      </c>
      <c r="BR161" s="342">
        <f t="shared" si="1007"/>
        <v>-4781</v>
      </c>
      <c r="BS161" s="342">
        <f t="shared" si="1007"/>
        <v>-9954</v>
      </c>
      <c r="BT161" s="342">
        <f t="shared" ref="BT161" si="1008">SUM(BT162,BT163)</f>
        <v>-15857</v>
      </c>
      <c r="BU161" s="342">
        <f>SUM(BU162,BU163)</f>
        <v>-20638</v>
      </c>
      <c r="BV161" s="342">
        <f>SUM(BV162,BV163)</f>
        <v>-5937</v>
      </c>
      <c r="BW161" s="342">
        <f t="shared" ref="BW161:BZ161" si="1009">SUM(BW162,BW163)</f>
        <v>-5435</v>
      </c>
      <c r="BX161" s="342">
        <f t="shared" si="1009"/>
        <v>-5825</v>
      </c>
      <c r="BY161" s="342">
        <f t="shared" si="1009"/>
        <v>-5325</v>
      </c>
      <c r="BZ161" s="342">
        <f t="shared" si="1009"/>
        <v>-11372</v>
      </c>
      <c r="CA161" s="342">
        <f t="shared" ref="CA161:CB161" si="1010">SUM(CA162,CA163)</f>
        <v>-17197</v>
      </c>
      <c r="CB161" s="342">
        <f t="shared" si="1010"/>
        <v>-22522</v>
      </c>
      <c r="CC161" s="342">
        <f t="shared" ref="CC161:CD161" si="1011">SUM(CC162,CC163)</f>
        <v>-5522</v>
      </c>
      <c r="CD161" s="342">
        <f t="shared" si="1011"/>
        <v>-5519</v>
      </c>
      <c r="CE161" s="342">
        <f t="shared" ref="CE161:CG161" si="1012">SUM(CE162,CE163)</f>
        <v>-5741</v>
      </c>
      <c r="CF161" s="342">
        <f t="shared" si="1012"/>
        <v>-5423</v>
      </c>
      <c r="CG161" s="342">
        <f t="shared" si="1012"/>
        <v>-11041</v>
      </c>
      <c r="CH161" s="342">
        <f t="shared" ref="CH161:CI161" si="1013">SUM(CH162,CH163)</f>
        <v>-16782</v>
      </c>
      <c r="CI161" s="342">
        <f t="shared" si="1013"/>
        <v>-22205</v>
      </c>
      <c r="CJ161" s="342">
        <v>-5892</v>
      </c>
      <c r="CK161" s="342">
        <f t="shared" ref="CK161:CO161" si="1014">SUM(CK162,CK163)</f>
        <v>-6016</v>
      </c>
      <c r="CL161" s="342">
        <f t="shared" si="1014"/>
        <v>0</v>
      </c>
      <c r="CM161" s="342">
        <f t="shared" si="1014"/>
        <v>0</v>
      </c>
      <c r="CN161" s="342">
        <f t="shared" si="1014"/>
        <v>-11908</v>
      </c>
      <c r="CO161" s="342">
        <f t="shared" si="1014"/>
        <v>0</v>
      </c>
    </row>
    <row r="162" spans="1:93" s="394" customFormat="1" x14ac:dyDescent="0.25">
      <c r="A162" s="380" t="str">
        <f>Language!$G159</f>
        <v>Corrente</v>
      </c>
      <c r="B162" s="381">
        <v>0</v>
      </c>
      <c r="C162" s="381">
        <v>0</v>
      </c>
      <c r="D162" s="381">
        <v>0</v>
      </c>
      <c r="E162" s="382">
        <v>0</v>
      </c>
      <c r="F162" s="381">
        <v>0</v>
      </c>
      <c r="G162" s="381">
        <v>0</v>
      </c>
      <c r="H162" s="381">
        <v>0</v>
      </c>
      <c r="I162" s="382">
        <v>0</v>
      </c>
      <c r="J162" s="381">
        <v>0</v>
      </c>
      <c r="K162" s="381">
        <v>0</v>
      </c>
      <c r="L162" s="381">
        <v>0</v>
      </c>
      <c r="M162" s="382">
        <v>0</v>
      </c>
      <c r="N162" s="381">
        <v>0</v>
      </c>
      <c r="O162" s="381">
        <v>0</v>
      </c>
      <c r="P162" s="381">
        <v>0</v>
      </c>
      <c r="Q162" s="382">
        <v>0</v>
      </c>
      <c r="R162" s="381">
        <v>-164</v>
      </c>
      <c r="S162" s="381">
        <v>-802</v>
      </c>
      <c r="T162" s="381">
        <v>-968</v>
      </c>
      <c r="U162" s="381">
        <v>-189</v>
      </c>
      <c r="V162" s="381">
        <v>-966</v>
      </c>
      <c r="W162" s="381">
        <v>-1934</v>
      </c>
      <c r="X162" s="382">
        <v>-2123</v>
      </c>
      <c r="Y162" s="381">
        <v>-960</v>
      </c>
      <c r="Z162" s="381">
        <f t="shared" si="885"/>
        <v>-728</v>
      </c>
      <c r="AA162" s="381">
        <f t="shared" ref="AA162:AA163" si="1015">AD162-Z162-Y162</f>
        <v>-861</v>
      </c>
      <c r="AB162" s="383">
        <f t="shared" si="887"/>
        <v>-519</v>
      </c>
      <c r="AC162" s="383">
        <v>-1688</v>
      </c>
      <c r="AD162" s="383">
        <v>-2549</v>
      </c>
      <c r="AE162" s="382">
        <v>-3068</v>
      </c>
      <c r="AF162" s="383">
        <v>-895</v>
      </c>
      <c r="AG162" s="383">
        <f t="shared" si="945"/>
        <v>-800</v>
      </c>
      <c r="AH162" s="381">
        <f t="shared" ref="AH162:AH163" si="1016">AK162-AG162-AF162</f>
        <v>-786</v>
      </c>
      <c r="AI162" s="383">
        <f t="shared" ref="AI162:AI163" si="1017">AL162-AF162-AG162-AH162</f>
        <v>-837</v>
      </c>
      <c r="AJ162" s="383">
        <v>-1695</v>
      </c>
      <c r="AK162" s="383">
        <v>-2481</v>
      </c>
      <c r="AL162" s="382">
        <v>-3318</v>
      </c>
      <c r="AM162" s="383">
        <v>-743</v>
      </c>
      <c r="AN162" s="383">
        <f t="shared" si="795"/>
        <v>-722</v>
      </c>
      <c r="AO162" s="383">
        <f t="shared" si="796"/>
        <v>-3971</v>
      </c>
      <c r="AP162" s="383">
        <f t="shared" si="796"/>
        <v>-3263</v>
      </c>
      <c r="AQ162" s="383">
        <v>-1465</v>
      </c>
      <c r="AR162" s="383">
        <v>-5436</v>
      </c>
      <c r="AS162" s="382">
        <v>-8699</v>
      </c>
      <c r="AT162" s="383">
        <v>-3712</v>
      </c>
      <c r="AU162" s="383">
        <f>AX162-AT162</f>
        <v>-3839</v>
      </c>
      <c r="AV162" s="383">
        <f>AY162-AX162</f>
        <v>-3956</v>
      </c>
      <c r="AW162" s="383">
        <f>AZ162-AY162</f>
        <v>-3497</v>
      </c>
      <c r="AX162" s="383">
        <v>-7551</v>
      </c>
      <c r="AY162" s="383">
        <v>-11507</v>
      </c>
      <c r="AZ162" s="383">
        <v>-15004</v>
      </c>
      <c r="BA162" s="383">
        <v>-4079</v>
      </c>
      <c r="BB162" s="383">
        <f>BE162-BA162</f>
        <v>-4044</v>
      </c>
      <c r="BC162" s="383">
        <f>BF162-BE162</f>
        <v>-4617</v>
      </c>
      <c r="BD162" s="383">
        <f>BG162-BF162</f>
        <v>-4007</v>
      </c>
      <c r="BE162" s="383">
        <v>-8123</v>
      </c>
      <c r="BF162" s="383">
        <v>-12740</v>
      </c>
      <c r="BG162" s="383">
        <v>-16747</v>
      </c>
      <c r="BH162" s="383">
        <v>-4383</v>
      </c>
      <c r="BI162" s="383">
        <f>BL162-BH162</f>
        <v>-4201</v>
      </c>
      <c r="BJ162" s="383">
        <f>BM162-BL162</f>
        <v>-5019</v>
      </c>
      <c r="BK162" s="383">
        <f>BN162-BM162</f>
        <v>-4778</v>
      </c>
      <c r="BL162" s="383">
        <v>-8584</v>
      </c>
      <c r="BM162" s="383">
        <v>-13603</v>
      </c>
      <c r="BN162" s="383">
        <v>-18381</v>
      </c>
      <c r="BO162" s="383">
        <v>-5025</v>
      </c>
      <c r="BP162" s="383">
        <f>BS162-BO162</f>
        <v>-4810</v>
      </c>
      <c r="BQ162" s="383">
        <f>BT162-BS162</f>
        <v>-5975</v>
      </c>
      <c r="BR162" s="383">
        <f>BU162-BT162</f>
        <v>-4886</v>
      </c>
      <c r="BS162" s="383">
        <v>-9835</v>
      </c>
      <c r="BT162" s="383">
        <v>-15810</v>
      </c>
      <c r="BU162" s="383">
        <v>-20696</v>
      </c>
      <c r="BV162" s="383">
        <v>-6011</v>
      </c>
      <c r="BW162" s="383">
        <f>BZ162-BV162</f>
        <v>-5235</v>
      </c>
      <c r="BX162" s="383">
        <f>CA162-BZ162</f>
        <v>-5791</v>
      </c>
      <c r="BY162" s="383">
        <f>CB162-CA162</f>
        <v>-5431</v>
      </c>
      <c r="BZ162" s="383">
        <v>-11246</v>
      </c>
      <c r="CA162" s="383">
        <v>-17037</v>
      </c>
      <c r="CB162" s="383">
        <v>-22468</v>
      </c>
      <c r="CC162" s="383">
        <v>-5578</v>
      </c>
      <c r="CD162" s="383">
        <f>CG162-CC162</f>
        <v>-5308</v>
      </c>
      <c r="CE162" s="383">
        <f>CH162-CG162</f>
        <v>-5797</v>
      </c>
      <c r="CF162" s="383">
        <f>CI162-CH162</f>
        <v>-5483</v>
      </c>
      <c r="CG162" s="383">
        <v>-10886</v>
      </c>
      <c r="CH162" s="383">
        <v>-16683</v>
      </c>
      <c r="CI162" s="383">
        <v>-22166</v>
      </c>
      <c r="CJ162" s="383">
        <v>-5947</v>
      </c>
      <c r="CK162" s="383">
        <f>CN162-CJ162</f>
        <v>-5902</v>
      </c>
      <c r="CL162" s="383"/>
      <c r="CM162" s="383"/>
      <c r="CN162" s="383">
        <v>-11849</v>
      </c>
      <c r="CO162" s="383"/>
    </row>
    <row r="163" spans="1:93" s="394" customFormat="1" x14ac:dyDescent="0.25">
      <c r="A163" s="380" t="str">
        <f>Language!$G160</f>
        <v>Diferido</v>
      </c>
      <c r="B163" s="381">
        <v>0</v>
      </c>
      <c r="C163" s="381">
        <v>0</v>
      </c>
      <c r="D163" s="381">
        <v>0</v>
      </c>
      <c r="E163" s="382">
        <v>0</v>
      </c>
      <c r="F163" s="381">
        <v>0</v>
      </c>
      <c r="G163" s="381">
        <v>0</v>
      </c>
      <c r="H163" s="381">
        <v>0</v>
      </c>
      <c r="I163" s="382">
        <v>0</v>
      </c>
      <c r="J163" s="381">
        <v>0</v>
      </c>
      <c r="K163" s="381">
        <v>0</v>
      </c>
      <c r="L163" s="381">
        <v>0</v>
      </c>
      <c r="M163" s="382">
        <v>0</v>
      </c>
      <c r="N163" s="381">
        <v>0</v>
      </c>
      <c r="O163" s="381">
        <v>0</v>
      </c>
      <c r="P163" s="381">
        <v>0</v>
      </c>
      <c r="Q163" s="382">
        <v>0</v>
      </c>
      <c r="R163" s="381">
        <v>0</v>
      </c>
      <c r="S163" s="381">
        <v>0</v>
      </c>
      <c r="T163" s="381">
        <v>0</v>
      </c>
      <c r="U163" s="381">
        <v>0</v>
      </c>
      <c r="V163" s="381">
        <v>0</v>
      </c>
      <c r="W163" s="381">
        <v>0</v>
      </c>
      <c r="X163" s="382">
        <v>0</v>
      </c>
      <c r="Y163" s="381">
        <v>0</v>
      </c>
      <c r="Z163" s="381">
        <f t="shared" si="885"/>
        <v>0</v>
      </c>
      <c r="AA163" s="381">
        <f t="shared" si="1015"/>
        <v>0</v>
      </c>
      <c r="AB163" s="383">
        <f t="shared" si="887"/>
        <v>133</v>
      </c>
      <c r="AC163" s="383">
        <v>0</v>
      </c>
      <c r="AD163" s="383">
        <v>0</v>
      </c>
      <c r="AE163" s="382">
        <v>133</v>
      </c>
      <c r="AF163" s="383">
        <v>0</v>
      </c>
      <c r="AG163" s="383">
        <f t="shared" si="945"/>
        <v>-88</v>
      </c>
      <c r="AH163" s="381">
        <f t="shared" si="1016"/>
        <v>88</v>
      </c>
      <c r="AI163" s="383">
        <f t="shared" si="1017"/>
        <v>97</v>
      </c>
      <c r="AJ163" s="383">
        <v>-88</v>
      </c>
      <c r="AK163" s="383">
        <v>0</v>
      </c>
      <c r="AL163" s="382">
        <v>97</v>
      </c>
      <c r="AM163" s="383">
        <v>24</v>
      </c>
      <c r="AN163" s="383">
        <f t="shared" si="795"/>
        <v>-105</v>
      </c>
      <c r="AO163" s="383">
        <f t="shared" si="796"/>
        <v>8</v>
      </c>
      <c r="AP163" s="383">
        <f t="shared" si="796"/>
        <v>12</v>
      </c>
      <c r="AQ163" s="383">
        <v>-81</v>
      </c>
      <c r="AR163" s="383">
        <v>-73</v>
      </c>
      <c r="AS163" s="382">
        <v>-61</v>
      </c>
      <c r="AT163" s="383">
        <v>0</v>
      </c>
      <c r="AU163" s="383">
        <f>AX163-AT163</f>
        <v>18</v>
      </c>
      <c r="AV163" s="383">
        <f>AY163-AX163</f>
        <v>-27</v>
      </c>
      <c r="AW163" s="383">
        <f>AZ163-AY163</f>
        <v>80</v>
      </c>
      <c r="AX163" s="383">
        <v>18</v>
      </c>
      <c r="AY163" s="383">
        <v>-9</v>
      </c>
      <c r="AZ163" s="383">
        <v>71</v>
      </c>
      <c r="BA163" s="741">
        <v>26</v>
      </c>
      <c r="BB163" s="751">
        <f>BE163-BA163</f>
        <v>-133</v>
      </c>
      <c r="BC163" s="383">
        <f>BF163-BE163</f>
        <v>0</v>
      </c>
      <c r="BD163" s="741">
        <v>0</v>
      </c>
      <c r="BE163" s="383">
        <v>-107</v>
      </c>
      <c r="BF163" s="383">
        <v>-107</v>
      </c>
      <c r="BG163" s="383">
        <v>-107</v>
      </c>
      <c r="BH163" s="383">
        <v>0</v>
      </c>
      <c r="BI163" s="383">
        <f>BL163-BH163</f>
        <v>47</v>
      </c>
      <c r="BJ163" s="383">
        <f>BM163-BL163</f>
        <v>3</v>
      </c>
      <c r="BK163" s="383">
        <f>BN163-BM163</f>
        <v>215</v>
      </c>
      <c r="BL163" s="383">
        <v>47</v>
      </c>
      <c r="BM163" s="383">
        <v>50</v>
      </c>
      <c r="BN163" s="383">
        <v>265</v>
      </c>
      <c r="BO163" s="383">
        <v>65</v>
      </c>
      <c r="BP163" s="383">
        <f>BS163-BO163</f>
        <v>-184</v>
      </c>
      <c r="BQ163" s="383">
        <f>BT163-BS163</f>
        <v>72</v>
      </c>
      <c r="BR163" s="383">
        <f>BU163-BT163</f>
        <v>105</v>
      </c>
      <c r="BS163" s="383">
        <v>-119</v>
      </c>
      <c r="BT163" s="383">
        <v>-47</v>
      </c>
      <c r="BU163" s="383">
        <v>58</v>
      </c>
      <c r="BV163" s="383">
        <v>74</v>
      </c>
      <c r="BW163" s="383">
        <f>BZ163-BV163</f>
        <v>-200</v>
      </c>
      <c r="BX163" s="383">
        <f>CA163-BZ163</f>
        <v>-34</v>
      </c>
      <c r="BY163" s="383">
        <f>CB163-CA163</f>
        <v>106</v>
      </c>
      <c r="BZ163" s="383">
        <v>-126</v>
      </c>
      <c r="CA163" s="383">
        <v>-160</v>
      </c>
      <c r="CB163" s="383">
        <v>-54</v>
      </c>
      <c r="CC163" s="383">
        <v>56</v>
      </c>
      <c r="CD163" s="383">
        <f>CG163-CC163</f>
        <v>-211</v>
      </c>
      <c r="CE163" s="383">
        <f>CH163-CG163</f>
        <v>56</v>
      </c>
      <c r="CF163" s="383">
        <f>CI163-CH163</f>
        <v>60</v>
      </c>
      <c r="CG163" s="383">
        <v>-155</v>
      </c>
      <c r="CH163" s="383">
        <v>-99</v>
      </c>
      <c r="CI163" s="383">
        <v>-39</v>
      </c>
      <c r="CJ163" s="383">
        <v>55</v>
      </c>
      <c r="CK163" s="383">
        <f>CN163-CJ163</f>
        <v>-114</v>
      </c>
      <c r="CL163" s="383"/>
      <c r="CM163" s="383"/>
      <c r="CN163" s="383">
        <v>-59</v>
      </c>
      <c r="CO163" s="383"/>
    </row>
    <row r="164" spans="1:93" x14ac:dyDescent="0.25">
      <c r="A164" s="379" t="str">
        <f>Language!$G161</f>
        <v>Outros</v>
      </c>
      <c r="B164" s="344">
        <f t="shared" ref="B164:Q164" si="1018">SUM(B165,B166)</f>
        <v>0</v>
      </c>
      <c r="C164" s="344">
        <f t="shared" si="1018"/>
        <v>0</v>
      </c>
      <c r="D164" s="344">
        <f t="shared" si="1018"/>
        <v>0</v>
      </c>
      <c r="E164" s="343">
        <f t="shared" si="1018"/>
        <v>0</v>
      </c>
      <c r="F164" s="344">
        <f t="shared" si="1018"/>
        <v>0</v>
      </c>
      <c r="G164" s="344">
        <f t="shared" si="1018"/>
        <v>0</v>
      </c>
      <c r="H164" s="344">
        <f t="shared" si="1018"/>
        <v>0</v>
      </c>
      <c r="I164" s="343">
        <f t="shared" si="1018"/>
        <v>0</v>
      </c>
      <c r="J164" s="344">
        <f t="shared" si="1018"/>
        <v>0</v>
      </c>
      <c r="K164" s="344">
        <f t="shared" si="1018"/>
        <v>-501</v>
      </c>
      <c r="L164" s="344">
        <f t="shared" si="1018"/>
        <v>-885</v>
      </c>
      <c r="M164" s="343">
        <f t="shared" si="1018"/>
        <v>11</v>
      </c>
      <c r="N164" s="344">
        <f t="shared" ref="N164" si="1019">SUM(N165,N166)</f>
        <v>0</v>
      </c>
      <c r="O164" s="344">
        <f t="shared" si="1018"/>
        <v>0</v>
      </c>
      <c r="P164" s="344">
        <f t="shared" si="1018"/>
        <v>-1077</v>
      </c>
      <c r="Q164" s="343">
        <f t="shared" si="1018"/>
        <v>-537</v>
      </c>
      <c r="R164" s="344">
        <v>-376</v>
      </c>
      <c r="S164" s="344">
        <v>-377</v>
      </c>
      <c r="T164" s="344">
        <v>-377</v>
      </c>
      <c r="U164" s="344">
        <v>3280</v>
      </c>
      <c r="V164" s="344">
        <v>-753</v>
      </c>
      <c r="W164" s="344">
        <v>-1130</v>
      </c>
      <c r="X164" s="343">
        <v>2150</v>
      </c>
      <c r="Y164" s="344">
        <f t="shared" ref="Y164" si="1020">SUM(Y165,Y166)</f>
        <v>0</v>
      </c>
      <c r="Z164" s="344">
        <f t="shared" si="885"/>
        <v>0</v>
      </c>
      <c r="AA164" s="344">
        <f>SUM(AA165,AA166)</f>
        <v>0</v>
      </c>
      <c r="AB164" s="342">
        <f>SUM(AB165,AB166)</f>
        <v>0</v>
      </c>
      <c r="AC164" s="342">
        <f t="shared" ref="AC164:AD164" si="1021">SUM(AC165,AC166)</f>
        <v>0</v>
      </c>
      <c r="AD164" s="342">
        <f t="shared" si="1021"/>
        <v>0</v>
      </c>
      <c r="AE164" s="343">
        <f t="shared" ref="AE164:AF164" si="1022">SUM(AE165,AE166)</f>
        <v>0</v>
      </c>
      <c r="AF164" s="342">
        <f t="shared" si="1022"/>
        <v>0</v>
      </c>
      <c r="AG164" s="342">
        <f t="shared" si="945"/>
        <v>0</v>
      </c>
      <c r="AH164" s="344">
        <f>SUM(AH165,AH166)</f>
        <v>-218</v>
      </c>
      <c r="AI164" s="342">
        <f>SUM(AI165,AI166)</f>
        <v>-97</v>
      </c>
      <c r="AJ164" s="342">
        <f t="shared" ref="AJ164:AK164" si="1023">SUM(AJ165,AJ166)</f>
        <v>0</v>
      </c>
      <c r="AK164" s="342">
        <f t="shared" si="1023"/>
        <v>-218</v>
      </c>
      <c r="AL164" s="343">
        <f t="shared" ref="AL164:AQ164" si="1024">SUM(AL165,AL166)</f>
        <v>-315</v>
      </c>
      <c r="AM164" s="342">
        <f t="shared" si="1024"/>
        <v>-158</v>
      </c>
      <c r="AN164" s="342">
        <f t="shared" si="795"/>
        <v>-150</v>
      </c>
      <c r="AO164" s="342">
        <f t="shared" si="796"/>
        <v>-19</v>
      </c>
      <c r="AP164" s="342">
        <f t="shared" si="796"/>
        <v>-15</v>
      </c>
      <c r="AQ164" s="342">
        <f t="shared" si="1024"/>
        <v>-308</v>
      </c>
      <c r="AR164" s="342">
        <f t="shared" ref="AR164:AS164" si="1025">SUM(AR165,AR166)</f>
        <v>-327</v>
      </c>
      <c r="AS164" s="343">
        <f t="shared" si="1025"/>
        <v>-342</v>
      </c>
      <c r="AT164" s="342">
        <f t="shared" ref="AT164:AU164" si="1026">SUM(AT165,AT166)</f>
        <v>-8</v>
      </c>
      <c r="AU164" s="342">
        <f t="shared" si="1026"/>
        <v>-35</v>
      </c>
      <c r="AV164" s="342">
        <f t="shared" ref="AV164:AW164" si="1027">SUM(AV165,AV166)</f>
        <v>-134</v>
      </c>
      <c r="AW164" s="342">
        <f t="shared" si="1027"/>
        <v>-110</v>
      </c>
      <c r="AX164" s="342">
        <f t="shared" ref="AX164:AZ164" si="1028">SUM(AX165,AX166)</f>
        <v>-43</v>
      </c>
      <c r="AY164" s="342">
        <f t="shared" si="1028"/>
        <v>-177</v>
      </c>
      <c r="AZ164" s="342">
        <f t="shared" si="1028"/>
        <v>-287</v>
      </c>
      <c r="BA164" s="342">
        <f t="shared" ref="BA164:BD164" si="1029">SUM(BA165,BA166)</f>
        <v>0</v>
      </c>
      <c r="BB164" s="342">
        <f t="shared" si="1029"/>
        <v>0</v>
      </c>
      <c r="BC164" s="342">
        <f t="shared" si="1029"/>
        <v>0</v>
      </c>
      <c r="BD164" s="342">
        <f t="shared" si="1029"/>
        <v>0</v>
      </c>
      <c r="BE164" s="342">
        <f t="shared" ref="BE164:BF164" si="1030">SUM(BE165,BE166)</f>
        <v>0</v>
      </c>
      <c r="BF164" s="342">
        <f t="shared" si="1030"/>
        <v>0</v>
      </c>
      <c r="BG164" s="342">
        <f t="shared" ref="BG164:BH164" si="1031">SUM(BG165,BG166)</f>
        <v>0</v>
      </c>
      <c r="BH164" s="342">
        <f t="shared" si="1031"/>
        <v>0</v>
      </c>
      <c r="BI164" s="342">
        <f t="shared" ref="BI164:BL164" si="1032">SUM(BI165,BI166)</f>
        <v>0</v>
      </c>
      <c r="BJ164" s="342">
        <f t="shared" si="1032"/>
        <v>0</v>
      </c>
      <c r="BK164" s="342">
        <f t="shared" si="1032"/>
        <v>0</v>
      </c>
      <c r="BL164" s="342">
        <f t="shared" si="1032"/>
        <v>0</v>
      </c>
      <c r="BM164" s="342">
        <f t="shared" ref="BM164:BN164" si="1033">SUM(BM165,BM166)</f>
        <v>0</v>
      </c>
      <c r="BN164" s="342">
        <f t="shared" si="1033"/>
        <v>0</v>
      </c>
      <c r="BO164" s="342">
        <f t="shared" ref="BO164" si="1034">SUM(BO165,BO166)</f>
        <v>0</v>
      </c>
      <c r="BP164" s="342"/>
      <c r="BQ164" s="342">
        <f t="shared" ref="BQ164:BV164" si="1035">SUM(BQ165,BQ166)</f>
        <v>-60</v>
      </c>
      <c r="BR164" s="342">
        <f t="shared" si="1035"/>
        <v>-60</v>
      </c>
      <c r="BS164" s="342">
        <f t="shared" si="1035"/>
        <v>0</v>
      </c>
      <c r="BT164" s="342">
        <f t="shared" si="1035"/>
        <v>0</v>
      </c>
      <c r="BU164" s="342">
        <f t="shared" si="1035"/>
        <v>-60</v>
      </c>
      <c r="BV164" s="342">
        <f t="shared" si="1035"/>
        <v>-49</v>
      </c>
      <c r="BW164" s="342">
        <f t="shared" ref="BW164:BZ164" si="1036">SUM(BW165,BW166)</f>
        <v>-72</v>
      </c>
      <c r="BX164" s="342">
        <f t="shared" si="1036"/>
        <v>-72</v>
      </c>
      <c r="BY164" s="342">
        <f t="shared" si="1036"/>
        <v>-51</v>
      </c>
      <c r="BZ164" s="342">
        <f t="shared" si="1036"/>
        <v>-121</v>
      </c>
      <c r="CA164" s="342">
        <f t="shared" ref="CA164:CB164" si="1037">SUM(CA165,CA166)</f>
        <v>-193</v>
      </c>
      <c r="CB164" s="342">
        <f t="shared" si="1037"/>
        <v>-244</v>
      </c>
      <c r="CC164" s="342">
        <f t="shared" ref="CC164:CD164" si="1038">SUM(CC165,CC166)</f>
        <v>-24</v>
      </c>
      <c r="CD164" s="342">
        <f t="shared" si="1038"/>
        <v>-69</v>
      </c>
      <c r="CE164" s="342">
        <f t="shared" ref="CE164:CG164" si="1039">SUM(CE165,CE166)</f>
        <v>-175</v>
      </c>
      <c r="CF164" s="342">
        <f t="shared" si="1039"/>
        <v>68</v>
      </c>
      <c r="CG164" s="342">
        <f t="shared" si="1039"/>
        <v>-93</v>
      </c>
      <c r="CH164" s="342">
        <f t="shared" ref="CH164:CI164" si="1040">SUM(CH165,CH166)</f>
        <v>-268</v>
      </c>
      <c r="CI164" s="342">
        <f t="shared" si="1040"/>
        <v>-200</v>
      </c>
      <c r="CJ164" s="342">
        <v>-3</v>
      </c>
      <c r="CK164" s="342">
        <f t="shared" ref="CK164:CN164" si="1041">SUM(CK165,CK166)</f>
        <v>0</v>
      </c>
      <c r="CL164" s="342">
        <f t="shared" si="1041"/>
        <v>0</v>
      </c>
      <c r="CM164" s="342">
        <f t="shared" si="1041"/>
        <v>0</v>
      </c>
      <c r="CN164" s="342">
        <f t="shared" si="1041"/>
        <v>-3</v>
      </c>
      <c r="CO164" s="342"/>
    </row>
    <row r="165" spans="1:93" s="394" customFormat="1" x14ac:dyDescent="0.25">
      <c r="A165" s="380" t="str">
        <f>Language!$G162</f>
        <v>Corrente</v>
      </c>
      <c r="B165" s="381">
        <v>0</v>
      </c>
      <c r="C165" s="381">
        <v>0</v>
      </c>
      <c r="D165" s="381">
        <v>0</v>
      </c>
      <c r="E165" s="382">
        <v>0</v>
      </c>
      <c r="F165" s="381">
        <v>0</v>
      </c>
      <c r="G165" s="381">
        <v>0</v>
      </c>
      <c r="H165" s="381">
        <v>0</v>
      </c>
      <c r="I165" s="382">
        <v>0</v>
      </c>
      <c r="J165" s="381">
        <v>0</v>
      </c>
      <c r="K165" s="381">
        <v>-501</v>
      </c>
      <c r="L165" s="381">
        <v>-885</v>
      </c>
      <c r="M165" s="382">
        <v>11</v>
      </c>
      <c r="N165" s="381">
        <v>0</v>
      </c>
      <c r="O165" s="381">
        <v>0</v>
      </c>
      <c r="P165" s="381">
        <v>-1077</v>
      </c>
      <c r="Q165" s="382">
        <v>-537</v>
      </c>
      <c r="R165" s="381">
        <v>-376</v>
      </c>
      <c r="S165" s="381">
        <v>-377</v>
      </c>
      <c r="T165" s="381">
        <v>-377</v>
      </c>
      <c r="U165" s="381">
        <v>-1</v>
      </c>
      <c r="V165" s="381">
        <v>-753</v>
      </c>
      <c r="W165" s="381">
        <v>-1130</v>
      </c>
      <c r="X165" s="382">
        <v>-1131</v>
      </c>
      <c r="Y165" s="381">
        <v>0</v>
      </c>
      <c r="Z165" s="381">
        <f t="shared" si="885"/>
        <v>0</v>
      </c>
      <c r="AA165" s="381">
        <f t="shared" ref="AA165:AA166" si="1042">AD165-Z165-Y165</f>
        <v>0</v>
      </c>
      <c r="AB165" s="383">
        <f t="shared" si="887"/>
        <v>0</v>
      </c>
      <c r="AC165" s="383">
        <v>0</v>
      </c>
      <c r="AD165" s="383">
        <v>0</v>
      </c>
      <c r="AE165" s="382">
        <v>0</v>
      </c>
      <c r="AF165" s="383">
        <v>0</v>
      </c>
      <c r="AG165" s="383">
        <f t="shared" si="945"/>
        <v>0</v>
      </c>
      <c r="AH165" s="381">
        <f t="shared" ref="AH165:AH166" si="1043">AK165-AG165-AF165</f>
        <v>-150</v>
      </c>
      <c r="AI165" s="383">
        <f t="shared" ref="AI165:AI166" si="1044">AL165-AF165-AG165-AH165</f>
        <v>-142</v>
      </c>
      <c r="AJ165" s="383">
        <v>0</v>
      </c>
      <c r="AK165" s="383">
        <v>-150</v>
      </c>
      <c r="AL165" s="382">
        <v>-292</v>
      </c>
      <c r="AM165" s="383">
        <v>-188</v>
      </c>
      <c r="AN165" s="383">
        <f t="shared" si="795"/>
        <v>-53</v>
      </c>
      <c r="AO165" s="383">
        <f t="shared" si="796"/>
        <v>-40</v>
      </c>
      <c r="AP165" s="383">
        <f t="shared" si="796"/>
        <v>-33</v>
      </c>
      <c r="AQ165" s="383">
        <v>-241</v>
      </c>
      <c r="AR165" s="383">
        <v>-281</v>
      </c>
      <c r="AS165" s="382">
        <v>-314</v>
      </c>
      <c r="AT165" s="383">
        <v>-28</v>
      </c>
      <c r="AU165" s="383">
        <f>AX165-AT165</f>
        <v>-56</v>
      </c>
      <c r="AV165" s="383">
        <f>AY165-AX165</f>
        <v>-73</v>
      </c>
      <c r="AW165" s="383">
        <f>AZ165-AY165</f>
        <v>-47</v>
      </c>
      <c r="AX165" s="383">
        <v>-84</v>
      </c>
      <c r="AY165" s="383">
        <v>-157</v>
      </c>
      <c r="AZ165" s="383">
        <v>-204</v>
      </c>
      <c r="BA165" s="383">
        <v>0</v>
      </c>
      <c r="BB165" s="383">
        <f>BE165-BA165</f>
        <v>0</v>
      </c>
      <c r="BC165" s="383">
        <f>BF165-BE165</f>
        <v>0</v>
      </c>
      <c r="BD165" s="383">
        <f>BG165-BF165</f>
        <v>0</v>
      </c>
      <c r="BE165" s="383">
        <v>0</v>
      </c>
      <c r="BF165" s="383">
        <v>0</v>
      </c>
      <c r="BG165" s="383">
        <v>0</v>
      </c>
      <c r="BH165" s="383">
        <v>0</v>
      </c>
      <c r="BI165" s="383">
        <v>0</v>
      </c>
      <c r="BJ165" s="383">
        <v>0</v>
      </c>
      <c r="BK165" s="383">
        <v>0</v>
      </c>
      <c r="BL165" s="383">
        <v>0</v>
      </c>
      <c r="BM165" s="383">
        <v>0</v>
      </c>
      <c r="BN165" s="383">
        <v>0</v>
      </c>
      <c r="BO165" s="383">
        <v>0</v>
      </c>
      <c r="BP165" s="383"/>
      <c r="BQ165" s="383">
        <f>BU165-BT165</f>
        <v>-60</v>
      </c>
      <c r="BR165" s="383">
        <f>BU165-BT165</f>
        <v>-60</v>
      </c>
      <c r="BS165" s="383">
        <v>0</v>
      </c>
      <c r="BT165" s="383">
        <v>0</v>
      </c>
      <c r="BU165" s="383">
        <v>-60</v>
      </c>
      <c r="BV165" s="383">
        <v>-49</v>
      </c>
      <c r="BW165" s="383">
        <f>BZ165-BV165</f>
        <v>-72</v>
      </c>
      <c r="BX165" s="383">
        <f>CA165-BZ165</f>
        <v>-72</v>
      </c>
      <c r="BY165" s="383">
        <f>CB165-CA165</f>
        <v>-51</v>
      </c>
      <c r="BZ165" s="383">
        <v>-121</v>
      </c>
      <c r="CA165" s="383">
        <v>-193</v>
      </c>
      <c r="CB165" s="383">
        <v>-244</v>
      </c>
      <c r="CC165" s="383">
        <v>-24</v>
      </c>
      <c r="CD165" s="383">
        <f>CG165-CC165</f>
        <v>-69</v>
      </c>
      <c r="CE165" s="383">
        <f>CH165-CG165</f>
        <v>-175</v>
      </c>
      <c r="CF165" s="383">
        <f>CI165-CH165</f>
        <v>68</v>
      </c>
      <c r="CG165" s="383">
        <v>-93</v>
      </c>
      <c r="CH165" s="383">
        <v>-268</v>
      </c>
      <c r="CI165" s="383">
        <v>-200</v>
      </c>
      <c r="CJ165" s="383">
        <v>-3</v>
      </c>
      <c r="CK165" s="383">
        <f>CN165-CJ165</f>
        <v>0</v>
      </c>
      <c r="CL165" s="383"/>
      <c r="CM165" s="383"/>
      <c r="CN165" s="383">
        <v>-3</v>
      </c>
      <c r="CO165" s="383"/>
    </row>
    <row r="166" spans="1:93" s="394" customFormat="1" x14ac:dyDescent="0.25">
      <c r="A166" s="380" t="str">
        <f>Language!$G163</f>
        <v>Diferido</v>
      </c>
      <c r="B166" s="381">
        <v>0</v>
      </c>
      <c r="C166" s="381">
        <v>0</v>
      </c>
      <c r="D166" s="381">
        <v>0</v>
      </c>
      <c r="E166" s="382">
        <v>0</v>
      </c>
      <c r="F166" s="381">
        <v>0</v>
      </c>
      <c r="G166" s="381">
        <v>0</v>
      </c>
      <c r="H166" s="381">
        <v>0</v>
      </c>
      <c r="I166" s="382">
        <v>0</v>
      </c>
      <c r="J166" s="381">
        <v>0</v>
      </c>
      <c r="K166" s="381">
        <v>0</v>
      </c>
      <c r="L166" s="381">
        <v>0</v>
      </c>
      <c r="M166" s="382">
        <v>0</v>
      </c>
      <c r="N166" s="381">
        <v>0</v>
      </c>
      <c r="O166" s="381">
        <v>0</v>
      </c>
      <c r="P166" s="381">
        <v>0</v>
      </c>
      <c r="Q166" s="382">
        <v>0</v>
      </c>
      <c r="R166" s="381">
        <v>0</v>
      </c>
      <c r="S166" s="381">
        <v>0</v>
      </c>
      <c r="T166" s="381">
        <v>0</v>
      </c>
      <c r="U166" s="381">
        <v>3281</v>
      </c>
      <c r="V166" s="381">
        <v>0</v>
      </c>
      <c r="W166" s="381">
        <v>0</v>
      </c>
      <c r="X166" s="382">
        <v>3281</v>
      </c>
      <c r="Y166" s="381">
        <v>0</v>
      </c>
      <c r="Z166" s="381">
        <f t="shared" si="885"/>
        <v>0</v>
      </c>
      <c r="AA166" s="381">
        <f t="shared" si="1042"/>
        <v>0</v>
      </c>
      <c r="AB166" s="383">
        <f t="shared" si="887"/>
        <v>0</v>
      </c>
      <c r="AC166" s="383">
        <v>0</v>
      </c>
      <c r="AD166" s="383">
        <v>0</v>
      </c>
      <c r="AE166" s="382">
        <v>0</v>
      </c>
      <c r="AF166" s="383">
        <v>0</v>
      </c>
      <c r="AG166" s="383">
        <f t="shared" si="945"/>
        <v>0</v>
      </c>
      <c r="AH166" s="381">
        <f t="shared" si="1043"/>
        <v>-68</v>
      </c>
      <c r="AI166" s="383">
        <f t="shared" si="1044"/>
        <v>45</v>
      </c>
      <c r="AJ166" s="383">
        <v>0</v>
      </c>
      <c r="AK166" s="383">
        <v>-68</v>
      </c>
      <c r="AL166" s="382">
        <v>-23</v>
      </c>
      <c r="AM166" s="383">
        <v>30</v>
      </c>
      <c r="AN166" s="383">
        <f t="shared" si="795"/>
        <v>-97</v>
      </c>
      <c r="AO166" s="383">
        <f t="shared" si="796"/>
        <v>21</v>
      </c>
      <c r="AP166" s="383">
        <f t="shared" si="796"/>
        <v>18</v>
      </c>
      <c r="AQ166" s="383">
        <v>-67</v>
      </c>
      <c r="AR166" s="383">
        <v>-46</v>
      </c>
      <c r="AS166" s="382">
        <v>-28</v>
      </c>
      <c r="AT166" s="383">
        <v>20</v>
      </c>
      <c r="AU166" s="383">
        <f>AX166-AT166</f>
        <v>21</v>
      </c>
      <c r="AV166" s="383">
        <f>AY166-AX166</f>
        <v>-61</v>
      </c>
      <c r="AW166" s="383">
        <f>AZ166-AY166</f>
        <v>-63</v>
      </c>
      <c r="AX166" s="383">
        <v>41</v>
      </c>
      <c r="AY166" s="383">
        <v>-20</v>
      </c>
      <c r="AZ166" s="383">
        <v>-83</v>
      </c>
      <c r="BA166" s="383">
        <v>0</v>
      </c>
      <c r="BB166" s="383">
        <f>BE166-BA166</f>
        <v>0</v>
      </c>
      <c r="BC166" s="383">
        <f>BF166-BE166</f>
        <v>0</v>
      </c>
      <c r="BD166" s="383">
        <f>BG166-BF166</f>
        <v>0</v>
      </c>
      <c r="BE166" s="383">
        <v>0</v>
      </c>
      <c r="BF166" s="383">
        <v>0</v>
      </c>
      <c r="BG166" s="383">
        <v>0</v>
      </c>
      <c r="BH166" s="383">
        <v>0</v>
      </c>
      <c r="BI166" s="383">
        <v>0</v>
      </c>
      <c r="BJ166" s="383">
        <v>0</v>
      </c>
      <c r="BK166" s="383">
        <v>0</v>
      </c>
      <c r="BL166" s="383">
        <v>0</v>
      </c>
      <c r="BM166" s="383">
        <v>0</v>
      </c>
      <c r="BN166" s="383">
        <v>0</v>
      </c>
      <c r="BO166" s="383">
        <v>0</v>
      </c>
      <c r="BP166" s="383"/>
      <c r="BQ166" s="383">
        <f>BU166-BT166</f>
        <v>0</v>
      </c>
      <c r="BR166" s="383">
        <f>BU166-BT166</f>
        <v>0</v>
      </c>
      <c r="BS166" s="383">
        <v>0</v>
      </c>
      <c r="BT166" s="383">
        <v>0</v>
      </c>
      <c r="BU166" s="383">
        <v>0</v>
      </c>
      <c r="BV166" s="383">
        <v>0</v>
      </c>
      <c r="BW166" s="383">
        <f>BZ166-BV166</f>
        <v>0</v>
      </c>
      <c r="BX166" s="383"/>
      <c r="BY166" s="383"/>
      <c r="BZ166" s="383">
        <v>0</v>
      </c>
      <c r="CA166" s="383">
        <v>0</v>
      </c>
      <c r="CB166" s="383">
        <v>0</v>
      </c>
      <c r="CC166" s="383">
        <v>0</v>
      </c>
      <c r="CD166" s="383">
        <f>CG166-CC166</f>
        <v>0</v>
      </c>
      <c r="CE166" s="383">
        <f>CH166-CG166</f>
        <v>0</v>
      </c>
      <c r="CF166" s="383">
        <f>CI166-CH166</f>
        <v>0</v>
      </c>
      <c r="CG166" s="383"/>
      <c r="CH166" s="383"/>
      <c r="CI166" s="383"/>
      <c r="CJ166" s="383"/>
      <c r="CK166" s="383"/>
      <c r="CL166" s="383"/>
      <c r="CM166" s="383"/>
      <c r="CN166" s="383"/>
      <c r="CO166" s="383"/>
    </row>
    <row r="167" spans="1:93" s="377" customFormat="1" ht="13" x14ac:dyDescent="0.3">
      <c r="A167" s="366" t="str">
        <f>Language!$G164</f>
        <v>Lucro Líquido</v>
      </c>
      <c r="B167" s="366">
        <f t="shared" ref="B167:Q167" si="1045">SUM(B168,B169,B170,B171)</f>
        <v>209</v>
      </c>
      <c r="C167" s="366">
        <f t="shared" si="1045"/>
        <v>360</v>
      </c>
      <c r="D167" s="366">
        <f t="shared" si="1045"/>
        <v>823</v>
      </c>
      <c r="E167" s="367">
        <f t="shared" si="1045"/>
        <v>6500</v>
      </c>
      <c r="F167" s="366">
        <f t="shared" si="1045"/>
        <v>5111</v>
      </c>
      <c r="G167" s="366">
        <f t="shared" si="1045"/>
        <v>4217</v>
      </c>
      <c r="H167" s="366">
        <f t="shared" si="1045"/>
        <v>4579</v>
      </c>
      <c r="I167" s="367">
        <f t="shared" si="1045"/>
        <v>4308</v>
      </c>
      <c r="J167" s="366">
        <f t="shared" si="1045"/>
        <v>10468</v>
      </c>
      <c r="K167" s="366">
        <f t="shared" si="1045"/>
        <v>4342</v>
      </c>
      <c r="L167" s="366">
        <f t="shared" si="1045"/>
        <v>5954</v>
      </c>
      <c r="M167" s="367">
        <f t="shared" si="1045"/>
        <v>30165.997943999988</v>
      </c>
      <c r="N167" s="366">
        <f t="shared" si="1045"/>
        <v>181084</v>
      </c>
      <c r="O167" s="366">
        <f t="shared" si="1045"/>
        <v>-7258.0256699999991</v>
      </c>
      <c r="P167" s="366">
        <f t="shared" si="1045"/>
        <v>-16681.920765452007</v>
      </c>
      <c r="Q167" s="367">
        <f t="shared" si="1045"/>
        <v>-16551.053564547994</v>
      </c>
      <c r="R167" s="366">
        <v>20989</v>
      </c>
      <c r="S167" s="366">
        <v>-8540</v>
      </c>
      <c r="T167" s="366">
        <v>-9054</v>
      </c>
      <c r="U167" s="366">
        <v>1083</v>
      </c>
      <c r="V167" s="366">
        <v>6602</v>
      </c>
      <c r="W167" s="366">
        <v>-2452</v>
      </c>
      <c r="X167" s="367">
        <v>-1369</v>
      </c>
      <c r="Y167" s="366">
        <f t="shared" ref="Y167:AB167" si="1046">SUM(Y168,Y169,Y170,Y171)</f>
        <v>1059</v>
      </c>
      <c r="Z167" s="366">
        <f t="shared" si="1046"/>
        <v>706</v>
      </c>
      <c r="AA167" s="366">
        <f t="shared" si="1046"/>
        <v>166</v>
      </c>
      <c r="AB167" s="366">
        <f t="shared" si="1046"/>
        <v>2373</v>
      </c>
      <c r="AC167" s="366">
        <f t="shared" ref="AC167:AD167" si="1047">SUM(AC168,AC169,AC170,AC171)</f>
        <v>1765</v>
      </c>
      <c r="AD167" s="366">
        <f t="shared" si="1047"/>
        <v>1931</v>
      </c>
      <c r="AE167" s="367">
        <f t="shared" ref="AE167:AJ167" si="1048">SUM(AE168,AE169,AE170,AE171)</f>
        <v>4304</v>
      </c>
      <c r="AF167" s="366">
        <f t="shared" si="1048"/>
        <v>1499</v>
      </c>
      <c r="AG167" s="366">
        <f t="shared" si="1048"/>
        <v>2173</v>
      </c>
      <c r="AH167" s="366">
        <f t="shared" si="1048"/>
        <v>2072</v>
      </c>
      <c r="AI167" s="366">
        <f t="shared" si="1048"/>
        <v>14626</v>
      </c>
      <c r="AJ167" s="366">
        <f t="shared" si="1048"/>
        <v>3672</v>
      </c>
      <c r="AK167" s="366">
        <f t="shared" ref="AK167:AL167" si="1049">SUM(AK168,AK169,AK170,AK171)</f>
        <v>5744</v>
      </c>
      <c r="AL167" s="367">
        <f t="shared" si="1049"/>
        <v>12622</v>
      </c>
      <c r="AM167" s="366">
        <f>AM142+AM147+AM152</f>
        <v>1809</v>
      </c>
      <c r="AN167" s="366">
        <f t="shared" si="795"/>
        <v>1447</v>
      </c>
      <c r="AO167" s="366">
        <f t="shared" si="796"/>
        <v>7624</v>
      </c>
      <c r="AP167" s="366">
        <f t="shared" si="796"/>
        <v>6323</v>
      </c>
      <c r="AQ167" s="366">
        <f t="shared" ref="AQ167:BB167" si="1050">AQ142+AQ147+AQ152</f>
        <v>3256</v>
      </c>
      <c r="AR167" s="366">
        <f t="shared" si="1050"/>
        <v>10880</v>
      </c>
      <c r="AS167" s="367">
        <f t="shared" si="1050"/>
        <v>17203</v>
      </c>
      <c r="AT167" s="366">
        <f t="shared" si="1050"/>
        <v>7155</v>
      </c>
      <c r="AU167" s="366">
        <f t="shared" si="1050"/>
        <v>7501</v>
      </c>
      <c r="AV167" s="366">
        <f t="shared" si="1050"/>
        <v>8455.9999999999982</v>
      </c>
      <c r="AW167" s="366">
        <f t="shared" si="1050"/>
        <v>6926</v>
      </c>
      <c r="AX167" s="366">
        <f t="shared" si="1050"/>
        <v>14656</v>
      </c>
      <c r="AY167" s="366">
        <f t="shared" si="1050"/>
        <v>23112</v>
      </c>
      <c r="AZ167" s="366">
        <f t="shared" si="1050"/>
        <v>30038</v>
      </c>
      <c r="BA167" s="366">
        <f t="shared" si="1050"/>
        <v>7600</v>
      </c>
      <c r="BB167" s="366">
        <f t="shared" si="1050"/>
        <v>8133</v>
      </c>
      <c r="BC167" s="366">
        <f t="shared" ref="BC167:BD167" si="1051">BC142+BC147+BC152</f>
        <v>9148</v>
      </c>
      <c r="BD167" s="366">
        <f t="shared" si="1051"/>
        <v>7960</v>
      </c>
      <c r="BE167" s="366">
        <f>BE142+BE147+BE152</f>
        <v>15733</v>
      </c>
      <c r="BF167" s="366">
        <f>BF142+BF147+BF152</f>
        <v>24881</v>
      </c>
      <c r="BG167" s="366">
        <f>BG142+BG147+BG152</f>
        <v>32841</v>
      </c>
      <c r="BH167" s="366">
        <f>BH142+BH147+BH152</f>
        <v>8525</v>
      </c>
      <c r="BI167" s="366">
        <f t="shared" ref="BI167:BL167" si="1052">BI142+BI147+BI152</f>
        <v>8006</v>
      </c>
      <c r="BJ167" s="366">
        <f t="shared" si="1052"/>
        <v>10003</v>
      </c>
      <c r="BK167" s="366">
        <f t="shared" si="1052"/>
        <v>8733</v>
      </c>
      <c r="BL167" s="366">
        <f t="shared" si="1052"/>
        <v>16531</v>
      </c>
      <c r="BM167" s="366">
        <f t="shared" ref="BM167:BN167" si="1053">BM142+BM147+BM152</f>
        <v>26534</v>
      </c>
      <c r="BN167" s="366">
        <f t="shared" si="1053"/>
        <v>35267</v>
      </c>
      <c r="BO167" s="366">
        <f t="shared" ref="BO167:BS167" si="1054">BO142+BO147+BO152</f>
        <v>9440</v>
      </c>
      <c r="BP167" s="366">
        <f t="shared" si="1054"/>
        <v>9409</v>
      </c>
      <c r="BQ167" s="366">
        <f>BQ142+BQ147+BQ152-11</f>
        <v>11727</v>
      </c>
      <c r="BR167" s="366">
        <f>BR142+BR147+BR152</f>
        <v>9426</v>
      </c>
      <c r="BS167" s="366">
        <f t="shared" si="1054"/>
        <v>18849</v>
      </c>
      <c r="BT167" s="366">
        <f t="shared" ref="BT167" si="1055">BT142+BT147+BT152</f>
        <v>30636</v>
      </c>
      <c r="BU167" s="366">
        <f>BU142+BU147+BU152</f>
        <v>40062</v>
      </c>
      <c r="BV167" s="366">
        <f>BV142+BV147+BV152</f>
        <v>11656</v>
      </c>
      <c r="BW167" s="366">
        <f t="shared" ref="BW167:BZ167" si="1056">BW142+BW147+BW152</f>
        <v>10958</v>
      </c>
      <c r="BX167" s="366">
        <f t="shared" si="1056"/>
        <v>11667</v>
      </c>
      <c r="BY167" s="366">
        <f t="shared" si="1056"/>
        <v>10092</v>
      </c>
      <c r="BZ167" s="366">
        <f t="shared" si="1056"/>
        <v>22614</v>
      </c>
      <c r="CA167" s="366">
        <f t="shared" ref="CA167:CB167" si="1057">CA142+CA147+CA152</f>
        <v>34281</v>
      </c>
      <c r="CB167" s="366">
        <f t="shared" si="1057"/>
        <v>44373</v>
      </c>
      <c r="CC167" s="366">
        <f t="shared" ref="CC167:CD167" si="1058">CC142+CC147+CC152</f>
        <v>10705</v>
      </c>
      <c r="CD167" s="366">
        <f t="shared" si="1058"/>
        <v>10854</v>
      </c>
      <c r="CE167" s="366">
        <f t="shared" ref="CE167:CG167" si="1059">CE142+CE147+CE152</f>
        <v>11426</v>
      </c>
      <c r="CF167" s="366">
        <f t="shared" si="1059"/>
        <v>10797</v>
      </c>
      <c r="CG167" s="366">
        <f t="shared" si="1059"/>
        <v>21559</v>
      </c>
      <c r="CH167" s="366">
        <f t="shared" ref="CH167:CI167" si="1060">CH142+CH147+CH152</f>
        <v>32985</v>
      </c>
      <c r="CI167" s="366">
        <f t="shared" si="1060"/>
        <v>43782</v>
      </c>
      <c r="CJ167" s="366">
        <v>9664</v>
      </c>
      <c r="CK167" s="366">
        <f t="shared" ref="CK167:CO167" si="1061">CK142+CK147+CK152</f>
        <v>10487</v>
      </c>
      <c r="CL167" s="366">
        <f t="shared" si="1061"/>
        <v>0</v>
      </c>
      <c r="CM167" s="366">
        <f t="shared" si="1061"/>
        <v>0</v>
      </c>
      <c r="CN167" s="366">
        <f t="shared" si="1061"/>
        <v>20151</v>
      </c>
      <c r="CO167" s="366">
        <f t="shared" si="1061"/>
        <v>0</v>
      </c>
    </row>
    <row r="168" spans="1:93" x14ac:dyDescent="0.25">
      <c r="A168" s="335" t="str">
        <f>Language!$G165</f>
        <v>Rio Verde</v>
      </c>
      <c r="B168" s="368">
        <f t="shared" ref="B168:N168" si="1062">SUM(B143,B148,B155)</f>
        <v>598</v>
      </c>
      <c r="C168" s="368">
        <f t="shared" si="1062"/>
        <v>1317</v>
      </c>
      <c r="D168" s="368">
        <f t="shared" si="1062"/>
        <v>2351</v>
      </c>
      <c r="E168" s="369">
        <f t="shared" si="1062"/>
        <v>3995</v>
      </c>
      <c r="F168" s="368">
        <f t="shared" si="1062"/>
        <v>4767</v>
      </c>
      <c r="G168" s="368">
        <f t="shared" si="1062"/>
        <v>4573</v>
      </c>
      <c r="H168" s="368">
        <f t="shared" si="1062"/>
        <v>4540</v>
      </c>
      <c r="I168" s="369">
        <f t="shared" si="1062"/>
        <v>5068</v>
      </c>
      <c r="J168" s="368">
        <f t="shared" si="1062"/>
        <v>-2258</v>
      </c>
      <c r="K168" s="368">
        <f t="shared" si="1062"/>
        <v>5524</v>
      </c>
      <c r="L168" s="368">
        <f t="shared" si="1062"/>
        <v>14666.245620000002</v>
      </c>
      <c r="M168" s="369">
        <f t="shared" si="1062"/>
        <v>7887.9723239999876</v>
      </c>
      <c r="N168" s="368">
        <f t="shared" si="1062"/>
        <v>1231</v>
      </c>
      <c r="O168" s="368">
        <f t="shared" ref="O168" si="1063">SUM(O143,O148,O155)</f>
        <v>7147.4795999999988</v>
      </c>
      <c r="P168" s="368">
        <f t="shared" ref="P168:Q168" si="1064">SUM(P143,P148,P155)</f>
        <v>2329.9734000000062</v>
      </c>
      <c r="Q168" s="369">
        <f t="shared" si="1064"/>
        <v>5724.546999999995</v>
      </c>
      <c r="R168" s="368">
        <v>1160</v>
      </c>
      <c r="S168" s="368">
        <v>2142</v>
      </c>
      <c r="T168" s="368">
        <v>4810</v>
      </c>
      <c r="U168" s="368">
        <v>4232</v>
      </c>
      <c r="V168" s="368">
        <v>3302</v>
      </c>
      <c r="W168" s="368">
        <v>8112</v>
      </c>
      <c r="X168" s="369">
        <v>12344</v>
      </c>
      <c r="Y168" s="368">
        <f t="shared" ref="Y168" si="1065">SUM(Y143,Y148,Y155)</f>
        <v>0</v>
      </c>
      <c r="Z168" s="368">
        <f t="shared" ref="Z168:AB168" si="1066">SUM(Z143,Z148,Z155)</f>
        <v>0</v>
      </c>
      <c r="AA168" s="368">
        <f t="shared" si="1066"/>
        <v>0</v>
      </c>
      <c r="AB168" s="368">
        <f t="shared" si="1066"/>
        <v>0</v>
      </c>
      <c r="AC168" s="368">
        <f t="shared" ref="AC168:AD168" si="1067">SUM(AC143,AC148,AC155)</f>
        <v>0</v>
      </c>
      <c r="AD168" s="368">
        <f t="shared" si="1067"/>
        <v>0</v>
      </c>
      <c r="AE168" s="369">
        <f t="shared" ref="AE168:AJ168" si="1068">SUM(AE143,AE148,AE155)</f>
        <v>0</v>
      </c>
      <c r="AF168" s="368">
        <f t="shared" si="1068"/>
        <v>0</v>
      </c>
      <c r="AG168" s="368">
        <f t="shared" si="1068"/>
        <v>0</v>
      </c>
      <c r="AH168" s="368">
        <f t="shared" si="1068"/>
        <v>0</v>
      </c>
      <c r="AI168" s="368">
        <f t="shared" si="1068"/>
        <v>0</v>
      </c>
      <c r="AJ168" s="368">
        <f t="shared" si="1068"/>
        <v>0</v>
      </c>
      <c r="AK168" s="368">
        <f t="shared" ref="AK168:AL168" si="1069">SUM(AK143,AK148,AK155)</f>
        <v>0</v>
      </c>
      <c r="AL168" s="369">
        <f t="shared" si="1069"/>
        <v>0</v>
      </c>
      <c r="AM168" s="368">
        <f t="shared" ref="AM168:AQ168" si="1070">SUM(AM143,AM148,AM155)</f>
        <v>0</v>
      </c>
      <c r="AN168" s="368">
        <f t="shared" si="795"/>
        <v>0</v>
      </c>
      <c r="AO168" s="368">
        <f t="shared" si="796"/>
        <v>0</v>
      </c>
      <c r="AP168" s="368">
        <f t="shared" si="796"/>
        <v>0</v>
      </c>
      <c r="AQ168" s="368">
        <f t="shared" si="1070"/>
        <v>0</v>
      </c>
      <c r="AR168" s="368">
        <f t="shared" ref="AR168:AS168" si="1071">SUM(AR143,AR148,AR155)</f>
        <v>0</v>
      </c>
      <c r="AS168" s="369">
        <f t="shared" si="1071"/>
        <v>0</v>
      </c>
      <c r="AT168" s="368">
        <f t="shared" ref="AT168:AU168" si="1072">SUM(AT143,AT148,AT155)</f>
        <v>0</v>
      </c>
      <c r="AU168" s="368">
        <f t="shared" si="1072"/>
        <v>0</v>
      </c>
      <c r="AV168" s="368">
        <f t="shared" ref="AV168:AX168" si="1073">SUM(AV143,AV148,AV155)</f>
        <v>0</v>
      </c>
      <c r="AW168" s="368">
        <f t="shared" si="1073"/>
        <v>0</v>
      </c>
      <c r="AX168" s="368">
        <f t="shared" si="1073"/>
        <v>0</v>
      </c>
      <c r="AY168" s="368">
        <f t="shared" ref="AY168:AZ168" si="1074">SUM(AY143,AY148,AY155)</f>
        <v>0</v>
      </c>
      <c r="AZ168" s="368">
        <f t="shared" si="1074"/>
        <v>0</v>
      </c>
      <c r="BA168" s="368">
        <f t="shared" ref="BA168:BD168" si="1075">SUM(BA143,BA148,BA155)</f>
        <v>0</v>
      </c>
      <c r="BB168" s="368">
        <f t="shared" si="1075"/>
        <v>0</v>
      </c>
      <c r="BC168" s="368">
        <f t="shared" si="1075"/>
        <v>0</v>
      </c>
      <c r="BD168" s="368">
        <f t="shared" si="1075"/>
        <v>0</v>
      </c>
      <c r="BE168" s="368">
        <f t="shared" ref="BE168:BF168" si="1076">SUM(BE143,BE148,BE155)</f>
        <v>0</v>
      </c>
      <c r="BF168" s="368">
        <f t="shared" si="1076"/>
        <v>0</v>
      </c>
      <c r="BG168" s="368">
        <f t="shared" ref="BG168:BH168" si="1077">SUM(BG143,BG148,BG155)</f>
        <v>0</v>
      </c>
      <c r="BH168" s="368">
        <f t="shared" si="1077"/>
        <v>0</v>
      </c>
      <c r="BI168" s="368">
        <f t="shared" ref="BI168:BL168" si="1078">SUM(BI143,BI148,BI155)</f>
        <v>0</v>
      </c>
      <c r="BJ168" s="368">
        <f t="shared" si="1078"/>
        <v>0</v>
      </c>
      <c r="BK168" s="368">
        <f t="shared" si="1078"/>
        <v>0</v>
      </c>
      <c r="BL168" s="368">
        <f t="shared" si="1078"/>
        <v>0</v>
      </c>
      <c r="BM168" s="368">
        <f t="shared" ref="BM168:BN168" si="1079">SUM(BM143,BM148,BM155)</f>
        <v>0</v>
      </c>
      <c r="BN168" s="368">
        <f t="shared" si="1079"/>
        <v>0</v>
      </c>
      <c r="BO168" s="368">
        <f t="shared" ref="BO168:BS168" si="1080">SUM(BO143,BO148,BO155)</f>
        <v>0</v>
      </c>
      <c r="BP168" s="368">
        <f t="shared" si="1080"/>
        <v>0</v>
      </c>
      <c r="BQ168" s="368">
        <f t="shared" si="1080"/>
        <v>0</v>
      </c>
      <c r="BR168" s="368">
        <f t="shared" si="1080"/>
        <v>0</v>
      </c>
      <c r="BS168" s="368">
        <f t="shared" si="1080"/>
        <v>0</v>
      </c>
      <c r="BT168" s="368">
        <f t="shared" ref="BT168:BU168" si="1081">SUM(BT143,BT148,BT155)</f>
        <v>0</v>
      </c>
      <c r="BU168" s="368">
        <f t="shared" si="1081"/>
        <v>0</v>
      </c>
      <c r="BV168" s="368">
        <f t="shared" ref="BV168:BZ168" si="1082">SUM(BV143,BV148,BV155)</f>
        <v>0</v>
      </c>
      <c r="BW168" s="368">
        <f t="shared" si="1082"/>
        <v>0</v>
      </c>
      <c r="BX168" s="368">
        <f t="shared" si="1082"/>
        <v>0</v>
      </c>
      <c r="BY168" s="368">
        <f t="shared" si="1082"/>
        <v>0</v>
      </c>
      <c r="BZ168" s="368">
        <f t="shared" si="1082"/>
        <v>0</v>
      </c>
      <c r="CA168" s="368">
        <f t="shared" ref="CA168:CB168" si="1083">SUM(CA143,CA148,CA155)</f>
        <v>0</v>
      </c>
      <c r="CB168" s="368">
        <f t="shared" si="1083"/>
        <v>0</v>
      </c>
      <c r="CC168" s="368">
        <f t="shared" ref="CC168:CD168" si="1084">SUM(CC143,CC148,CC155)</f>
        <v>0</v>
      </c>
      <c r="CD168" s="368">
        <f t="shared" si="1084"/>
        <v>0</v>
      </c>
      <c r="CE168" s="368">
        <f t="shared" ref="CE168:CG168" si="1085">SUM(CE143,CE148,CE155)</f>
        <v>0</v>
      </c>
      <c r="CF168" s="368">
        <f t="shared" si="1085"/>
        <v>0</v>
      </c>
      <c r="CG168" s="368">
        <f t="shared" si="1085"/>
        <v>0</v>
      </c>
      <c r="CH168" s="368">
        <f t="shared" ref="CH168:CI168" si="1086">SUM(CH143,CH148,CH155)</f>
        <v>0</v>
      </c>
      <c r="CI168" s="368">
        <f t="shared" si="1086"/>
        <v>0</v>
      </c>
      <c r="CJ168" s="368">
        <v>0</v>
      </c>
      <c r="CK168" s="368">
        <f t="shared" ref="CK168:CO168" si="1087">SUM(CK143,CK148,CK155)</f>
        <v>0</v>
      </c>
      <c r="CL168" s="368">
        <f t="shared" si="1087"/>
        <v>0</v>
      </c>
      <c r="CM168" s="368">
        <f t="shared" si="1087"/>
        <v>0</v>
      </c>
      <c r="CN168" s="368">
        <f t="shared" si="1087"/>
        <v>0</v>
      </c>
      <c r="CO168" s="368">
        <f t="shared" si="1087"/>
        <v>0</v>
      </c>
    </row>
    <row r="169" spans="1:93" x14ac:dyDescent="0.25">
      <c r="A169" s="335" t="str">
        <f>Language!$G166</f>
        <v>Rio Canoas</v>
      </c>
      <c r="B169" s="368">
        <f t="shared" ref="B169:N169" si="1088">SUM(B144,B149,B158)</f>
        <v>-367</v>
      </c>
      <c r="C169" s="368">
        <f t="shared" si="1088"/>
        <v>-872</v>
      </c>
      <c r="D169" s="368">
        <f t="shared" si="1088"/>
        <v>-1632</v>
      </c>
      <c r="E169" s="369">
        <f t="shared" si="1088"/>
        <v>2511</v>
      </c>
      <c r="F169" s="368">
        <f t="shared" si="1088"/>
        <v>344</v>
      </c>
      <c r="G169" s="368">
        <f t="shared" si="1088"/>
        <v>-354</v>
      </c>
      <c r="H169" s="368">
        <f t="shared" si="1088"/>
        <v>102</v>
      </c>
      <c r="I169" s="369">
        <f t="shared" si="1088"/>
        <v>-496</v>
      </c>
      <c r="J169" s="368">
        <f t="shared" si="1088"/>
        <v>-385</v>
      </c>
      <c r="K169" s="368">
        <f t="shared" si="1088"/>
        <v>-347</v>
      </c>
      <c r="L169" s="368">
        <f t="shared" si="1088"/>
        <v>265.75437999999849</v>
      </c>
      <c r="M169" s="369">
        <f t="shared" si="1088"/>
        <v>21942.02562</v>
      </c>
      <c r="N169" s="368">
        <f t="shared" si="1088"/>
        <v>180073</v>
      </c>
      <c r="O169" s="368">
        <f>SUM(O144,O149,O158)</f>
        <v>-13937.505269999998</v>
      </c>
      <c r="P169" s="368">
        <f t="shared" ref="P169:Q169" si="1089">SUM(P144,P149,P158)</f>
        <v>-17551.894174329991</v>
      </c>
      <c r="Q169" s="369">
        <f t="shared" si="1089"/>
        <v>-19988.600555670011</v>
      </c>
      <c r="R169" s="368">
        <v>22133</v>
      </c>
      <c r="S169" s="368">
        <v>-18219</v>
      </c>
      <c r="T169" s="368">
        <v>-15379</v>
      </c>
      <c r="U169" s="368">
        <v>-6587</v>
      </c>
      <c r="V169" s="368">
        <v>3914</v>
      </c>
      <c r="W169" s="368">
        <v>-11465</v>
      </c>
      <c r="X169" s="369">
        <v>-18052</v>
      </c>
      <c r="Y169" s="368">
        <f t="shared" ref="Y169" si="1090">SUM(Y144,Y149,Y158)</f>
        <v>0</v>
      </c>
      <c r="Z169" s="368">
        <f t="shared" ref="Z169:AB169" si="1091">SUM(Z144,Z149,Z158)</f>
        <v>0</v>
      </c>
      <c r="AA169" s="368">
        <f t="shared" si="1091"/>
        <v>0</v>
      </c>
      <c r="AB169" s="368">
        <f t="shared" si="1091"/>
        <v>0</v>
      </c>
      <c r="AC169" s="368">
        <f t="shared" ref="AC169:AD169" si="1092">SUM(AC144,AC149,AC158)</f>
        <v>0</v>
      </c>
      <c r="AD169" s="368">
        <f t="shared" si="1092"/>
        <v>0</v>
      </c>
      <c r="AE169" s="369">
        <f t="shared" ref="AE169:AJ169" si="1093">SUM(AE144,AE149,AE158)</f>
        <v>0</v>
      </c>
      <c r="AF169" s="368">
        <f t="shared" si="1093"/>
        <v>0</v>
      </c>
      <c r="AG169" s="368">
        <f t="shared" si="1093"/>
        <v>0</v>
      </c>
      <c r="AH169" s="368">
        <f t="shared" si="1093"/>
        <v>0</v>
      </c>
      <c r="AI169" s="368">
        <f t="shared" si="1093"/>
        <v>0</v>
      </c>
      <c r="AJ169" s="368">
        <f t="shared" si="1093"/>
        <v>0</v>
      </c>
      <c r="AK169" s="368">
        <f t="shared" ref="AK169:AL169" si="1094">SUM(AK144,AK149,AK158)</f>
        <v>0</v>
      </c>
      <c r="AL169" s="369">
        <f t="shared" si="1094"/>
        <v>0</v>
      </c>
      <c r="AM169" s="368">
        <f t="shared" ref="AM169:AQ169" si="1095">SUM(AM144,AM149,AM158)</f>
        <v>0</v>
      </c>
      <c r="AN169" s="368">
        <f t="shared" si="795"/>
        <v>0</v>
      </c>
      <c r="AO169" s="368">
        <f t="shared" si="796"/>
        <v>0</v>
      </c>
      <c r="AP169" s="368">
        <f t="shared" si="796"/>
        <v>0</v>
      </c>
      <c r="AQ169" s="368">
        <f t="shared" si="1095"/>
        <v>0</v>
      </c>
      <c r="AR169" s="368">
        <f t="shared" ref="AR169:AS169" si="1096">SUM(AR144,AR149,AR158)</f>
        <v>0</v>
      </c>
      <c r="AS169" s="369">
        <f t="shared" si="1096"/>
        <v>0</v>
      </c>
      <c r="AT169" s="368">
        <f t="shared" ref="AT169:AU169" si="1097">SUM(AT144,AT149,AT158)</f>
        <v>0</v>
      </c>
      <c r="AU169" s="368">
        <f t="shared" si="1097"/>
        <v>0</v>
      </c>
      <c r="AV169" s="368">
        <f t="shared" ref="AV169:AX169" si="1098">SUM(AV144,AV149,AV158)</f>
        <v>0</v>
      </c>
      <c r="AW169" s="368">
        <f t="shared" si="1098"/>
        <v>0</v>
      </c>
      <c r="AX169" s="368">
        <f t="shared" si="1098"/>
        <v>0</v>
      </c>
      <c r="AY169" s="368">
        <f t="shared" ref="AY169:AZ169" si="1099">SUM(AY144,AY149,AY158)</f>
        <v>0</v>
      </c>
      <c r="AZ169" s="368">
        <f t="shared" si="1099"/>
        <v>0</v>
      </c>
      <c r="BA169" s="368">
        <f t="shared" ref="BA169:BD169" si="1100">SUM(BA144,BA149,BA158)</f>
        <v>0</v>
      </c>
      <c r="BB169" s="368">
        <f t="shared" si="1100"/>
        <v>0</v>
      </c>
      <c r="BC169" s="368">
        <f t="shared" si="1100"/>
        <v>0</v>
      </c>
      <c r="BD169" s="368">
        <f t="shared" si="1100"/>
        <v>0</v>
      </c>
      <c r="BE169" s="368">
        <f t="shared" ref="BE169:BF169" si="1101">SUM(BE144,BE149,BE158)</f>
        <v>0</v>
      </c>
      <c r="BF169" s="368">
        <f t="shared" si="1101"/>
        <v>0</v>
      </c>
      <c r="BG169" s="368">
        <f t="shared" ref="BG169:BH169" si="1102">SUM(BG144,BG149,BG158)</f>
        <v>0</v>
      </c>
      <c r="BH169" s="368">
        <f t="shared" si="1102"/>
        <v>0</v>
      </c>
      <c r="BI169" s="368">
        <f t="shared" ref="BI169:BL169" si="1103">SUM(BI144,BI149,BI158)</f>
        <v>0</v>
      </c>
      <c r="BJ169" s="368">
        <f t="shared" si="1103"/>
        <v>0</v>
      </c>
      <c r="BK169" s="368">
        <f t="shared" si="1103"/>
        <v>0</v>
      </c>
      <c r="BL169" s="368">
        <f t="shared" si="1103"/>
        <v>0</v>
      </c>
      <c r="BM169" s="368">
        <f t="shared" ref="BM169:BN169" si="1104">SUM(BM144,BM149,BM158)</f>
        <v>0</v>
      </c>
      <c r="BN169" s="368">
        <f t="shared" si="1104"/>
        <v>0</v>
      </c>
      <c r="BO169" s="368">
        <f t="shared" ref="BO169:BS169" si="1105">SUM(BO144,BO149,BO158)</f>
        <v>0</v>
      </c>
      <c r="BP169" s="368">
        <f t="shared" si="1105"/>
        <v>0</v>
      </c>
      <c r="BQ169" s="368">
        <f t="shared" si="1105"/>
        <v>0</v>
      </c>
      <c r="BR169" s="368">
        <f t="shared" si="1105"/>
        <v>0</v>
      </c>
      <c r="BS169" s="368">
        <f t="shared" si="1105"/>
        <v>0</v>
      </c>
      <c r="BT169" s="368">
        <f t="shared" ref="BT169:BU169" si="1106">SUM(BT144,BT149,BT158)</f>
        <v>0</v>
      </c>
      <c r="BU169" s="368">
        <f t="shared" si="1106"/>
        <v>0</v>
      </c>
      <c r="BV169" s="368">
        <f t="shared" ref="BV169:BZ169" si="1107">SUM(BV144,BV149,BV158)</f>
        <v>0</v>
      </c>
      <c r="BW169" s="368">
        <f t="shared" si="1107"/>
        <v>0</v>
      </c>
      <c r="BX169" s="368">
        <f t="shared" si="1107"/>
        <v>0</v>
      </c>
      <c r="BY169" s="368">
        <f t="shared" si="1107"/>
        <v>0</v>
      </c>
      <c r="BZ169" s="368">
        <f t="shared" si="1107"/>
        <v>0</v>
      </c>
      <c r="CA169" s="368">
        <f t="shared" ref="CA169:CB169" si="1108">SUM(CA144,CA149,CA158)</f>
        <v>0</v>
      </c>
      <c r="CB169" s="368">
        <f t="shared" si="1108"/>
        <v>0</v>
      </c>
      <c r="CC169" s="368">
        <f t="shared" ref="CC169:CD169" si="1109">SUM(CC144,CC149,CC158)</f>
        <v>0</v>
      </c>
      <c r="CD169" s="368">
        <f t="shared" si="1109"/>
        <v>0</v>
      </c>
      <c r="CE169" s="368">
        <f t="shared" ref="CE169:CG169" si="1110">SUM(CE144,CE149,CE158)</f>
        <v>0</v>
      </c>
      <c r="CF169" s="368">
        <f t="shared" si="1110"/>
        <v>0</v>
      </c>
      <c r="CG169" s="368">
        <f t="shared" si="1110"/>
        <v>0</v>
      </c>
      <c r="CH169" s="368">
        <f t="shared" ref="CH169:CI169" si="1111">SUM(CH144,CH149,CH158)</f>
        <v>0</v>
      </c>
      <c r="CI169" s="368">
        <f t="shared" si="1111"/>
        <v>0</v>
      </c>
      <c r="CJ169" s="368">
        <v>0</v>
      </c>
      <c r="CK169" s="368">
        <f t="shared" ref="CK169:CO169" si="1112">SUM(CK144,CK149,CK158)</f>
        <v>0</v>
      </c>
      <c r="CL169" s="368">
        <f t="shared" si="1112"/>
        <v>0</v>
      </c>
      <c r="CM169" s="368">
        <f t="shared" si="1112"/>
        <v>0</v>
      </c>
      <c r="CN169" s="368">
        <f t="shared" si="1112"/>
        <v>0</v>
      </c>
      <c r="CO169" s="368">
        <f t="shared" si="1112"/>
        <v>0</v>
      </c>
    </row>
    <row r="170" spans="1:93" x14ac:dyDescent="0.25">
      <c r="A170" s="335" t="str">
        <f>Language!$G167</f>
        <v>Tijoá</v>
      </c>
      <c r="B170" s="368">
        <f t="shared" ref="B170:Q170" si="1113">SUM(B145,B150,B161)</f>
        <v>0</v>
      </c>
      <c r="C170" s="368">
        <f t="shared" si="1113"/>
        <v>0</v>
      </c>
      <c r="D170" s="368">
        <f t="shared" si="1113"/>
        <v>0</v>
      </c>
      <c r="E170" s="369">
        <f t="shared" si="1113"/>
        <v>0</v>
      </c>
      <c r="F170" s="368">
        <f t="shared" si="1113"/>
        <v>0</v>
      </c>
      <c r="G170" s="368">
        <f t="shared" si="1113"/>
        <v>0</v>
      </c>
      <c r="H170" s="368">
        <f t="shared" si="1113"/>
        <v>0</v>
      </c>
      <c r="I170" s="369">
        <f t="shared" si="1113"/>
        <v>0</v>
      </c>
      <c r="J170" s="368">
        <f t="shared" si="1113"/>
        <v>0</v>
      </c>
      <c r="K170" s="368">
        <f t="shared" si="1113"/>
        <v>0</v>
      </c>
      <c r="L170" s="368">
        <f t="shared" si="1113"/>
        <v>0</v>
      </c>
      <c r="M170" s="369">
        <f t="shared" si="1113"/>
        <v>0</v>
      </c>
      <c r="N170" s="368">
        <f t="shared" si="1113"/>
        <v>0</v>
      </c>
      <c r="O170" s="368">
        <f t="shared" si="1113"/>
        <v>0</v>
      </c>
      <c r="P170" s="368">
        <f t="shared" si="1113"/>
        <v>0</v>
      </c>
      <c r="Q170" s="369">
        <f t="shared" si="1113"/>
        <v>0</v>
      </c>
      <c r="R170" s="368">
        <v>-815</v>
      </c>
      <c r="S170" s="368">
        <v>1580</v>
      </c>
      <c r="T170" s="368">
        <v>5885</v>
      </c>
      <c r="U170" s="368">
        <v>264</v>
      </c>
      <c r="V170" s="368">
        <v>765</v>
      </c>
      <c r="W170" s="368">
        <v>6650</v>
      </c>
      <c r="X170" s="369">
        <v>6914</v>
      </c>
      <c r="Y170" s="368">
        <f t="shared" ref="Y170:AB170" si="1114">SUM(Y145,Y150,Y161)</f>
        <v>1059</v>
      </c>
      <c r="Z170" s="368">
        <f t="shared" si="1114"/>
        <v>706</v>
      </c>
      <c r="AA170" s="368">
        <f t="shared" si="1114"/>
        <v>-1174</v>
      </c>
      <c r="AB170" s="368">
        <f t="shared" si="1114"/>
        <v>1900</v>
      </c>
      <c r="AC170" s="368">
        <f t="shared" ref="AC170:AD170" si="1115">SUM(AC145,AC150,AC161)</f>
        <v>1765</v>
      </c>
      <c r="AD170" s="368">
        <f t="shared" si="1115"/>
        <v>591</v>
      </c>
      <c r="AE170" s="369">
        <f t="shared" ref="AE170:AJ170" si="1116">SUM(AE145,AE150,AE161)</f>
        <v>2491</v>
      </c>
      <c r="AF170" s="368">
        <f t="shared" si="1116"/>
        <v>1013</v>
      </c>
      <c r="AG170" s="368">
        <f t="shared" si="1116"/>
        <v>1687</v>
      </c>
      <c r="AH170" s="368">
        <f t="shared" si="1116"/>
        <v>6479</v>
      </c>
      <c r="AI170" s="368">
        <f t="shared" si="1116"/>
        <v>7116</v>
      </c>
      <c r="AJ170" s="368">
        <f t="shared" si="1116"/>
        <v>2700</v>
      </c>
      <c r="AK170" s="368">
        <f t="shared" ref="AK170:AL170" si="1117">SUM(AK145,AK150,AK161)</f>
        <v>9179</v>
      </c>
      <c r="AL170" s="369">
        <f t="shared" si="1117"/>
        <v>12039</v>
      </c>
      <c r="AM170" s="368">
        <f t="shared" ref="AM170:AQ170" si="1118">SUM(AM145,AM150,AM161)</f>
        <v>1446</v>
      </c>
      <c r="AN170" s="368">
        <f t="shared" si="795"/>
        <v>1292</v>
      </c>
      <c r="AO170" s="368">
        <f t="shared" si="796"/>
        <v>7025</v>
      </c>
      <c r="AP170" s="368">
        <f t="shared" si="796"/>
        <v>6355.7300441235457</v>
      </c>
      <c r="AQ170" s="368">
        <f t="shared" si="1118"/>
        <v>2738</v>
      </c>
      <c r="AR170" s="368">
        <f t="shared" ref="AR170:AS170" si="1119">SUM(AR145,AR150,AR161)</f>
        <v>9763</v>
      </c>
      <c r="AS170" s="369">
        <f t="shared" si="1119"/>
        <v>16118.730044123546</v>
      </c>
      <c r="AT170" s="368">
        <f t="shared" ref="AT170:AU170" si="1120">SUM(AT145,AT150,AT161)</f>
        <v>7135</v>
      </c>
      <c r="AU170" s="368">
        <f t="shared" si="1120"/>
        <v>7458</v>
      </c>
      <c r="AV170" s="368">
        <f t="shared" ref="AV170:AX170" si="1121">SUM(AV145,AV150,AV161)</f>
        <v>8074</v>
      </c>
      <c r="AW170" s="368">
        <f t="shared" si="1121"/>
        <v>6766</v>
      </c>
      <c r="AX170" s="368">
        <f t="shared" si="1121"/>
        <v>14593</v>
      </c>
      <c r="AY170" s="368">
        <f t="shared" ref="AY170:AZ170" si="1122">SUM(AY145,AY150,AY161)</f>
        <v>22667</v>
      </c>
      <c r="AZ170" s="368">
        <f t="shared" si="1122"/>
        <v>29433</v>
      </c>
      <c r="BA170" s="368">
        <f t="shared" ref="BA170:BD170" si="1123">SUM(BA145,BA150,BA161)</f>
        <v>7828</v>
      </c>
      <c r="BB170" s="368">
        <f t="shared" si="1123"/>
        <v>8156</v>
      </c>
      <c r="BC170" s="368">
        <f t="shared" si="1123"/>
        <v>9001</v>
      </c>
      <c r="BD170" s="368">
        <f t="shared" si="1123"/>
        <v>7980</v>
      </c>
      <c r="BE170" s="368">
        <f t="shared" ref="BE170:BF170" si="1124">SUM(BE145,BE150,BE161)</f>
        <v>15984</v>
      </c>
      <c r="BF170" s="368">
        <f t="shared" si="1124"/>
        <v>24985</v>
      </c>
      <c r="BG170" s="368">
        <f t="shared" ref="BG170:BH170" si="1125">SUM(BG145,BG150,BG161)</f>
        <v>32965</v>
      </c>
      <c r="BH170" s="368">
        <f t="shared" si="1125"/>
        <v>8597</v>
      </c>
      <c r="BI170" s="368">
        <f t="shared" ref="BI170:BL170" si="1126">SUM(BI145,BI150,BI161)</f>
        <v>7999</v>
      </c>
      <c r="BJ170" s="368">
        <f t="shared" si="1126"/>
        <v>10040</v>
      </c>
      <c r="BK170" s="368">
        <f t="shared" si="1126"/>
        <v>8779</v>
      </c>
      <c r="BL170" s="368">
        <f t="shared" si="1126"/>
        <v>16596</v>
      </c>
      <c r="BM170" s="368">
        <f t="shared" ref="BM170:BN170" si="1127">SUM(BM145,BM150,BM161)</f>
        <v>26636</v>
      </c>
      <c r="BN170" s="368">
        <f t="shared" si="1127"/>
        <v>35415</v>
      </c>
      <c r="BO170" s="368">
        <f t="shared" ref="BO170:BS170" si="1128">SUM(BO145,BO150,BO161)</f>
        <v>9550</v>
      </c>
      <c r="BP170" s="368">
        <f t="shared" si="1128"/>
        <v>9472</v>
      </c>
      <c r="BQ170" s="368">
        <f t="shared" si="1128"/>
        <v>11728</v>
      </c>
      <c r="BR170" s="368">
        <f t="shared" si="1128"/>
        <v>9134</v>
      </c>
      <c r="BS170" s="368">
        <f t="shared" si="1128"/>
        <v>19022</v>
      </c>
      <c r="BT170" s="368">
        <f t="shared" ref="BT170:BU170" si="1129">SUM(BT145,BT150,BT161)</f>
        <v>30750</v>
      </c>
      <c r="BU170" s="368">
        <f t="shared" si="1129"/>
        <v>39884</v>
      </c>
      <c r="BV170" s="368">
        <f t="shared" ref="BV170:BZ170" si="1130">SUM(BV145,BV150,BV161)</f>
        <v>11419</v>
      </c>
      <c r="BW170" s="368">
        <f t="shared" si="1130"/>
        <v>10660</v>
      </c>
      <c r="BX170" s="368">
        <f t="shared" si="1130"/>
        <v>11415</v>
      </c>
      <c r="BY170" s="368">
        <f t="shared" si="1130"/>
        <v>9867</v>
      </c>
      <c r="BZ170" s="368">
        <f t="shared" si="1130"/>
        <v>22079</v>
      </c>
      <c r="CA170" s="368">
        <f t="shared" ref="CA170:CB170" si="1131">SUM(CA145,CA150,CA161)</f>
        <v>33494</v>
      </c>
      <c r="CB170" s="368">
        <f t="shared" si="1131"/>
        <v>43361</v>
      </c>
      <c r="CC170" s="368">
        <f t="shared" ref="CC170:CD170" si="1132">SUM(CC145,CC150,CC161)</f>
        <v>10693</v>
      </c>
      <c r="CD170" s="368">
        <f t="shared" si="1132"/>
        <v>10550</v>
      </c>
      <c r="CE170" s="368">
        <f t="shared" ref="CE170:CG170" si="1133">SUM(CE145,CE150,CE161)</f>
        <v>11133</v>
      </c>
      <c r="CF170" s="368">
        <f t="shared" si="1133"/>
        <v>10487</v>
      </c>
      <c r="CG170" s="368">
        <f t="shared" si="1133"/>
        <v>21243</v>
      </c>
      <c r="CH170" s="368">
        <f t="shared" ref="CH170:CI170" si="1134">SUM(CH145,CH150,CH161)</f>
        <v>32376</v>
      </c>
      <c r="CI170" s="368">
        <f t="shared" si="1134"/>
        <v>42863</v>
      </c>
      <c r="CJ170" s="368">
        <v>11411</v>
      </c>
      <c r="CK170" s="368">
        <f t="shared" ref="CK170:CO170" si="1135">SUM(CK145,CK150,CK161)</f>
        <v>11654</v>
      </c>
      <c r="CL170" s="368">
        <f t="shared" si="1135"/>
        <v>0</v>
      </c>
      <c r="CM170" s="368">
        <f t="shared" si="1135"/>
        <v>0</v>
      </c>
      <c r="CN170" s="368">
        <f t="shared" si="1135"/>
        <v>23065</v>
      </c>
      <c r="CO170" s="368">
        <f t="shared" si="1135"/>
        <v>0</v>
      </c>
    </row>
    <row r="171" spans="1:93" x14ac:dyDescent="0.25">
      <c r="A171" s="370" t="str">
        <f>Language!$G168</f>
        <v>Outros</v>
      </c>
      <c r="B171" s="368">
        <f t="shared" ref="B171:N171" si="1136">SUM(B146,B151,B164)</f>
        <v>-22</v>
      </c>
      <c r="C171" s="368">
        <f t="shared" si="1136"/>
        <v>-85</v>
      </c>
      <c r="D171" s="368">
        <f t="shared" si="1136"/>
        <v>104</v>
      </c>
      <c r="E171" s="369">
        <f t="shared" si="1136"/>
        <v>-6</v>
      </c>
      <c r="F171" s="368">
        <f t="shared" si="1136"/>
        <v>0</v>
      </c>
      <c r="G171" s="368">
        <f t="shared" si="1136"/>
        <v>-2</v>
      </c>
      <c r="H171" s="368">
        <f t="shared" si="1136"/>
        <v>-63</v>
      </c>
      <c r="I171" s="369">
        <f t="shared" si="1136"/>
        <v>-264</v>
      </c>
      <c r="J171" s="368">
        <f t="shared" si="1136"/>
        <v>13111</v>
      </c>
      <c r="K171" s="368">
        <f t="shared" si="1136"/>
        <v>-835</v>
      </c>
      <c r="L171" s="368">
        <f t="shared" si="1136"/>
        <v>-8978</v>
      </c>
      <c r="M171" s="369">
        <f t="shared" si="1136"/>
        <v>336</v>
      </c>
      <c r="N171" s="368">
        <f t="shared" si="1136"/>
        <v>-220</v>
      </c>
      <c r="O171" s="368">
        <f t="shared" ref="O171" si="1137">SUM(O146,O151,O164)</f>
        <v>-468</v>
      </c>
      <c r="P171" s="368">
        <f t="shared" ref="P171:Q171" si="1138">SUM(P146,P151,P164)</f>
        <v>-1459.999991122022</v>
      </c>
      <c r="Q171" s="369">
        <f t="shared" si="1138"/>
        <v>-2287.000008877978</v>
      </c>
      <c r="R171" s="368">
        <v>-1489</v>
      </c>
      <c r="S171" s="368">
        <v>5957</v>
      </c>
      <c r="T171" s="368">
        <v>-4370</v>
      </c>
      <c r="U171" s="368">
        <v>3174</v>
      </c>
      <c r="V171" s="368">
        <v>-1379</v>
      </c>
      <c r="W171" s="368">
        <v>-5749</v>
      </c>
      <c r="X171" s="369">
        <v>-2575</v>
      </c>
      <c r="Y171" s="368">
        <f t="shared" ref="Y171" si="1139">SUM(Y146,Y151,Y164)</f>
        <v>0</v>
      </c>
      <c r="Z171" s="368">
        <f t="shared" ref="Z171:AB171" si="1140">SUM(Z146,Z151,Z164)</f>
        <v>0</v>
      </c>
      <c r="AA171" s="368">
        <f t="shared" si="1140"/>
        <v>1340</v>
      </c>
      <c r="AB171" s="368">
        <f t="shared" si="1140"/>
        <v>473</v>
      </c>
      <c r="AC171" s="368">
        <f t="shared" ref="AC171:AD171" si="1141">SUM(AC146,AC151,AC164)</f>
        <v>0</v>
      </c>
      <c r="AD171" s="368">
        <f t="shared" si="1141"/>
        <v>1340</v>
      </c>
      <c r="AE171" s="369">
        <f t="shared" ref="AE171:AJ171" si="1142">SUM(AE146,AE151,AE164)</f>
        <v>1813</v>
      </c>
      <c r="AF171" s="368">
        <f t="shared" si="1142"/>
        <v>486</v>
      </c>
      <c r="AG171" s="368">
        <f t="shared" si="1142"/>
        <v>486</v>
      </c>
      <c r="AH171" s="368">
        <f t="shared" si="1142"/>
        <v>-4407</v>
      </c>
      <c r="AI171" s="368">
        <f t="shared" si="1142"/>
        <v>7510</v>
      </c>
      <c r="AJ171" s="368">
        <f t="shared" si="1142"/>
        <v>972</v>
      </c>
      <c r="AK171" s="368">
        <f t="shared" ref="AK171:AL171" si="1143">SUM(AK146,AK151,AK164)</f>
        <v>-3435</v>
      </c>
      <c r="AL171" s="369">
        <f t="shared" si="1143"/>
        <v>583</v>
      </c>
      <c r="AM171" s="368">
        <f t="shared" ref="AM171:AQ171" si="1144">SUM(AM146,AM151,AM164)</f>
        <v>488</v>
      </c>
      <c r="AN171" s="368">
        <f t="shared" si="795"/>
        <v>52</v>
      </c>
      <c r="AO171" s="368">
        <f t="shared" si="796"/>
        <v>577</v>
      </c>
      <c r="AP171" s="368">
        <f t="shared" si="796"/>
        <v>-32.730044123546122</v>
      </c>
      <c r="AQ171" s="368">
        <f t="shared" si="1144"/>
        <v>540</v>
      </c>
      <c r="AR171" s="368">
        <f t="shared" ref="AR171:AS171" si="1145">SUM(AR146,AR151,AR164)</f>
        <v>1117</v>
      </c>
      <c r="AS171" s="369">
        <f t="shared" si="1145"/>
        <v>1084.2699558764539</v>
      </c>
      <c r="AT171" s="368">
        <f t="shared" ref="AT171:AU171" si="1146">SUM(AT146,AT151,AT164)</f>
        <v>19.999999999999773</v>
      </c>
      <c r="AU171" s="368">
        <f t="shared" si="1146"/>
        <v>43</v>
      </c>
      <c r="AV171" s="368">
        <f t="shared" ref="AV171:AX171" si="1147">SUM(AV146,AV151,AV164)</f>
        <v>382</v>
      </c>
      <c r="AW171" s="368">
        <f t="shared" si="1147"/>
        <v>160</v>
      </c>
      <c r="AX171" s="368">
        <f t="shared" si="1147"/>
        <v>62.999999999999545</v>
      </c>
      <c r="AY171" s="368">
        <f t="shared" ref="AY171:AZ171" si="1148">SUM(AY146,AY151,AY164)</f>
        <v>445</v>
      </c>
      <c r="AZ171" s="368">
        <f t="shared" si="1148"/>
        <v>605</v>
      </c>
      <c r="BA171" s="368">
        <f t="shared" ref="BA171:BD171" si="1149">SUM(BA146,BA151,BA164)</f>
        <v>-228</v>
      </c>
      <c r="BB171" s="368">
        <f t="shared" si="1149"/>
        <v>-23</v>
      </c>
      <c r="BC171" s="368">
        <f t="shared" si="1149"/>
        <v>147</v>
      </c>
      <c r="BD171" s="368">
        <f t="shared" si="1149"/>
        <v>-20</v>
      </c>
      <c r="BE171" s="368">
        <f t="shared" ref="BE171:BF171" si="1150">SUM(BE146,BE151,BE164)</f>
        <v>-251</v>
      </c>
      <c r="BF171" s="368">
        <f t="shared" si="1150"/>
        <v>-104</v>
      </c>
      <c r="BG171" s="368">
        <f t="shared" ref="BG171:BH171" si="1151">SUM(BG146,BG151,BG164)</f>
        <v>-124</v>
      </c>
      <c r="BH171" s="368">
        <f t="shared" si="1151"/>
        <v>-72</v>
      </c>
      <c r="BI171" s="368">
        <f t="shared" ref="BI171:BL171" si="1152">SUM(BI146,BI151,BI164)</f>
        <v>7</v>
      </c>
      <c r="BJ171" s="368">
        <f t="shared" si="1152"/>
        <v>-37</v>
      </c>
      <c r="BK171" s="368">
        <f t="shared" si="1152"/>
        <v>-46</v>
      </c>
      <c r="BL171" s="368">
        <f t="shared" si="1152"/>
        <v>-65</v>
      </c>
      <c r="BM171" s="368">
        <f t="shared" ref="BM171:BN171" si="1153">SUM(BM146,BM151,BM164)</f>
        <v>-102</v>
      </c>
      <c r="BN171" s="368">
        <f t="shared" si="1153"/>
        <v>-148</v>
      </c>
      <c r="BO171" s="368">
        <f t="shared" ref="BO171:BS171" si="1154">SUM(BO146,BO151,BO164)</f>
        <v>-110</v>
      </c>
      <c r="BP171" s="368">
        <f t="shared" si="1154"/>
        <v>-52</v>
      </c>
      <c r="BQ171" s="368">
        <f t="shared" si="1154"/>
        <v>10</v>
      </c>
      <c r="BR171" s="368">
        <f t="shared" si="1154"/>
        <v>282</v>
      </c>
      <c r="BS171" s="368">
        <f t="shared" si="1154"/>
        <v>-173</v>
      </c>
      <c r="BT171" s="368">
        <f t="shared" ref="BT171:BU171" si="1155">SUM(BT146,BT151,BT164)</f>
        <v>-114</v>
      </c>
      <c r="BU171" s="368">
        <f t="shared" si="1155"/>
        <v>178</v>
      </c>
      <c r="BV171" s="368">
        <f t="shared" ref="BV171:BZ171" si="1156">SUM(BV146,BV151,BV164)</f>
        <v>237</v>
      </c>
      <c r="BW171" s="368">
        <f t="shared" si="1156"/>
        <v>298</v>
      </c>
      <c r="BX171" s="368">
        <f t="shared" si="1156"/>
        <v>252</v>
      </c>
      <c r="BY171" s="368">
        <f t="shared" si="1156"/>
        <v>225</v>
      </c>
      <c r="BZ171" s="368">
        <f t="shared" si="1156"/>
        <v>535</v>
      </c>
      <c r="CA171" s="368">
        <f t="shared" ref="CA171:CB171" si="1157">SUM(CA146,CA151,CA164)</f>
        <v>787</v>
      </c>
      <c r="CB171" s="368">
        <f t="shared" si="1157"/>
        <v>1012</v>
      </c>
      <c r="CC171" s="368">
        <f t="shared" ref="CC171:CD171" si="1158">SUM(CC146,CC151,CC164)</f>
        <v>12</v>
      </c>
      <c r="CD171" s="368">
        <f t="shared" si="1158"/>
        <v>304</v>
      </c>
      <c r="CE171" s="368">
        <f t="shared" ref="CE171:CG171" si="1159">SUM(CE146,CE151,CE164)</f>
        <v>293</v>
      </c>
      <c r="CF171" s="368">
        <f t="shared" si="1159"/>
        <v>310</v>
      </c>
      <c r="CG171" s="368">
        <f t="shared" si="1159"/>
        <v>316</v>
      </c>
      <c r="CH171" s="368">
        <f t="shared" ref="CH171:CI171" si="1160">SUM(CH146,CH151,CH164)</f>
        <v>609</v>
      </c>
      <c r="CI171" s="368">
        <f t="shared" si="1160"/>
        <v>919</v>
      </c>
      <c r="CJ171" s="368">
        <v>-1747</v>
      </c>
      <c r="CK171" s="368">
        <f t="shared" ref="CK171:CO171" si="1161">SUM(CK146,CK151,CK164)</f>
        <v>-1167</v>
      </c>
      <c r="CL171" s="368">
        <f t="shared" si="1161"/>
        <v>0</v>
      </c>
      <c r="CM171" s="368">
        <f t="shared" si="1161"/>
        <v>0</v>
      </c>
      <c r="CN171" s="368">
        <f t="shared" si="1161"/>
        <v>-2914</v>
      </c>
      <c r="CO171" s="368">
        <f t="shared" si="1161"/>
        <v>0</v>
      </c>
    </row>
    <row r="172" spans="1:93" s="377" customFormat="1" ht="13" x14ac:dyDescent="0.3">
      <c r="A172" s="366" t="str">
        <f>Language!$G169</f>
        <v>EBITDA Ajustado</v>
      </c>
      <c r="B172" s="366">
        <f t="shared" ref="B172:Q172" si="1162">SUM(B173,B174,B175,B176)</f>
        <v>15308</v>
      </c>
      <c r="C172" s="366">
        <f t="shared" si="1162"/>
        <v>14494</v>
      </c>
      <c r="D172" s="366">
        <f t="shared" si="1162"/>
        <v>15310</v>
      </c>
      <c r="E172" s="367">
        <f t="shared" si="1162"/>
        <v>18395</v>
      </c>
      <c r="F172" s="366">
        <f t="shared" si="1162"/>
        <v>18691</v>
      </c>
      <c r="G172" s="366">
        <f t="shared" si="1162"/>
        <v>18498</v>
      </c>
      <c r="H172" s="366">
        <f t="shared" si="1162"/>
        <v>18233</v>
      </c>
      <c r="I172" s="367">
        <f t="shared" si="1162"/>
        <v>14683</v>
      </c>
      <c r="J172" s="366">
        <f t="shared" si="1162"/>
        <v>25266</v>
      </c>
      <c r="K172" s="366">
        <f t="shared" si="1162"/>
        <v>18183</v>
      </c>
      <c r="L172" s="366">
        <f t="shared" si="1162"/>
        <v>14230</v>
      </c>
      <c r="M172" s="367">
        <f t="shared" si="1162"/>
        <v>46428.997943999988</v>
      </c>
      <c r="N172" s="366">
        <f t="shared" si="1162"/>
        <v>223006</v>
      </c>
      <c r="O172" s="366">
        <f t="shared" si="1162"/>
        <v>19723.974330000001</v>
      </c>
      <c r="P172" s="366">
        <f t="shared" si="1162"/>
        <v>7306.0792345479931</v>
      </c>
      <c r="Q172" s="367">
        <f t="shared" si="1162"/>
        <v>15892.946435452006</v>
      </c>
      <c r="R172" s="366">
        <v>65822</v>
      </c>
      <c r="S172" s="366">
        <v>19973</v>
      </c>
      <c r="T172" s="366">
        <v>25741</v>
      </c>
      <c r="U172" s="366">
        <v>19721</v>
      </c>
      <c r="V172" s="366">
        <v>79948</v>
      </c>
      <c r="W172" s="366">
        <v>105689</v>
      </c>
      <c r="X172" s="367">
        <v>125410</v>
      </c>
      <c r="Y172" s="366">
        <f t="shared" ref="Y172:AB172" si="1163">SUM(Y173,Y174,Y175,Y176)</f>
        <v>2182</v>
      </c>
      <c r="Z172" s="366">
        <f t="shared" si="1163"/>
        <v>2012</v>
      </c>
      <c r="AA172" s="366">
        <f t="shared" si="1163"/>
        <v>1280</v>
      </c>
      <c r="AB172" s="366">
        <f t="shared" si="1163"/>
        <v>2447</v>
      </c>
      <c r="AC172" s="366">
        <f t="shared" ref="AC172:AD172" si="1164">SUM(AC173,AC174,AC175,AC176)</f>
        <v>4194</v>
      </c>
      <c r="AD172" s="366">
        <f t="shared" si="1164"/>
        <v>5474</v>
      </c>
      <c r="AE172" s="367">
        <f t="shared" ref="AE172:AJ172" si="1165">SUM(AE173,AE174,AE175,AE176)</f>
        <v>7921</v>
      </c>
      <c r="AF172" s="366">
        <f t="shared" si="1165"/>
        <v>2453</v>
      </c>
      <c r="AG172" s="366">
        <f t="shared" si="1165"/>
        <v>3059</v>
      </c>
      <c r="AH172" s="366">
        <f t="shared" si="1165"/>
        <v>2688</v>
      </c>
      <c r="AI172" s="366">
        <f t="shared" si="1165"/>
        <v>15322</v>
      </c>
      <c r="AJ172" s="366">
        <f t="shared" si="1165"/>
        <v>5512</v>
      </c>
      <c r="AK172" s="366">
        <f t="shared" ref="AK172:AL172" si="1166">SUM(AK173,AK174,AK175,AK176)</f>
        <v>8200</v>
      </c>
      <c r="AL172" s="367">
        <f t="shared" si="1166"/>
        <v>15774</v>
      </c>
      <c r="AM172" s="366">
        <f t="shared" ref="AM172:AQ172" si="1167">SUM(AM173,AM174,AM175,AM176)</f>
        <v>2976</v>
      </c>
      <c r="AN172" s="366">
        <f t="shared" si="795"/>
        <v>2391</v>
      </c>
      <c r="AO172" s="366">
        <f t="shared" si="796"/>
        <v>11558</v>
      </c>
      <c r="AP172" s="366">
        <f t="shared" si="796"/>
        <v>9311</v>
      </c>
      <c r="AQ172" s="366">
        <f t="shared" si="1167"/>
        <v>5367</v>
      </c>
      <c r="AR172" s="366">
        <f t="shared" ref="AR172:AS172" si="1168">SUM(AR173,AR174,AR175,AR176)</f>
        <v>16925</v>
      </c>
      <c r="AS172" s="367">
        <f t="shared" si="1168"/>
        <v>26236</v>
      </c>
      <c r="AT172" s="366">
        <f t="shared" ref="AT172:AU172" si="1169">SUM(AT173,AT174,AT175,AT176)</f>
        <v>10805</v>
      </c>
      <c r="AU172" s="366">
        <f t="shared" si="1169"/>
        <v>11341</v>
      </c>
      <c r="AV172" s="366">
        <f t="shared" ref="AV172:AX172" si="1170">SUM(AV173,AV174,AV175,AV176)</f>
        <v>12569</v>
      </c>
      <c r="AW172" s="366">
        <f t="shared" si="1170"/>
        <v>10584</v>
      </c>
      <c r="AX172" s="366">
        <f t="shared" si="1170"/>
        <v>22146</v>
      </c>
      <c r="AY172" s="366">
        <f>SUM(AY173,AY174,AY175,AY176)</f>
        <v>34715</v>
      </c>
      <c r="AZ172" s="366">
        <f t="shared" ref="AZ172" si="1171">SUM(AZ173,AZ174,AZ175,AZ176)</f>
        <v>45299</v>
      </c>
      <c r="BA172" s="366">
        <f t="shared" ref="BA172:BD172" si="1172">SUM(BA173,BA174,BA175,BA176)</f>
        <v>11779</v>
      </c>
      <c r="BB172" s="366">
        <f t="shared" si="1172"/>
        <v>12387</v>
      </c>
      <c r="BC172" s="366">
        <f t="shared" si="1172"/>
        <v>13866</v>
      </c>
      <c r="BD172" s="366">
        <f t="shared" si="1172"/>
        <v>12169</v>
      </c>
      <c r="BE172" s="366">
        <f t="shared" ref="BE172:BF172" si="1173">SUM(BE173,BE174,BE175,BE176)</f>
        <v>24166</v>
      </c>
      <c r="BF172" s="366">
        <f t="shared" si="1173"/>
        <v>38032</v>
      </c>
      <c r="BG172" s="366">
        <f t="shared" ref="BG172:BH172" si="1174">SUM(BG173,BG174,BG175,BG176)</f>
        <v>50201</v>
      </c>
      <c r="BH172" s="366">
        <f t="shared" si="1174"/>
        <v>13148</v>
      </c>
      <c r="BI172" s="366">
        <f t="shared" ref="BI172:BL172" si="1175">SUM(BI173,BI174,BI175,BI176)</f>
        <v>12303</v>
      </c>
      <c r="BJ172" s="366">
        <f t="shared" si="1175"/>
        <v>15156</v>
      </c>
      <c r="BK172" s="366">
        <f>SUM(BK173,BK174,BK175,BK176)</f>
        <v>13458</v>
      </c>
      <c r="BL172" s="366">
        <f t="shared" si="1175"/>
        <v>25451</v>
      </c>
      <c r="BM172" s="366">
        <f t="shared" ref="BM172:BN172" si="1176">SUM(BM173,BM174,BM175,BM176)</f>
        <v>40607</v>
      </c>
      <c r="BN172" s="366">
        <f t="shared" si="1176"/>
        <v>54065</v>
      </c>
      <c r="BO172" s="366">
        <f t="shared" ref="BO172:BS172" si="1177">SUM(BO173,BO174,BO175,BO176)</f>
        <v>14143</v>
      </c>
      <c r="BP172" s="366">
        <f t="shared" si="1177"/>
        <v>14339</v>
      </c>
      <c r="BQ172" s="366">
        <f t="shared" si="1177"/>
        <v>17440</v>
      </c>
      <c r="BR172" s="366">
        <f>SUM(BR173,BR174,BR175,BR176)</f>
        <v>15765</v>
      </c>
      <c r="BS172" s="366">
        <f t="shared" si="1177"/>
        <v>29285</v>
      </c>
      <c r="BT172" s="366">
        <f>SUM(BT173,BT174,BT175,BT176)</f>
        <v>46714</v>
      </c>
      <c r="BU172" s="366">
        <f>SUM(BU173,BU174,BU175,BU176)</f>
        <v>62489</v>
      </c>
      <c r="BV172" s="366">
        <f>SUM(BV173,BV174,BV175,BV176)</f>
        <v>17762</v>
      </c>
      <c r="BW172" s="366">
        <f t="shared" ref="BW172:BY172" si="1178">SUM(BW173,BW174,BW175,BW176)</f>
        <v>17300</v>
      </c>
      <c r="BX172" s="366">
        <f t="shared" si="1178"/>
        <v>17748</v>
      </c>
      <c r="BY172" s="366">
        <f t="shared" si="1178"/>
        <v>15851</v>
      </c>
      <c r="BZ172" s="366">
        <f>SUM(BZ173,BZ174,BZ175,BZ176)-1</f>
        <v>35061</v>
      </c>
      <c r="CA172" s="366">
        <f t="shared" ref="CA172:CB172" si="1179">SUM(CA173,CA174,CA175,CA176)</f>
        <v>52810</v>
      </c>
      <c r="CB172" s="366">
        <f t="shared" si="1179"/>
        <v>68661</v>
      </c>
      <c r="CC172" s="366">
        <f t="shared" ref="CC172" si="1180">SUM(CC173,CC174,CC175,CC176)</f>
        <v>16839</v>
      </c>
      <c r="CD172" s="366">
        <f>SUM(CD173,CD174,CD175,CD176)</f>
        <v>16813</v>
      </c>
      <c r="CE172" s="366">
        <f t="shared" ref="CE172:CG172" si="1181">SUM(CE173,CE174,CE175,CE176)</f>
        <v>17473</v>
      </c>
      <c r="CF172" s="366">
        <f t="shared" si="1181"/>
        <v>16380</v>
      </c>
      <c r="CG172" s="366">
        <f t="shared" si="1181"/>
        <v>33652</v>
      </c>
      <c r="CH172" s="366">
        <f t="shared" ref="CH172:CI172" si="1182">SUM(CH173,CH174,CH175,CH176)</f>
        <v>51125</v>
      </c>
      <c r="CI172" s="366">
        <f t="shared" si="1182"/>
        <v>67505</v>
      </c>
      <c r="CJ172" s="366">
        <v>16154</v>
      </c>
      <c r="CK172" s="366">
        <f t="shared" ref="CK172:CO172" si="1183">SUM(CK173,CK174,CK175,CK176)</f>
        <v>16925</v>
      </c>
      <c r="CL172" s="366">
        <f t="shared" si="1183"/>
        <v>0</v>
      </c>
      <c r="CM172" s="366">
        <f t="shared" si="1183"/>
        <v>0</v>
      </c>
      <c r="CN172" s="366">
        <f t="shared" si="1183"/>
        <v>33079</v>
      </c>
      <c r="CO172" s="366">
        <f t="shared" si="1183"/>
        <v>0</v>
      </c>
    </row>
    <row r="173" spans="1:93" x14ac:dyDescent="0.25">
      <c r="A173" s="335" t="str">
        <f>Language!$G170</f>
        <v>Rio Verde</v>
      </c>
      <c r="B173" s="368">
        <f t="shared" ref="B173:AM173" si="1184">SUM(B143,-B192,B208)</f>
        <v>15697</v>
      </c>
      <c r="C173" s="368">
        <f t="shared" si="1184"/>
        <v>15390</v>
      </c>
      <c r="D173" s="368">
        <f t="shared" si="1184"/>
        <v>16927</v>
      </c>
      <c r="E173" s="369">
        <f t="shared" si="1184"/>
        <v>16719</v>
      </c>
      <c r="F173" s="368">
        <f t="shared" si="1184"/>
        <v>19125</v>
      </c>
      <c r="G173" s="368">
        <f t="shared" si="1184"/>
        <v>18971</v>
      </c>
      <c r="H173" s="368">
        <f t="shared" si="1184"/>
        <v>18608</v>
      </c>
      <c r="I173" s="369">
        <f t="shared" si="1184"/>
        <v>15501</v>
      </c>
      <c r="J173" s="368">
        <f t="shared" si="1184"/>
        <v>12702</v>
      </c>
      <c r="K173" s="368">
        <f t="shared" si="1184"/>
        <v>19022</v>
      </c>
      <c r="L173" s="368">
        <f t="shared" si="1184"/>
        <v>22340.245620000002</v>
      </c>
      <c r="M173" s="369">
        <f t="shared" si="1184"/>
        <v>19587.972323999988</v>
      </c>
      <c r="N173" s="368">
        <f t="shared" si="1184"/>
        <v>19809</v>
      </c>
      <c r="O173" s="368">
        <f t="shared" si="1184"/>
        <v>16558.479599999999</v>
      </c>
      <c r="P173" s="368">
        <f t="shared" si="1184"/>
        <v>9088.9734000000062</v>
      </c>
      <c r="Q173" s="369">
        <f t="shared" si="1184"/>
        <v>13426.546999999995</v>
      </c>
      <c r="R173" s="368">
        <v>11959</v>
      </c>
      <c r="S173" s="368">
        <v>13394</v>
      </c>
      <c r="T173" s="368">
        <v>14736</v>
      </c>
      <c r="U173" s="368">
        <v>13610</v>
      </c>
      <c r="V173" s="368">
        <v>25353</v>
      </c>
      <c r="W173" s="368">
        <v>40089</v>
      </c>
      <c r="X173" s="369">
        <v>53699</v>
      </c>
      <c r="Y173" s="368">
        <f t="shared" si="1184"/>
        <v>0</v>
      </c>
      <c r="Z173" s="368">
        <f t="shared" si="1184"/>
        <v>0</v>
      </c>
      <c r="AA173" s="368">
        <f t="shared" si="1184"/>
        <v>0</v>
      </c>
      <c r="AB173" s="368">
        <f t="shared" si="1184"/>
        <v>0</v>
      </c>
      <c r="AC173" s="368">
        <f t="shared" si="1184"/>
        <v>0</v>
      </c>
      <c r="AD173" s="368">
        <f t="shared" si="1184"/>
        <v>0</v>
      </c>
      <c r="AE173" s="369">
        <f t="shared" si="1184"/>
        <v>0</v>
      </c>
      <c r="AF173" s="368">
        <f t="shared" si="1184"/>
        <v>0</v>
      </c>
      <c r="AG173" s="368">
        <f t="shared" si="1184"/>
        <v>0</v>
      </c>
      <c r="AH173" s="368">
        <f t="shared" si="1184"/>
        <v>0</v>
      </c>
      <c r="AI173" s="368">
        <f t="shared" si="1184"/>
        <v>0</v>
      </c>
      <c r="AJ173" s="368">
        <f t="shared" si="1184"/>
        <v>0</v>
      </c>
      <c r="AK173" s="368">
        <f t="shared" si="1184"/>
        <v>0</v>
      </c>
      <c r="AL173" s="369">
        <f t="shared" si="1184"/>
        <v>0</v>
      </c>
      <c r="AM173" s="368">
        <f t="shared" si="1184"/>
        <v>0</v>
      </c>
      <c r="AN173" s="368">
        <f t="shared" si="795"/>
        <v>0</v>
      </c>
      <c r="AO173" s="368">
        <f t="shared" si="796"/>
        <v>0</v>
      </c>
      <c r="AP173" s="368">
        <f t="shared" si="796"/>
        <v>0</v>
      </c>
      <c r="AQ173" s="368">
        <f t="shared" ref="AQ173" si="1185">SUM(AQ143,-AQ192,AQ208)</f>
        <v>0</v>
      </c>
      <c r="AR173" s="368">
        <f t="shared" ref="AR173:BA173" si="1186">AR143-AR192</f>
        <v>0</v>
      </c>
      <c r="AS173" s="369">
        <f t="shared" si="1186"/>
        <v>0</v>
      </c>
      <c r="AT173" s="368">
        <f t="shared" si="1186"/>
        <v>0</v>
      </c>
      <c r="AU173" s="368">
        <f t="shared" si="1186"/>
        <v>0</v>
      </c>
      <c r="AV173" s="368">
        <f t="shared" si="1186"/>
        <v>0</v>
      </c>
      <c r="AW173" s="368">
        <f t="shared" si="1186"/>
        <v>0</v>
      </c>
      <c r="AX173" s="368">
        <f t="shared" si="1186"/>
        <v>0</v>
      </c>
      <c r="AY173" s="368">
        <f t="shared" si="1186"/>
        <v>0</v>
      </c>
      <c r="AZ173" s="368">
        <f t="shared" si="1186"/>
        <v>0</v>
      </c>
      <c r="BA173" s="368">
        <f t="shared" si="1186"/>
        <v>0</v>
      </c>
      <c r="BB173" s="368">
        <f t="shared" ref="BB173:BD173" si="1187">BB143-BB192</f>
        <v>0</v>
      </c>
      <c r="BC173" s="368">
        <f t="shared" si="1187"/>
        <v>0</v>
      </c>
      <c r="BD173" s="368">
        <f t="shared" si="1187"/>
        <v>0</v>
      </c>
      <c r="BE173" s="368">
        <f>BE143-BE192</f>
        <v>0</v>
      </c>
      <c r="BF173" s="368">
        <f>BF143-BF192</f>
        <v>0</v>
      </c>
      <c r="BG173" s="368">
        <f>BG143-BG192</f>
        <v>0</v>
      </c>
      <c r="BH173" s="368">
        <f>BH143-BH192</f>
        <v>0</v>
      </c>
      <c r="BI173" s="368">
        <f t="shared" ref="BI173:BL173" si="1188">BI143-BI192</f>
        <v>0</v>
      </c>
      <c r="BJ173" s="368">
        <f t="shared" si="1188"/>
        <v>0</v>
      </c>
      <c r="BK173" s="368">
        <f t="shared" si="1188"/>
        <v>0</v>
      </c>
      <c r="BL173" s="368">
        <f t="shared" si="1188"/>
        <v>0</v>
      </c>
      <c r="BM173" s="368">
        <f t="shared" ref="BM173:BN173" si="1189">BM143-BM192</f>
        <v>0</v>
      </c>
      <c r="BN173" s="368">
        <f t="shared" si="1189"/>
        <v>0</v>
      </c>
      <c r="BO173" s="368">
        <f t="shared" ref="BO173:BS173" si="1190">BO143-BO192</f>
        <v>0</v>
      </c>
      <c r="BP173" s="368">
        <f t="shared" si="1190"/>
        <v>0</v>
      </c>
      <c r="BQ173" s="368">
        <f t="shared" si="1190"/>
        <v>0</v>
      </c>
      <c r="BR173" s="368">
        <f t="shared" si="1190"/>
        <v>0</v>
      </c>
      <c r="BS173" s="368">
        <f t="shared" si="1190"/>
        <v>0</v>
      </c>
      <c r="BT173" s="368">
        <f t="shared" ref="BT173:BU173" si="1191">BT143-BT192</f>
        <v>0</v>
      </c>
      <c r="BU173" s="368">
        <f t="shared" si="1191"/>
        <v>0</v>
      </c>
      <c r="BV173" s="368">
        <f t="shared" ref="BV173:BZ173" si="1192">BV143-BV192</f>
        <v>0</v>
      </c>
      <c r="BW173" s="368">
        <f t="shared" si="1192"/>
        <v>0</v>
      </c>
      <c r="BX173" s="368">
        <f t="shared" si="1192"/>
        <v>0</v>
      </c>
      <c r="BY173" s="368">
        <f t="shared" si="1192"/>
        <v>0</v>
      </c>
      <c r="BZ173" s="368">
        <f t="shared" si="1192"/>
        <v>0</v>
      </c>
      <c r="CA173" s="368">
        <f t="shared" ref="CA173:CB173" si="1193">CA143-CA192</f>
        <v>0</v>
      </c>
      <c r="CB173" s="368">
        <f t="shared" si="1193"/>
        <v>0</v>
      </c>
      <c r="CC173" s="368">
        <f t="shared" ref="CC173:CD173" si="1194">CC143-CC192</f>
        <v>0</v>
      </c>
      <c r="CD173" s="368">
        <f t="shared" si="1194"/>
        <v>0</v>
      </c>
      <c r="CE173" s="368">
        <f t="shared" ref="CE173:CG173" si="1195">CE143-CE192</f>
        <v>0</v>
      </c>
      <c r="CF173" s="368">
        <f t="shared" si="1195"/>
        <v>0</v>
      </c>
      <c r="CG173" s="368">
        <f t="shared" si="1195"/>
        <v>0</v>
      </c>
      <c r="CH173" s="368">
        <f t="shared" ref="CH173:CI173" si="1196">CH143-CH192</f>
        <v>0</v>
      </c>
      <c r="CI173" s="368">
        <f t="shared" si="1196"/>
        <v>0</v>
      </c>
      <c r="CJ173" s="368">
        <v>0</v>
      </c>
      <c r="CK173" s="368">
        <f t="shared" ref="CK173:CO173" si="1197">CK143-CK192</f>
        <v>0</v>
      </c>
      <c r="CL173" s="368">
        <f t="shared" si="1197"/>
        <v>0</v>
      </c>
      <c r="CM173" s="368">
        <f t="shared" si="1197"/>
        <v>0</v>
      </c>
      <c r="CN173" s="368">
        <f t="shared" si="1197"/>
        <v>0</v>
      </c>
      <c r="CO173" s="368">
        <f t="shared" si="1197"/>
        <v>0</v>
      </c>
    </row>
    <row r="174" spans="1:93" x14ac:dyDescent="0.25">
      <c r="A174" s="335" t="str">
        <f>Language!$G171</f>
        <v>Rio Canoas</v>
      </c>
      <c r="B174" s="368">
        <f t="shared" ref="B174:AM174" si="1198">SUM(B144,-B195,B209)</f>
        <v>-367</v>
      </c>
      <c r="C174" s="368">
        <f t="shared" si="1198"/>
        <v>-811</v>
      </c>
      <c r="D174" s="368">
        <f t="shared" si="1198"/>
        <v>-1721</v>
      </c>
      <c r="E174" s="369">
        <f t="shared" si="1198"/>
        <v>1683</v>
      </c>
      <c r="F174" s="368">
        <f t="shared" si="1198"/>
        <v>-434</v>
      </c>
      <c r="G174" s="368">
        <f t="shared" si="1198"/>
        <v>-471</v>
      </c>
      <c r="H174" s="368">
        <f t="shared" si="1198"/>
        <v>-312</v>
      </c>
      <c r="I174" s="369">
        <f t="shared" si="1198"/>
        <v>-554</v>
      </c>
      <c r="J174" s="368">
        <f t="shared" si="1198"/>
        <v>-547</v>
      </c>
      <c r="K174" s="368">
        <f t="shared" si="1198"/>
        <v>-477</v>
      </c>
      <c r="L174" s="368">
        <f t="shared" si="1198"/>
        <v>-19.245620000001509</v>
      </c>
      <c r="M174" s="369">
        <f t="shared" si="1198"/>
        <v>26517.02562</v>
      </c>
      <c r="N174" s="368">
        <f t="shared" si="1198"/>
        <v>203424</v>
      </c>
      <c r="O174" s="368">
        <f t="shared" si="1198"/>
        <v>3587.4947300000022</v>
      </c>
      <c r="P174" s="368">
        <f t="shared" si="1198"/>
        <v>-1385.8941743299911</v>
      </c>
      <c r="Q174" s="369">
        <f t="shared" si="1198"/>
        <v>3604.3994443299889</v>
      </c>
      <c r="R174" s="368">
        <v>55313</v>
      </c>
      <c r="S174" s="368">
        <v>-4410</v>
      </c>
      <c r="T174" s="368">
        <v>2028</v>
      </c>
      <c r="U174" s="368">
        <v>5234</v>
      </c>
      <c r="V174" s="368">
        <v>50903</v>
      </c>
      <c r="W174" s="368">
        <v>52931</v>
      </c>
      <c r="X174" s="369">
        <v>58165</v>
      </c>
      <c r="Y174" s="368">
        <f t="shared" si="1198"/>
        <v>0</v>
      </c>
      <c r="Z174" s="368">
        <f t="shared" si="1198"/>
        <v>0</v>
      </c>
      <c r="AA174" s="368">
        <f t="shared" si="1198"/>
        <v>0</v>
      </c>
      <c r="AB174" s="368">
        <f t="shared" si="1198"/>
        <v>0</v>
      </c>
      <c r="AC174" s="368">
        <f t="shared" si="1198"/>
        <v>0</v>
      </c>
      <c r="AD174" s="368">
        <f t="shared" si="1198"/>
        <v>0</v>
      </c>
      <c r="AE174" s="369">
        <f t="shared" si="1198"/>
        <v>0</v>
      </c>
      <c r="AF174" s="368">
        <f t="shared" si="1198"/>
        <v>0</v>
      </c>
      <c r="AG174" s="368">
        <f t="shared" si="1198"/>
        <v>0</v>
      </c>
      <c r="AH174" s="368">
        <f t="shared" si="1198"/>
        <v>0</v>
      </c>
      <c r="AI174" s="368">
        <f t="shared" si="1198"/>
        <v>0</v>
      </c>
      <c r="AJ174" s="368">
        <f t="shared" si="1198"/>
        <v>0</v>
      </c>
      <c r="AK174" s="368">
        <f t="shared" si="1198"/>
        <v>0</v>
      </c>
      <c r="AL174" s="369">
        <f t="shared" si="1198"/>
        <v>0</v>
      </c>
      <c r="AM174" s="368">
        <f t="shared" si="1198"/>
        <v>0</v>
      </c>
      <c r="AN174" s="368">
        <f t="shared" si="795"/>
        <v>0</v>
      </c>
      <c r="AO174" s="368">
        <f t="shared" si="796"/>
        <v>0</v>
      </c>
      <c r="AP174" s="368">
        <f t="shared" si="796"/>
        <v>0</v>
      </c>
      <c r="AQ174" s="368">
        <f t="shared" ref="AQ174" si="1199">SUM(AQ144,-AQ195,AQ209)</f>
        <v>0</v>
      </c>
      <c r="AR174" s="368">
        <f t="shared" ref="AR174:BA174" si="1200">AR144-AR195</f>
        <v>0</v>
      </c>
      <c r="AS174" s="369">
        <f t="shared" si="1200"/>
        <v>0</v>
      </c>
      <c r="AT174" s="368">
        <f t="shared" si="1200"/>
        <v>0</v>
      </c>
      <c r="AU174" s="368">
        <f t="shared" si="1200"/>
        <v>0</v>
      </c>
      <c r="AV174" s="368">
        <f t="shared" si="1200"/>
        <v>0</v>
      </c>
      <c r="AW174" s="368">
        <f t="shared" si="1200"/>
        <v>0</v>
      </c>
      <c r="AX174" s="368">
        <f t="shared" si="1200"/>
        <v>0</v>
      </c>
      <c r="AY174" s="368">
        <f t="shared" si="1200"/>
        <v>0</v>
      </c>
      <c r="AZ174" s="368">
        <f t="shared" si="1200"/>
        <v>0</v>
      </c>
      <c r="BA174" s="368">
        <f t="shared" si="1200"/>
        <v>0</v>
      </c>
      <c r="BB174" s="368">
        <f t="shared" ref="BB174:BD174" si="1201">BB144-BB195</f>
        <v>0</v>
      </c>
      <c r="BC174" s="368">
        <f t="shared" si="1201"/>
        <v>0</v>
      </c>
      <c r="BD174" s="368">
        <f t="shared" si="1201"/>
        <v>0</v>
      </c>
      <c r="BE174" s="368">
        <f>BE144-BE195</f>
        <v>0</v>
      </c>
      <c r="BF174" s="368">
        <f>BF144-BF195</f>
        <v>0</v>
      </c>
      <c r="BG174" s="368">
        <f>BG144-BG195</f>
        <v>0</v>
      </c>
      <c r="BH174" s="368">
        <f>BH144-BH195</f>
        <v>0</v>
      </c>
      <c r="BI174" s="368">
        <f t="shared" ref="BI174:BL174" si="1202">BI144-BI195</f>
        <v>0</v>
      </c>
      <c r="BJ174" s="368">
        <f t="shared" si="1202"/>
        <v>0</v>
      </c>
      <c r="BK174" s="368">
        <f t="shared" si="1202"/>
        <v>0</v>
      </c>
      <c r="BL174" s="368">
        <f t="shared" si="1202"/>
        <v>0</v>
      </c>
      <c r="BM174" s="368">
        <f t="shared" ref="BM174:BN174" si="1203">BM144-BM195</f>
        <v>0</v>
      </c>
      <c r="BN174" s="368">
        <f t="shared" si="1203"/>
        <v>0</v>
      </c>
      <c r="BO174" s="368">
        <f t="shared" ref="BO174:BS174" si="1204">BO144-BO195</f>
        <v>0</v>
      </c>
      <c r="BP174" s="368">
        <f t="shared" ref="BP174" si="1205">BP144-BP193</f>
        <v>0</v>
      </c>
      <c r="BQ174" s="368">
        <f t="shared" si="1204"/>
        <v>0</v>
      </c>
      <c r="BR174" s="368">
        <f t="shared" si="1204"/>
        <v>0</v>
      </c>
      <c r="BS174" s="368">
        <f t="shared" si="1204"/>
        <v>0</v>
      </c>
      <c r="BT174" s="368">
        <f t="shared" ref="BT174:BU174" si="1206">BT144-BT195</f>
        <v>0</v>
      </c>
      <c r="BU174" s="368">
        <f t="shared" si="1206"/>
        <v>0</v>
      </c>
      <c r="BV174" s="368">
        <f t="shared" ref="BV174:BZ174" si="1207">BV144-BV195</f>
        <v>0</v>
      </c>
      <c r="BW174" s="368">
        <f t="shared" si="1207"/>
        <v>0</v>
      </c>
      <c r="BX174" s="368">
        <f t="shared" si="1207"/>
        <v>0</v>
      </c>
      <c r="BY174" s="368">
        <f t="shared" si="1207"/>
        <v>0</v>
      </c>
      <c r="BZ174" s="368">
        <f t="shared" si="1207"/>
        <v>0</v>
      </c>
      <c r="CA174" s="368">
        <f t="shared" ref="CA174:CB174" si="1208">CA144-CA195</f>
        <v>0</v>
      </c>
      <c r="CB174" s="368">
        <f t="shared" si="1208"/>
        <v>0</v>
      </c>
      <c r="CC174" s="368">
        <f t="shared" ref="CC174:CD174" si="1209">CC144-CC195</f>
        <v>0</v>
      </c>
      <c r="CD174" s="368">
        <f t="shared" si="1209"/>
        <v>0</v>
      </c>
      <c r="CE174" s="368">
        <f t="shared" ref="CE174:CG174" si="1210">CE144-CE195</f>
        <v>0</v>
      </c>
      <c r="CF174" s="368">
        <f t="shared" si="1210"/>
        <v>0</v>
      </c>
      <c r="CG174" s="368">
        <f t="shared" si="1210"/>
        <v>0</v>
      </c>
      <c r="CH174" s="368">
        <f t="shared" ref="CH174:CI174" si="1211">CH144-CH195</f>
        <v>0</v>
      </c>
      <c r="CI174" s="368">
        <f t="shared" si="1211"/>
        <v>0</v>
      </c>
      <c r="CJ174" s="368">
        <v>0</v>
      </c>
      <c r="CK174" s="368">
        <f t="shared" ref="CK174:CO174" si="1212">CK144-CK195</f>
        <v>0</v>
      </c>
      <c r="CL174" s="368">
        <f t="shared" si="1212"/>
        <v>0</v>
      </c>
      <c r="CM174" s="368">
        <f t="shared" si="1212"/>
        <v>0</v>
      </c>
      <c r="CN174" s="368">
        <f t="shared" si="1212"/>
        <v>0</v>
      </c>
      <c r="CO174" s="368">
        <f t="shared" si="1212"/>
        <v>0</v>
      </c>
    </row>
    <row r="175" spans="1:93" x14ac:dyDescent="0.25">
      <c r="A175" s="335" t="str">
        <f>Language!$G172</f>
        <v>Tijoá</v>
      </c>
      <c r="B175" s="368">
        <f t="shared" ref="B175:AM175" si="1213">SUM(B145,-B198,B210)</f>
        <v>0</v>
      </c>
      <c r="C175" s="368">
        <f t="shared" si="1213"/>
        <v>0</v>
      </c>
      <c r="D175" s="368">
        <f t="shared" si="1213"/>
        <v>0</v>
      </c>
      <c r="E175" s="369">
        <f t="shared" si="1213"/>
        <v>0</v>
      </c>
      <c r="F175" s="368">
        <f t="shared" si="1213"/>
        <v>0</v>
      </c>
      <c r="G175" s="368">
        <f t="shared" si="1213"/>
        <v>0</v>
      </c>
      <c r="H175" s="368">
        <f t="shared" si="1213"/>
        <v>0</v>
      </c>
      <c r="I175" s="369">
        <f t="shared" si="1213"/>
        <v>0</v>
      </c>
      <c r="J175" s="368">
        <f t="shared" si="1213"/>
        <v>0</v>
      </c>
      <c r="K175" s="368">
        <f t="shared" si="1213"/>
        <v>0</v>
      </c>
      <c r="L175" s="368">
        <f t="shared" si="1213"/>
        <v>0</v>
      </c>
      <c r="M175" s="369">
        <f t="shared" si="1213"/>
        <v>0</v>
      </c>
      <c r="N175" s="368">
        <f t="shared" si="1213"/>
        <v>0</v>
      </c>
      <c r="O175" s="368">
        <f t="shared" si="1213"/>
        <v>0</v>
      </c>
      <c r="P175" s="368">
        <f t="shared" si="1213"/>
        <v>0</v>
      </c>
      <c r="Q175" s="369">
        <f t="shared" si="1213"/>
        <v>0</v>
      </c>
      <c r="R175" s="368">
        <v>-762</v>
      </c>
      <c r="S175" s="368">
        <v>2271</v>
      </c>
      <c r="T175" s="368">
        <v>6613</v>
      </c>
      <c r="U175" s="368">
        <v>256</v>
      </c>
      <c r="V175" s="368">
        <v>1509</v>
      </c>
      <c r="W175" s="368">
        <v>8122</v>
      </c>
      <c r="X175" s="369">
        <v>8378</v>
      </c>
      <c r="Y175" s="368">
        <f t="shared" si="1213"/>
        <v>2182</v>
      </c>
      <c r="Z175" s="368">
        <f t="shared" si="1213"/>
        <v>2012</v>
      </c>
      <c r="AA175" s="368">
        <f t="shared" si="1213"/>
        <v>-60</v>
      </c>
      <c r="AB175" s="368">
        <f t="shared" si="1213"/>
        <v>1974</v>
      </c>
      <c r="AC175" s="368">
        <f t="shared" si="1213"/>
        <v>4194</v>
      </c>
      <c r="AD175" s="368">
        <f t="shared" si="1213"/>
        <v>4134</v>
      </c>
      <c r="AE175" s="369">
        <f t="shared" si="1213"/>
        <v>6108</v>
      </c>
      <c r="AF175" s="368">
        <f t="shared" si="1213"/>
        <v>1967</v>
      </c>
      <c r="AG175" s="368">
        <f t="shared" si="1213"/>
        <v>2573</v>
      </c>
      <c r="AH175" s="368">
        <f t="shared" si="1213"/>
        <v>6991</v>
      </c>
      <c r="AI175" s="368">
        <f t="shared" si="1213"/>
        <v>7753</v>
      </c>
      <c r="AJ175" s="368">
        <f t="shared" si="1213"/>
        <v>4540</v>
      </c>
      <c r="AK175" s="368">
        <f t="shared" si="1213"/>
        <v>11531</v>
      </c>
      <c r="AL175" s="369">
        <f t="shared" si="1213"/>
        <v>15028</v>
      </c>
      <c r="AM175" s="368">
        <f t="shared" si="1213"/>
        <v>2286</v>
      </c>
      <c r="AN175" s="368">
        <f t="shared" si="795"/>
        <v>2195</v>
      </c>
      <c r="AO175" s="368">
        <f t="shared" si="796"/>
        <v>10975</v>
      </c>
      <c r="AP175" s="368">
        <f t="shared" si="796"/>
        <v>9346.7300441235457</v>
      </c>
      <c r="AQ175" s="368">
        <f t="shared" ref="AQ175" si="1214">SUM(AQ145,-AQ198,AQ210)</f>
        <v>4481</v>
      </c>
      <c r="AR175" s="368">
        <f t="shared" ref="AR175:BA175" si="1215">AR145-AR198</f>
        <v>15456</v>
      </c>
      <c r="AS175" s="369">
        <f t="shared" si="1215"/>
        <v>24802.730044123546</v>
      </c>
      <c r="AT175" s="368">
        <f t="shared" si="1215"/>
        <v>10743</v>
      </c>
      <c r="AU175" s="368">
        <f t="shared" si="1215"/>
        <v>11174</v>
      </c>
      <c r="AV175" s="368">
        <f t="shared" si="1215"/>
        <v>12014</v>
      </c>
      <c r="AW175" s="368">
        <f t="shared" si="1215"/>
        <v>10262</v>
      </c>
      <c r="AX175" s="368">
        <f t="shared" si="1215"/>
        <v>21917</v>
      </c>
      <c r="AY175" s="368">
        <f>AY145-AY198</f>
        <v>33931</v>
      </c>
      <c r="AZ175" s="368">
        <f t="shared" si="1215"/>
        <v>44193</v>
      </c>
      <c r="BA175" s="368">
        <f t="shared" si="1215"/>
        <v>12015</v>
      </c>
      <c r="BB175" s="368">
        <f t="shared" ref="BB175:BD175" si="1216">BB145-BB198</f>
        <v>12380</v>
      </c>
      <c r="BC175" s="368">
        <f t="shared" si="1216"/>
        <v>13730</v>
      </c>
      <c r="BD175" s="368">
        <f t="shared" si="1216"/>
        <v>12197</v>
      </c>
      <c r="BE175" s="368">
        <f>BE145-BE198</f>
        <v>24395</v>
      </c>
      <c r="BF175" s="368">
        <f>BF145-BF198</f>
        <v>38125</v>
      </c>
      <c r="BG175" s="368">
        <f>BG145-BG198</f>
        <v>50322</v>
      </c>
      <c r="BH175" s="368">
        <f>BH145-BH198</f>
        <v>13172</v>
      </c>
      <c r="BI175" s="368">
        <f t="shared" ref="BI175:BL175" si="1217">BI145-BI198</f>
        <v>12347</v>
      </c>
      <c r="BJ175" s="368">
        <f t="shared" si="1217"/>
        <v>15207</v>
      </c>
      <c r="BK175" s="368">
        <f t="shared" si="1217"/>
        <v>13510</v>
      </c>
      <c r="BL175" s="368">
        <f t="shared" si="1217"/>
        <v>25519</v>
      </c>
      <c r="BM175" s="368">
        <f t="shared" ref="BM175:BN175" si="1218">BM145-BM198</f>
        <v>40726</v>
      </c>
      <c r="BN175" s="368">
        <f t="shared" si="1218"/>
        <v>54236</v>
      </c>
      <c r="BO175" s="368">
        <f t="shared" ref="BO175:BS175" si="1219">BO145-BO198</f>
        <v>14267</v>
      </c>
      <c r="BP175" s="368">
        <f t="shared" ref="BP175" si="1220">BP145-BP194</f>
        <v>14465</v>
      </c>
      <c r="BQ175" s="368">
        <f t="shared" si="1219"/>
        <v>17619</v>
      </c>
      <c r="BR175" s="368">
        <f>BR145-BR198</f>
        <v>15777</v>
      </c>
      <c r="BS175" s="368">
        <f t="shared" si="1219"/>
        <v>29546</v>
      </c>
      <c r="BT175" s="368">
        <f>BT145-BT198</f>
        <v>47165</v>
      </c>
      <c r="BU175" s="368">
        <f>BU145-BU198</f>
        <v>62942</v>
      </c>
      <c r="BV175" s="368">
        <f>BV145-BV198</f>
        <v>17827</v>
      </c>
      <c r="BW175" s="368">
        <f t="shared" ref="BW175:BZ175" si="1221">BW145-BW198</f>
        <v>17321</v>
      </c>
      <c r="BX175" s="368">
        <f t="shared" si="1221"/>
        <v>17790</v>
      </c>
      <c r="BY175" s="368">
        <f t="shared" si="1221"/>
        <v>15865</v>
      </c>
      <c r="BZ175" s="368">
        <f t="shared" si="1221"/>
        <v>35148</v>
      </c>
      <c r="CA175" s="368">
        <f t="shared" ref="CA175" si="1222">CA145-CA198</f>
        <v>52938</v>
      </c>
      <c r="CB175" s="368">
        <f>CB145-CB198</f>
        <v>68803</v>
      </c>
      <c r="CC175" s="368">
        <f>CC145-CC198</f>
        <v>17041</v>
      </c>
      <c r="CD175" s="368">
        <f>CD145-CD198</f>
        <v>16834</v>
      </c>
      <c r="CE175" s="368">
        <f t="shared" ref="CE175:CF175" si="1223">CE145-CE198</f>
        <v>17502</v>
      </c>
      <c r="CF175" s="368">
        <f t="shared" si="1223"/>
        <v>16571</v>
      </c>
      <c r="CG175" s="368">
        <f>CG145-CG198</f>
        <v>33875</v>
      </c>
      <c r="CH175" s="368">
        <f t="shared" ref="CH175:CI175" si="1224">CH145-CH198</f>
        <v>51377</v>
      </c>
      <c r="CI175" s="368">
        <f t="shared" si="1224"/>
        <v>67948</v>
      </c>
      <c r="CJ175" s="368">
        <v>17946</v>
      </c>
      <c r="CK175" s="368">
        <f t="shared" ref="CK175:CO175" si="1225">CK145-CK198</f>
        <v>18092</v>
      </c>
      <c r="CL175" s="368">
        <f t="shared" si="1225"/>
        <v>0</v>
      </c>
      <c r="CM175" s="368">
        <f t="shared" si="1225"/>
        <v>0</v>
      </c>
      <c r="CN175" s="368">
        <f t="shared" si="1225"/>
        <v>36038</v>
      </c>
      <c r="CO175" s="368">
        <f t="shared" si="1225"/>
        <v>0</v>
      </c>
    </row>
    <row r="176" spans="1:93" x14ac:dyDescent="0.25">
      <c r="A176" s="370" t="str">
        <f>Language!$G173</f>
        <v>Outros</v>
      </c>
      <c r="B176" s="371">
        <f t="shared" ref="B176:Q176" si="1226">SUM(B146,-B202,B211)</f>
        <v>-22</v>
      </c>
      <c r="C176" s="371">
        <f t="shared" si="1226"/>
        <v>-85</v>
      </c>
      <c r="D176" s="371">
        <f t="shared" si="1226"/>
        <v>104</v>
      </c>
      <c r="E176" s="372">
        <f t="shared" si="1226"/>
        <v>-7</v>
      </c>
      <c r="F176" s="371">
        <f t="shared" si="1226"/>
        <v>0</v>
      </c>
      <c r="G176" s="371">
        <f t="shared" si="1226"/>
        <v>-2</v>
      </c>
      <c r="H176" s="371">
        <f t="shared" si="1226"/>
        <v>-63</v>
      </c>
      <c r="I176" s="372">
        <f t="shared" si="1226"/>
        <v>-264</v>
      </c>
      <c r="J176" s="371">
        <f t="shared" si="1226"/>
        <v>13111</v>
      </c>
      <c r="K176" s="371">
        <f t="shared" si="1226"/>
        <v>-362</v>
      </c>
      <c r="L176" s="371">
        <f t="shared" si="1226"/>
        <v>-8091</v>
      </c>
      <c r="M176" s="372">
        <f t="shared" si="1226"/>
        <v>324</v>
      </c>
      <c r="N176" s="371">
        <f t="shared" si="1226"/>
        <v>-227</v>
      </c>
      <c r="O176" s="371">
        <f t="shared" si="1226"/>
        <v>-422</v>
      </c>
      <c r="P176" s="371">
        <f t="shared" si="1226"/>
        <v>-396.99999112202204</v>
      </c>
      <c r="Q176" s="372">
        <f t="shared" si="1226"/>
        <v>-1138.000008877978</v>
      </c>
      <c r="R176" s="371">
        <v>-688</v>
      </c>
      <c r="S176" s="371">
        <v>8718</v>
      </c>
      <c r="T176" s="371">
        <v>2364</v>
      </c>
      <c r="U176" s="371">
        <v>621</v>
      </c>
      <c r="V176" s="371">
        <v>2183</v>
      </c>
      <c r="W176" s="371">
        <v>4547</v>
      </c>
      <c r="X176" s="372">
        <v>5168</v>
      </c>
      <c r="Y176" s="371">
        <f t="shared" ref="Y176:AM176" si="1227">SUM(Y146,-Y201,Y211)</f>
        <v>0</v>
      </c>
      <c r="Z176" s="371">
        <f t="shared" si="1227"/>
        <v>0</v>
      </c>
      <c r="AA176" s="371">
        <f t="shared" si="1227"/>
        <v>1340</v>
      </c>
      <c r="AB176" s="371">
        <f t="shared" si="1227"/>
        <v>473</v>
      </c>
      <c r="AC176" s="371">
        <f t="shared" si="1227"/>
        <v>0</v>
      </c>
      <c r="AD176" s="371">
        <f t="shared" si="1227"/>
        <v>1340</v>
      </c>
      <c r="AE176" s="372">
        <f t="shared" si="1227"/>
        <v>1813</v>
      </c>
      <c r="AF176" s="371">
        <f t="shared" si="1227"/>
        <v>486</v>
      </c>
      <c r="AG176" s="371">
        <f t="shared" si="1227"/>
        <v>486</v>
      </c>
      <c r="AH176" s="371">
        <f t="shared" si="1227"/>
        <v>-4303</v>
      </c>
      <c r="AI176" s="371">
        <f t="shared" si="1227"/>
        <v>7569</v>
      </c>
      <c r="AJ176" s="371">
        <f t="shared" si="1227"/>
        <v>972</v>
      </c>
      <c r="AK176" s="371">
        <f t="shared" si="1227"/>
        <v>-3331</v>
      </c>
      <c r="AL176" s="372">
        <f t="shared" si="1227"/>
        <v>746</v>
      </c>
      <c r="AM176" s="371">
        <f t="shared" si="1227"/>
        <v>690</v>
      </c>
      <c r="AN176" s="371">
        <f t="shared" si="795"/>
        <v>196</v>
      </c>
      <c r="AO176" s="371">
        <f t="shared" si="796"/>
        <v>583</v>
      </c>
      <c r="AP176" s="371">
        <f t="shared" si="796"/>
        <v>-35.730044123546122</v>
      </c>
      <c r="AQ176" s="371">
        <f t="shared" ref="AQ176" si="1228">SUM(AQ146,-AQ201,AQ211)</f>
        <v>886</v>
      </c>
      <c r="AR176" s="368">
        <f t="shared" ref="AR176:BA176" si="1229">AR146-AR201</f>
        <v>1469</v>
      </c>
      <c r="AS176" s="372">
        <f t="shared" si="1229"/>
        <v>1433.2699558764539</v>
      </c>
      <c r="AT176" s="371">
        <f t="shared" si="1229"/>
        <v>61.999999999999773</v>
      </c>
      <c r="AU176" s="371">
        <f t="shared" si="1229"/>
        <v>167</v>
      </c>
      <c r="AV176" s="371">
        <f t="shared" si="1229"/>
        <v>555</v>
      </c>
      <c r="AW176" s="371">
        <f t="shared" si="1229"/>
        <v>322</v>
      </c>
      <c r="AX176" s="371">
        <f t="shared" si="1229"/>
        <v>228.99999999999955</v>
      </c>
      <c r="AY176" s="371">
        <f t="shared" si="1229"/>
        <v>784</v>
      </c>
      <c r="AZ176" s="371">
        <f t="shared" si="1229"/>
        <v>1106</v>
      </c>
      <c r="BA176" s="371">
        <f t="shared" si="1229"/>
        <v>-236</v>
      </c>
      <c r="BB176" s="371">
        <f t="shared" ref="BB176:BD176" si="1230">BB146-BB201</f>
        <v>7</v>
      </c>
      <c r="BC176" s="371">
        <f t="shared" si="1230"/>
        <v>136</v>
      </c>
      <c r="BD176" s="371">
        <f t="shared" si="1230"/>
        <v>-28</v>
      </c>
      <c r="BE176" s="371">
        <f>BE146-BE201</f>
        <v>-229</v>
      </c>
      <c r="BF176" s="371">
        <f>BF146-BF201</f>
        <v>-93</v>
      </c>
      <c r="BG176" s="371">
        <f>BG146-BG201</f>
        <v>-121</v>
      </c>
      <c r="BH176" s="371">
        <f>BH146-BH201</f>
        <v>-24</v>
      </c>
      <c r="BI176" s="371">
        <f t="shared" ref="BI176:BL176" si="1231">BI146-BI201</f>
        <v>-44</v>
      </c>
      <c r="BJ176" s="371">
        <f t="shared" si="1231"/>
        <v>-51</v>
      </c>
      <c r="BK176" s="371">
        <f t="shared" si="1231"/>
        <v>-52</v>
      </c>
      <c r="BL176" s="371">
        <f t="shared" si="1231"/>
        <v>-68</v>
      </c>
      <c r="BM176" s="371">
        <f t="shared" ref="BM176:BN176" si="1232">BM146-BM201</f>
        <v>-119</v>
      </c>
      <c r="BN176" s="371">
        <f t="shared" si="1232"/>
        <v>-171</v>
      </c>
      <c r="BO176" s="371">
        <f t="shared" ref="BO176:BS176" si="1233">BO146-BO201</f>
        <v>-124</v>
      </c>
      <c r="BP176" s="371">
        <f t="shared" ref="BP176" si="1234">BP146-BP195</f>
        <v>-126</v>
      </c>
      <c r="BQ176" s="371">
        <f t="shared" si="1233"/>
        <v>-179</v>
      </c>
      <c r="BR176" s="371">
        <f t="shared" si="1233"/>
        <v>-12</v>
      </c>
      <c r="BS176" s="371">
        <f t="shared" si="1233"/>
        <v>-261</v>
      </c>
      <c r="BT176" s="371">
        <f t="shared" ref="BT176:BU176" si="1235">BT146-BT201</f>
        <v>-451</v>
      </c>
      <c r="BU176" s="371">
        <f t="shared" si="1235"/>
        <v>-453</v>
      </c>
      <c r="BV176" s="371">
        <f t="shared" ref="BV176:BZ176" si="1236">BV146-BV201</f>
        <v>-65</v>
      </c>
      <c r="BW176" s="371">
        <f t="shared" si="1236"/>
        <v>-21</v>
      </c>
      <c r="BX176" s="371">
        <f t="shared" si="1236"/>
        <v>-42</v>
      </c>
      <c r="BY176" s="371">
        <f t="shared" si="1236"/>
        <v>-14</v>
      </c>
      <c r="BZ176" s="371">
        <f t="shared" si="1236"/>
        <v>-86</v>
      </c>
      <c r="CA176" s="371">
        <f t="shared" ref="CA176:CB176" si="1237">CA146-CA201</f>
        <v>-128</v>
      </c>
      <c r="CB176" s="371">
        <f t="shared" si="1237"/>
        <v>-142</v>
      </c>
      <c r="CC176" s="371">
        <f t="shared" ref="CC176:CD176" si="1238">CC146-CC201</f>
        <v>-202</v>
      </c>
      <c r="CD176" s="371">
        <f t="shared" si="1238"/>
        <v>-21</v>
      </c>
      <c r="CE176" s="371">
        <f t="shared" ref="CE176:CG176" si="1239">CE146-CE201</f>
        <v>-29</v>
      </c>
      <c r="CF176" s="371">
        <f t="shared" si="1239"/>
        <v>-191</v>
      </c>
      <c r="CG176" s="371">
        <f t="shared" si="1239"/>
        <v>-223</v>
      </c>
      <c r="CH176" s="371">
        <f t="shared" ref="CH176:CI176" si="1240">CH146-CH201</f>
        <v>-252</v>
      </c>
      <c r="CI176" s="371">
        <f t="shared" si="1240"/>
        <v>-443</v>
      </c>
      <c r="CJ176" s="371">
        <v>-1792</v>
      </c>
      <c r="CK176" s="371">
        <f t="shared" ref="CK176:CO176" si="1241">CK146-CK201</f>
        <v>-1167</v>
      </c>
      <c r="CL176" s="371">
        <f t="shared" si="1241"/>
        <v>0</v>
      </c>
      <c r="CM176" s="371">
        <f t="shared" si="1241"/>
        <v>0</v>
      </c>
      <c r="CN176" s="371">
        <f t="shared" si="1241"/>
        <v>-2959</v>
      </c>
      <c r="CO176" s="371">
        <f t="shared" si="1241"/>
        <v>0</v>
      </c>
    </row>
    <row r="177" spans="1:93" x14ac:dyDescent="0.25">
      <c r="M177" s="384"/>
      <c r="N177" s="384"/>
      <c r="O177" s="384"/>
      <c r="P177" s="384"/>
      <c r="Q177" s="384"/>
      <c r="R177" s="384"/>
      <c r="S177" s="384"/>
      <c r="T177" s="384"/>
      <c r="U177" s="384"/>
      <c r="V177" s="384"/>
      <c r="W177" s="384"/>
      <c r="X177" s="384"/>
      <c r="Y177" s="384"/>
      <c r="Z177" s="384"/>
      <c r="AA177" s="384"/>
      <c r="AB177" s="384"/>
      <c r="AC177" s="384"/>
      <c r="AD177" s="384"/>
      <c r="AE177" s="384"/>
      <c r="AF177" s="384"/>
      <c r="AG177" s="384"/>
      <c r="AH177" s="384"/>
      <c r="AI177" s="384"/>
      <c r="AJ177" s="384"/>
      <c r="AK177" s="384"/>
      <c r="AL177" s="384"/>
      <c r="AM177" s="384"/>
      <c r="AN177" s="384"/>
      <c r="AO177" s="384"/>
      <c r="AP177" s="384"/>
      <c r="AQ177" s="384"/>
      <c r="AR177" s="384"/>
      <c r="AS177" s="384"/>
      <c r="AT177" s="384"/>
      <c r="AU177" s="384"/>
      <c r="AV177" s="384"/>
      <c r="AW177" s="384"/>
      <c r="AX177" s="384"/>
      <c r="AY177" s="384"/>
      <c r="AZ177" s="384"/>
      <c r="BA177" s="384"/>
      <c r="BB177" s="384"/>
      <c r="BC177" s="384"/>
      <c r="BD177" s="384"/>
      <c r="BE177" s="384"/>
      <c r="BF177" s="384"/>
    </row>
    <row r="178" spans="1:93" x14ac:dyDescent="0.25">
      <c r="AK178" s="310"/>
      <c r="AN178" s="310"/>
      <c r="AO178" s="310"/>
      <c r="AP178" s="310"/>
      <c r="AQ178" s="310"/>
      <c r="AR178" s="310"/>
    </row>
    <row r="179" spans="1:93" ht="13" x14ac:dyDescent="0.3">
      <c r="A179" s="385" t="str">
        <f>Language!$G176</f>
        <v>Dados</v>
      </c>
      <c r="B179" s="385"/>
      <c r="C179" s="385"/>
      <c r="D179" s="385"/>
      <c r="E179" s="386"/>
      <c r="F179" s="385"/>
      <c r="G179" s="385"/>
      <c r="H179" s="385"/>
      <c r="I179" s="386"/>
      <c r="J179" s="385"/>
      <c r="K179" s="385"/>
      <c r="L179" s="385"/>
      <c r="M179" s="387"/>
      <c r="N179" s="387"/>
      <c r="O179" s="387"/>
      <c r="P179" s="387"/>
      <c r="Q179" s="387"/>
      <c r="R179" s="387"/>
      <c r="S179" s="387"/>
      <c r="T179" s="387"/>
      <c r="U179" s="387"/>
      <c r="V179" s="387"/>
      <c r="W179" s="387"/>
      <c r="X179" s="387"/>
      <c r="Y179" s="387"/>
      <c r="Z179" s="387"/>
      <c r="AA179" s="387"/>
      <c r="AB179" s="387"/>
      <c r="AC179" s="387"/>
      <c r="AD179" s="387"/>
      <c r="AE179" s="387"/>
      <c r="AF179" s="387"/>
      <c r="AG179" s="387"/>
      <c r="AH179" s="387"/>
      <c r="AI179" s="387"/>
      <c r="AJ179" s="387"/>
      <c r="AK179" s="387"/>
      <c r="AL179" s="387"/>
      <c r="AM179" s="387"/>
      <c r="AN179" s="387"/>
      <c r="AO179" s="387"/>
      <c r="AP179" s="387"/>
      <c r="AQ179" s="387"/>
      <c r="AR179" s="387"/>
      <c r="AS179" s="387"/>
      <c r="AT179" s="387"/>
      <c r="AU179" s="387"/>
      <c r="AV179" s="387"/>
      <c r="AW179" s="387"/>
      <c r="AX179" s="387"/>
      <c r="AY179" s="387"/>
      <c r="AZ179" s="387"/>
      <c r="BA179" s="387"/>
      <c r="BB179" s="387"/>
      <c r="BC179" s="387"/>
      <c r="BD179" s="387"/>
      <c r="BE179" s="387"/>
      <c r="BF179" s="387"/>
      <c r="BG179" s="387"/>
      <c r="BH179" s="387"/>
      <c r="BI179" s="387"/>
      <c r="BJ179" s="387"/>
      <c r="BK179" s="387"/>
      <c r="BL179" s="387"/>
      <c r="BM179" s="387"/>
      <c r="BN179" s="387"/>
      <c r="BO179" s="387"/>
      <c r="BP179" s="387"/>
      <c r="BQ179" s="387"/>
      <c r="BR179" s="387"/>
      <c r="BS179" s="387"/>
      <c r="BT179" s="387"/>
      <c r="BU179" s="387"/>
      <c r="BV179" s="387"/>
      <c r="BW179" s="387"/>
      <c r="BX179" s="387"/>
      <c r="BY179" s="387"/>
      <c r="BZ179" s="387"/>
      <c r="CA179" s="387"/>
      <c r="CB179" s="387"/>
      <c r="CC179" s="387"/>
      <c r="CD179" s="387"/>
      <c r="CE179" s="387"/>
      <c r="CF179" s="387"/>
      <c r="CG179" s="387"/>
      <c r="CH179" s="387"/>
      <c r="CI179" s="387"/>
      <c r="CJ179" s="387"/>
      <c r="CK179" s="387"/>
      <c r="CL179" s="387"/>
      <c r="CM179" s="387"/>
      <c r="CN179" s="387"/>
      <c r="CO179" s="387"/>
    </row>
    <row r="180" spans="1:93" ht="13" x14ac:dyDescent="0.3">
      <c r="A180" s="366" t="str">
        <f>Language!$G181</f>
        <v>Participação</v>
      </c>
      <c r="B180" s="388"/>
      <c r="C180" s="388"/>
      <c r="D180" s="388"/>
      <c r="E180" s="389"/>
      <c r="F180" s="388"/>
      <c r="G180" s="388"/>
      <c r="H180" s="388"/>
      <c r="I180" s="389"/>
      <c r="J180" s="388"/>
      <c r="K180" s="388"/>
      <c r="L180" s="388"/>
      <c r="M180" s="389"/>
      <c r="N180" s="388"/>
      <c r="O180" s="388"/>
      <c r="P180" s="388"/>
      <c r="Q180" s="389"/>
      <c r="R180" s="388"/>
      <c r="S180" s="388"/>
      <c r="T180" s="388"/>
      <c r="U180" s="388"/>
      <c r="V180" s="388"/>
      <c r="W180" s="388"/>
      <c r="X180" s="389"/>
      <c r="Y180" s="388"/>
      <c r="Z180" s="388"/>
      <c r="AA180" s="388"/>
      <c r="AB180" s="388"/>
      <c r="AC180" s="388"/>
      <c r="AD180" s="388"/>
      <c r="AE180" s="389"/>
      <c r="AF180" s="388"/>
      <c r="AG180" s="388"/>
      <c r="AH180" s="388"/>
      <c r="AI180" s="388"/>
      <c r="AJ180" s="388"/>
      <c r="AK180" s="388"/>
      <c r="AL180" s="389"/>
      <c r="AM180" s="388"/>
      <c r="AN180" s="388"/>
      <c r="AO180" s="388"/>
      <c r="AP180" s="388"/>
      <c r="AQ180" s="388"/>
      <c r="AR180" s="388"/>
      <c r="AS180" s="389"/>
      <c r="AT180" s="388"/>
      <c r="AU180" s="388"/>
      <c r="AV180" s="388"/>
      <c r="AW180" s="388"/>
      <c r="AX180" s="388"/>
      <c r="AY180" s="388"/>
      <c r="AZ180" s="388"/>
      <c r="BA180" s="388"/>
      <c r="BB180" s="388"/>
      <c r="BC180" s="388"/>
      <c r="BD180" s="388"/>
      <c r="BE180" s="388"/>
      <c r="BF180" s="388"/>
      <c r="BG180" s="388"/>
      <c r="BH180" s="388"/>
      <c r="BI180" s="388"/>
      <c r="BJ180" s="388"/>
      <c r="BK180" s="388"/>
      <c r="BL180" s="388"/>
      <c r="BM180" s="388"/>
      <c r="BN180" s="388"/>
      <c r="BO180" s="388"/>
      <c r="BP180" s="388"/>
      <c r="BQ180" s="388"/>
      <c r="BR180" s="388"/>
      <c r="BS180" s="388"/>
      <c r="BT180" s="388"/>
      <c r="BU180" s="388"/>
      <c r="BV180" s="388"/>
      <c r="BW180" s="388"/>
      <c r="BX180" s="388"/>
      <c r="BY180" s="388"/>
      <c r="BZ180" s="388"/>
      <c r="CA180" s="388"/>
      <c r="CB180" s="388"/>
      <c r="CC180" s="388"/>
      <c r="CD180" s="388"/>
      <c r="CE180" s="388"/>
      <c r="CF180" s="388"/>
      <c r="CG180" s="388"/>
      <c r="CH180" s="388"/>
      <c r="CI180" s="388"/>
      <c r="CJ180" s="388"/>
      <c r="CK180" s="388"/>
      <c r="CL180" s="388"/>
      <c r="CM180" s="388"/>
      <c r="CN180" s="388"/>
      <c r="CO180" s="388"/>
    </row>
    <row r="181" spans="1:93" x14ac:dyDescent="0.25">
      <c r="A181" s="340" t="str">
        <f>Language!$G182</f>
        <v>Rio Verde</v>
      </c>
      <c r="B181" s="390">
        <v>1</v>
      </c>
      <c r="C181" s="390">
        <v>1</v>
      </c>
      <c r="D181" s="390">
        <v>1</v>
      </c>
      <c r="E181" s="391">
        <v>1</v>
      </c>
      <c r="F181" s="390">
        <v>1</v>
      </c>
      <c r="G181" s="390">
        <v>1</v>
      </c>
      <c r="H181" s="390">
        <v>1</v>
      </c>
      <c r="I181" s="391">
        <v>1</v>
      </c>
      <c r="J181" s="390">
        <v>1</v>
      </c>
      <c r="K181" s="390">
        <v>1</v>
      </c>
      <c r="L181" s="390">
        <v>1</v>
      </c>
      <c r="M181" s="391">
        <v>1</v>
      </c>
      <c r="N181" s="390">
        <v>1</v>
      </c>
      <c r="O181" s="390">
        <v>1</v>
      </c>
      <c r="P181" s="390">
        <v>1</v>
      </c>
      <c r="Q181" s="391">
        <v>1</v>
      </c>
      <c r="R181" s="390">
        <v>1</v>
      </c>
      <c r="S181" s="390">
        <v>1</v>
      </c>
      <c r="T181" s="390">
        <v>1</v>
      </c>
      <c r="U181" s="390">
        <v>0</v>
      </c>
      <c r="V181" s="390">
        <v>0</v>
      </c>
      <c r="W181" s="390">
        <v>1</v>
      </c>
      <c r="X181" s="391">
        <v>0</v>
      </c>
      <c r="Y181" s="390">
        <v>0</v>
      </c>
      <c r="Z181" s="390">
        <v>0</v>
      </c>
      <c r="AA181" s="390">
        <v>0</v>
      </c>
      <c r="AB181" s="390">
        <v>0</v>
      </c>
      <c r="AC181" s="390">
        <v>0</v>
      </c>
      <c r="AD181" s="390">
        <v>0</v>
      </c>
      <c r="AE181" s="391">
        <v>0</v>
      </c>
      <c r="AF181" s="390">
        <v>0</v>
      </c>
      <c r="AG181" s="390">
        <v>0</v>
      </c>
      <c r="AH181" s="390">
        <v>0</v>
      </c>
      <c r="AI181" s="390">
        <v>0</v>
      </c>
      <c r="AJ181" s="390">
        <v>0</v>
      </c>
      <c r="AK181" s="390">
        <v>0</v>
      </c>
      <c r="AL181" s="391">
        <v>0</v>
      </c>
      <c r="AM181" s="390">
        <v>0</v>
      </c>
      <c r="AN181" s="390">
        <f>AQ181</f>
        <v>0</v>
      </c>
      <c r="AO181" s="390">
        <f t="shared" ref="AO181:AO183" si="1242">AR181</f>
        <v>0</v>
      </c>
      <c r="AP181" s="390">
        <f>AS181</f>
        <v>0</v>
      </c>
      <c r="AQ181" s="390">
        <v>0</v>
      </c>
      <c r="AR181" s="390">
        <v>0</v>
      </c>
      <c r="AS181" s="391">
        <v>0</v>
      </c>
      <c r="AT181" s="390">
        <v>0</v>
      </c>
      <c r="AU181" s="390">
        <v>0</v>
      </c>
      <c r="AV181" s="390">
        <v>0</v>
      </c>
      <c r="AW181" s="390">
        <v>0</v>
      </c>
      <c r="AX181" s="390">
        <v>0</v>
      </c>
      <c r="AY181" s="390">
        <v>0</v>
      </c>
      <c r="AZ181" s="390">
        <v>0</v>
      </c>
      <c r="BA181" s="390">
        <v>0</v>
      </c>
      <c r="BB181" s="390">
        <v>0</v>
      </c>
      <c r="BC181" s="390">
        <v>0</v>
      </c>
      <c r="BD181" s="390">
        <v>0</v>
      </c>
      <c r="BE181" s="390">
        <v>0</v>
      </c>
      <c r="BF181" s="390">
        <v>0</v>
      </c>
      <c r="BG181" s="390">
        <v>0</v>
      </c>
      <c r="BH181" s="390">
        <v>0</v>
      </c>
      <c r="BI181" s="390">
        <v>0</v>
      </c>
      <c r="BJ181" s="390">
        <v>0</v>
      </c>
      <c r="BK181" s="390">
        <v>0</v>
      </c>
      <c r="BL181" s="390">
        <v>0</v>
      </c>
      <c r="BM181" s="390">
        <v>0</v>
      </c>
      <c r="BN181" s="390">
        <v>0</v>
      </c>
      <c r="BO181" s="390">
        <v>0</v>
      </c>
      <c r="BP181" s="390">
        <v>0</v>
      </c>
      <c r="BQ181" s="390">
        <v>0</v>
      </c>
      <c r="BR181" s="390">
        <v>0</v>
      </c>
      <c r="BS181" s="390">
        <v>0</v>
      </c>
      <c r="BT181" s="390">
        <v>0</v>
      </c>
      <c r="BU181" s="390">
        <v>0</v>
      </c>
      <c r="BV181" s="390">
        <v>0</v>
      </c>
      <c r="BW181" s="390">
        <v>0</v>
      </c>
      <c r="BX181" s="390">
        <v>0</v>
      </c>
      <c r="BY181" s="390">
        <v>0</v>
      </c>
      <c r="BZ181" s="390">
        <v>0</v>
      </c>
      <c r="CA181" s="390">
        <v>0</v>
      </c>
      <c r="CB181" s="390">
        <v>0</v>
      </c>
      <c r="CC181" s="390">
        <v>0</v>
      </c>
      <c r="CD181" s="390">
        <v>0</v>
      </c>
      <c r="CE181" s="390">
        <v>0</v>
      </c>
      <c r="CF181" s="390">
        <v>0</v>
      </c>
      <c r="CG181" s="390">
        <v>0</v>
      </c>
      <c r="CH181" s="390">
        <v>0</v>
      </c>
      <c r="CI181" s="390">
        <v>0</v>
      </c>
      <c r="CJ181" s="390">
        <v>0</v>
      </c>
      <c r="CK181" s="390">
        <v>0</v>
      </c>
      <c r="CL181" s="390">
        <v>0</v>
      </c>
      <c r="CM181" s="390">
        <v>0</v>
      </c>
      <c r="CN181" s="390">
        <v>0</v>
      </c>
      <c r="CO181" s="390">
        <v>0</v>
      </c>
    </row>
    <row r="182" spans="1:93" x14ac:dyDescent="0.25">
      <c r="A182" s="340" t="str">
        <f>Language!$G183</f>
        <v>Rio Canoas</v>
      </c>
      <c r="B182" s="390">
        <v>1</v>
      </c>
      <c r="C182" s="390">
        <v>1</v>
      </c>
      <c r="D182" s="390">
        <v>1</v>
      </c>
      <c r="E182" s="391">
        <v>1</v>
      </c>
      <c r="F182" s="390">
        <v>1</v>
      </c>
      <c r="G182" s="390">
        <v>1</v>
      </c>
      <c r="H182" s="390">
        <v>1</v>
      </c>
      <c r="I182" s="391">
        <v>1</v>
      </c>
      <c r="J182" s="390">
        <v>1</v>
      </c>
      <c r="K182" s="390">
        <v>1</v>
      </c>
      <c r="L182" s="390">
        <v>1</v>
      </c>
      <c r="M182" s="391">
        <v>1</v>
      </c>
      <c r="N182" s="390">
        <v>1</v>
      </c>
      <c r="O182" s="390">
        <v>1</v>
      </c>
      <c r="P182" s="390">
        <v>1</v>
      </c>
      <c r="Q182" s="391">
        <v>1</v>
      </c>
      <c r="R182" s="390">
        <v>1</v>
      </c>
      <c r="S182" s="390">
        <v>1</v>
      </c>
      <c r="T182" s="390">
        <v>1</v>
      </c>
      <c r="U182" s="390">
        <v>0</v>
      </c>
      <c r="V182" s="390">
        <v>0</v>
      </c>
      <c r="W182" s="390">
        <v>1</v>
      </c>
      <c r="X182" s="391">
        <v>0</v>
      </c>
      <c r="Y182" s="390">
        <v>0</v>
      </c>
      <c r="Z182" s="390">
        <v>0</v>
      </c>
      <c r="AA182" s="390">
        <v>0</v>
      </c>
      <c r="AB182" s="390">
        <v>0</v>
      </c>
      <c r="AC182" s="390">
        <v>0</v>
      </c>
      <c r="AD182" s="390">
        <v>0</v>
      </c>
      <c r="AE182" s="391">
        <v>0</v>
      </c>
      <c r="AF182" s="390">
        <v>0</v>
      </c>
      <c r="AG182" s="390">
        <v>0</v>
      </c>
      <c r="AH182" s="390">
        <v>0</v>
      </c>
      <c r="AI182" s="390">
        <v>0</v>
      </c>
      <c r="AJ182" s="390">
        <v>0</v>
      </c>
      <c r="AK182" s="390">
        <v>0</v>
      </c>
      <c r="AL182" s="391">
        <v>0</v>
      </c>
      <c r="AM182" s="390">
        <v>0</v>
      </c>
      <c r="AN182" s="390">
        <f t="shared" ref="AN182:AN183" si="1243">AQ182</f>
        <v>0</v>
      </c>
      <c r="AO182" s="390">
        <f t="shared" si="1242"/>
        <v>0</v>
      </c>
      <c r="AP182" s="390">
        <f t="shared" ref="AP182:AP183" si="1244">AS182</f>
        <v>0</v>
      </c>
      <c r="AQ182" s="390">
        <v>0</v>
      </c>
      <c r="AR182" s="390">
        <v>0</v>
      </c>
      <c r="AS182" s="391">
        <v>0</v>
      </c>
      <c r="AT182" s="390">
        <v>0</v>
      </c>
      <c r="AU182" s="390">
        <v>0</v>
      </c>
      <c r="AV182" s="390">
        <v>0</v>
      </c>
      <c r="AW182" s="390">
        <v>0</v>
      </c>
      <c r="AX182" s="390">
        <v>0</v>
      </c>
      <c r="AY182" s="390">
        <v>0</v>
      </c>
      <c r="AZ182" s="390">
        <v>0</v>
      </c>
      <c r="BA182" s="390">
        <v>0</v>
      </c>
      <c r="BB182" s="390">
        <v>0</v>
      </c>
      <c r="BC182" s="390">
        <v>0</v>
      </c>
      <c r="BD182" s="390">
        <v>0</v>
      </c>
      <c r="BE182" s="390">
        <v>0</v>
      </c>
      <c r="BF182" s="390">
        <v>0</v>
      </c>
      <c r="BG182" s="390">
        <v>0</v>
      </c>
      <c r="BH182" s="390">
        <v>0</v>
      </c>
      <c r="BI182" s="390">
        <v>0</v>
      </c>
      <c r="BJ182" s="390">
        <v>0</v>
      </c>
      <c r="BK182" s="390">
        <v>0</v>
      </c>
      <c r="BL182" s="390">
        <v>0</v>
      </c>
      <c r="BM182" s="390">
        <v>0</v>
      </c>
      <c r="BN182" s="390">
        <v>0</v>
      </c>
      <c r="BO182" s="390">
        <v>0</v>
      </c>
      <c r="BP182" s="390">
        <v>0</v>
      </c>
      <c r="BQ182" s="390">
        <v>0</v>
      </c>
      <c r="BR182" s="390">
        <v>0</v>
      </c>
      <c r="BS182" s="390">
        <v>0</v>
      </c>
      <c r="BT182" s="390">
        <v>0</v>
      </c>
      <c r="BU182" s="390">
        <v>0</v>
      </c>
      <c r="BV182" s="390">
        <v>0</v>
      </c>
      <c r="BW182" s="390">
        <v>0</v>
      </c>
      <c r="BX182" s="390">
        <v>0</v>
      </c>
      <c r="BY182" s="390">
        <v>0</v>
      </c>
      <c r="BZ182" s="390">
        <v>0</v>
      </c>
      <c r="CA182" s="390">
        <v>0</v>
      </c>
      <c r="CB182" s="390">
        <v>0</v>
      </c>
      <c r="CC182" s="390">
        <v>0</v>
      </c>
      <c r="CD182" s="390">
        <v>0</v>
      </c>
      <c r="CE182" s="390">
        <v>0</v>
      </c>
      <c r="CF182" s="390">
        <v>0</v>
      </c>
      <c r="CG182" s="390">
        <v>0</v>
      </c>
      <c r="CH182" s="390">
        <v>0</v>
      </c>
      <c r="CI182" s="390">
        <v>0</v>
      </c>
      <c r="CJ182" s="390">
        <v>0</v>
      </c>
      <c r="CK182" s="390">
        <v>0</v>
      </c>
      <c r="CL182" s="390">
        <v>0</v>
      </c>
      <c r="CM182" s="390">
        <v>0</v>
      </c>
      <c r="CN182" s="390">
        <v>0</v>
      </c>
      <c r="CO182" s="390">
        <v>0</v>
      </c>
    </row>
    <row r="183" spans="1:93" x14ac:dyDescent="0.25">
      <c r="A183" s="340" t="str">
        <f>Language!$G184</f>
        <v>Tijoá</v>
      </c>
      <c r="B183" s="390">
        <v>0</v>
      </c>
      <c r="C183" s="390">
        <v>0</v>
      </c>
      <c r="D183" s="390">
        <v>0</v>
      </c>
      <c r="E183" s="391">
        <v>0</v>
      </c>
      <c r="F183" s="390">
        <v>0</v>
      </c>
      <c r="G183" s="390">
        <v>0</v>
      </c>
      <c r="H183" s="390">
        <v>0</v>
      </c>
      <c r="I183" s="391">
        <v>0</v>
      </c>
      <c r="J183" s="390">
        <v>0</v>
      </c>
      <c r="K183" s="390">
        <v>0</v>
      </c>
      <c r="L183" s="390">
        <v>0</v>
      </c>
      <c r="M183" s="391">
        <v>0</v>
      </c>
      <c r="N183" s="390">
        <v>0</v>
      </c>
      <c r="O183" s="390">
        <v>0</v>
      </c>
      <c r="P183" s="390">
        <v>0</v>
      </c>
      <c r="Q183" s="391">
        <v>0.50009999999999999</v>
      </c>
      <c r="R183" s="390">
        <v>0.50009999999999999</v>
      </c>
      <c r="S183" s="390">
        <v>0.50009999999999999</v>
      </c>
      <c r="T183" s="390">
        <v>0.50009999999999999</v>
      </c>
      <c r="U183" s="390">
        <v>0.50009999999999999</v>
      </c>
      <c r="V183" s="390">
        <v>0.50009999999999999</v>
      </c>
      <c r="W183" s="390">
        <v>0.50009999999999999</v>
      </c>
      <c r="X183" s="391">
        <v>0.50009999999999999</v>
      </c>
      <c r="Y183" s="390">
        <v>0.50009999999999999</v>
      </c>
      <c r="Z183" s="390">
        <v>0.50009999999999999</v>
      </c>
      <c r="AA183" s="390">
        <v>0.50009999999999999</v>
      </c>
      <c r="AB183" s="390">
        <v>0.50009999999999999</v>
      </c>
      <c r="AC183" s="390">
        <v>0.50009999999999999</v>
      </c>
      <c r="AD183" s="390">
        <v>0.50009999999999999</v>
      </c>
      <c r="AE183" s="391">
        <v>0.50009999999999999</v>
      </c>
      <c r="AF183" s="390">
        <v>0.50009999999999999</v>
      </c>
      <c r="AG183" s="390">
        <v>0.50009999999999999</v>
      </c>
      <c r="AH183" s="390">
        <v>0.50009999999999999</v>
      </c>
      <c r="AI183" s="390">
        <v>0.50009999999999999</v>
      </c>
      <c r="AJ183" s="390">
        <v>0.50009999999999999</v>
      </c>
      <c r="AK183" s="390">
        <v>0.50009999999999999</v>
      </c>
      <c r="AL183" s="391">
        <v>0.50009999999999999</v>
      </c>
      <c r="AM183" s="390">
        <v>0.50009999999999999</v>
      </c>
      <c r="AN183" s="390">
        <f t="shared" si="1243"/>
        <v>0.50009999999999999</v>
      </c>
      <c r="AO183" s="390">
        <f t="shared" si="1242"/>
        <v>0.50009999999999999</v>
      </c>
      <c r="AP183" s="390">
        <f t="shared" si="1244"/>
        <v>0.50009999999999999</v>
      </c>
      <c r="AQ183" s="390">
        <v>0.50009999999999999</v>
      </c>
      <c r="AR183" s="390">
        <v>0.50009999999999999</v>
      </c>
      <c r="AS183" s="391">
        <v>0.50009999999999999</v>
      </c>
      <c r="AT183" s="390">
        <v>0.50009999999999999</v>
      </c>
      <c r="AU183" s="390">
        <v>0.50009999999999999</v>
      </c>
      <c r="AV183" s="390">
        <v>0.50009999999999999</v>
      </c>
      <c r="AW183" s="390">
        <v>0.50009999999999999</v>
      </c>
      <c r="AX183" s="390">
        <v>0.50009999999999999</v>
      </c>
      <c r="AY183" s="390">
        <v>0.50009999999999999</v>
      </c>
      <c r="AZ183" s="390">
        <v>0.50009999999999999</v>
      </c>
      <c r="BA183" s="390">
        <v>0.50009999999999999</v>
      </c>
      <c r="BB183" s="390">
        <v>0.50009999999999999</v>
      </c>
      <c r="BC183" s="390">
        <v>0.50009999999999999</v>
      </c>
      <c r="BD183" s="390">
        <v>0.50009999999999999</v>
      </c>
      <c r="BE183" s="390">
        <v>0.50009999999999999</v>
      </c>
      <c r="BF183" s="390">
        <v>0.50009999999999999</v>
      </c>
      <c r="BG183" s="390">
        <v>0.50009999999999999</v>
      </c>
      <c r="BH183" s="390">
        <v>0.50009999999999999</v>
      </c>
      <c r="BI183" s="390">
        <v>0.50009999999999999</v>
      </c>
      <c r="BJ183" s="390">
        <v>0.50009999999999999</v>
      </c>
      <c r="BK183" s="390">
        <v>0.50009999999999999</v>
      </c>
      <c r="BL183" s="390">
        <v>0.50009999999999999</v>
      </c>
      <c r="BM183" s="390">
        <v>0.50009999999999999</v>
      </c>
      <c r="BN183" s="390">
        <v>0.50009999999999999</v>
      </c>
      <c r="BO183" s="390">
        <v>0.50009999999999999</v>
      </c>
      <c r="BP183" s="390">
        <v>0.50009999999999999</v>
      </c>
      <c r="BQ183" s="390">
        <v>0.50009999999999999</v>
      </c>
      <c r="BR183" s="390">
        <v>0.50009999999999999</v>
      </c>
      <c r="BS183" s="390">
        <v>0.50009999999999999</v>
      </c>
      <c r="BT183" s="390">
        <v>0.50009999999999999</v>
      </c>
      <c r="BU183" s="390">
        <v>0.50009999999999999</v>
      </c>
      <c r="BV183" s="390">
        <v>0.50009999999999999</v>
      </c>
      <c r="BW183" s="390">
        <v>0.50009999999999999</v>
      </c>
      <c r="BX183" s="390">
        <v>0.50009999999999999</v>
      </c>
      <c r="BY183" s="390">
        <v>0.50009999999999999</v>
      </c>
      <c r="BZ183" s="390">
        <v>0.50009999999999999</v>
      </c>
      <c r="CA183" s="390">
        <v>0.50009999999999999</v>
      </c>
      <c r="CB183" s="390">
        <v>0.50009999999999999</v>
      </c>
      <c r="CC183" s="390">
        <v>0.50009999999999999</v>
      </c>
      <c r="CD183" s="390">
        <v>0.50009999999999999</v>
      </c>
      <c r="CE183" s="390">
        <v>0.50009999999999999</v>
      </c>
      <c r="CF183" s="390">
        <v>0.50009999999999999</v>
      </c>
      <c r="CG183" s="390">
        <v>0.50009999999999999</v>
      </c>
      <c r="CH183" s="390">
        <v>0.50009999999999999</v>
      </c>
      <c r="CI183" s="390">
        <v>0.50009999999999999</v>
      </c>
      <c r="CJ183" s="390">
        <v>0.50009999999999999</v>
      </c>
      <c r="CK183" s="390">
        <v>0.50009999999999999</v>
      </c>
      <c r="CL183" s="390">
        <v>0.50009999999999999</v>
      </c>
      <c r="CM183" s="390">
        <v>0.50009999999999999</v>
      </c>
      <c r="CN183" s="390">
        <v>0.50009999999999999</v>
      </c>
      <c r="CO183" s="390">
        <v>0.50009999999999999</v>
      </c>
    </row>
    <row r="184" spans="1:93" ht="13" x14ac:dyDescent="0.3">
      <c r="A184" s="366" t="str">
        <f>Language!$G185</f>
        <v>Capex</v>
      </c>
      <c r="B184" s="366">
        <f>SUM(B185,B186,B188)</f>
        <v>15853</v>
      </c>
      <c r="C184" s="366">
        <f t="shared" ref="C184:K184" si="1245">SUM(C185,C186,C188)</f>
        <v>80603</v>
      </c>
      <c r="D184" s="366">
        <f t="shared" si="1245"/>
        <v>29789</v>
      </c>
      <c r="E184" s="367">
        <f t="shared" si="1245"/>
        <v>104869</v>
      </c>
      <c r="F184" s="366">
        <f t="shared" si="1245"/>
        <v>96565</v>
      </c>
      <c r="G184" s="366">
        <f t="shared" si="1245"/>
        <v>85670</v>
      </c>
      <c r="H184" s="366">
        <f t="shared" si="1245"/>
        <v>113429</v>
      </c>
      <c r="I184" s="367">
        <f t="shared" si="1245"/>
        <v>167567</v>
      </c>
      <c r="J184" s="366">
        <f t="shared" si="1245"/>
        <v>147882</v>
      </c>
      <c r="K184" s="366">
        <f t="shared" si="1245"/>
        <v>101912</v>
      </c>
      <c r="L184" s="366">
        <f t="shared" ref="L184:Q184" si="1246">SUM(L185,L186,L188)</f>
        <v>80362</v>
      </c>
      <c r="M184" s="367">
        <f t="shared" si="1246"/>
        <v>49307</v>
      </c>
      <c r="N184" s="366">
        <f t="shared" si="1246"/>
        <v>5441</v>
      </c>
      <c r="O184" s="366">
        <f t="shared" si="1246"/>
        <v>4249</v>
      </c>
      <c r="P184" s="366">
        <f t="shared" si="1246"/>
        <v>4647</v>
      </c>
      <c r="Q184" s="367">
        <f t="shared" si="1246"/>
        <v>3027</v>
      </c>
      <c r="R184" s="366">
        <v>468</v>
      </c>
      <c r="S184" s="366">
        <v>39</v>
      </c>
      <c r="T184" s="366">
        <v>78</v>
      </c>
      <c r="U184" s="366">
        <v>0</v>
      </c>
      <c r="V184" s="366">
        <v>507</v>
      </c>
      <c r="W184" s="366">
        <v>398</v>
      </c>
      <c r="X184" s="367">
        <v>398</v>
      </c>
      <c r="Y184" s="366">
        <f>SUM(Y185,Y186,Y188,Y187)</f>
        <v>401</v>
      </c>
      <c r="Z184" s="366">
        <f>SUM(Z185,Z186,Z188,Z187)</f>
        <v>551</v>
      </c>
      <c r="AA184" s="366">
        <f t="shared" ref="AA184" si="1247">SUM(AA185,AA186,AA188)</f>
        <v>0</v>
      </c>
      <c r="AB184" s="366">
        <f>SUM(AB185,AB186,AB188)</f>
        <v>0</v>
      </c>
      <c r="AC184" s="366">
        <f t="shared" ref="AC184:AJ184" si="1248">SUM(AC185,AC186,AC188,AC187)</f>
        <v>952</v>
      </c>
      <c r="AD184" s="366">
        <f t="shared" si="1248"/>
        <v>551</v>
      </c>
      <c r="AE184" s="367">
        <f t="shared" si="1248"/>
        <v>8697.8190000000013</v>
      </c>
      <c r="AF184" s="366">
        <f t="shared" si="1248"/>
        <v>4181.2060000000001</v>
      </c>
      <c r="AG184" s="366">
        <f t="shared" si="1248"/>
        <v>4537.7939999999999</v>
      </c>
      <c r="AH184" s="366">
        <f t="shared" ref="AH184" si="1249">SUM(AH185,AH186,AH188)</f>
        <v>0</v>
      </c>
      <c r="AI184" s="366">
        <f>SUM(AI185,AI186,AI188)</f>
        <v>0</v>
      </c>
      <c r="AJ184" s="366">
        <f t="shared" si="1248"/>
        <v>8719</v>
      </c>
      <c r="AK184" s="366">
        <f t="shared" ref="AK184:AQ184" si="1250">SUM(AK185,AK186,AK188,AK187)</f>
        <v>9439</v>
      </c>
      <c r="AL184" s="367">
        <f t="shared" si="1250"/>
        <v>10265</v>
      </c>
      <c r="AM184" s="366">
        <f t="shared" si="1250"/>
        <v>207</v>
      </c>
      <c r="AN184" s="366">
        <f>AQ184-AM184</f>
        <v>19</v>
      </c>
      <c r="AO184" s="366">
        <f t="shared" si="796"/>
        <v>276</v>
      </c>
      <c r="AP184" s="366">
        <f t="shared" si="796"/>
        <v>0</v>
      </c>
      <c r="AQ184" s="366">
        <f t="shared" si="1250"/>
        <v>226</v>
      </c>
      <c r="AR184" s="366">
        <f t="shared" ref="AR184:AS184" si="1251">SUM(AR185,AR186,AR188,AR187)</f>
        <v>502</v>
      </c>
      <c r="AS184" s="367">
        <f t="shared" si="1251"/>
        <v>502</v>
      </c>
      <c r="AT184" s="366">
        <f t="shared" ref="AT184:AU184" si="1252">SUM(AT185,AT186,AT188,AT187)</f>
        <v>632</v>
      </c>
      <c r="AU184" s="366">
        <f t="shared" si="1252"/>
        <v>1135</v>
      </c>
      <c r="AV184" s="366">
        <f t="shared" ref="AV184:AW184" si="1253">SUM(AV185,AV186,AV188,AV187)</f>
        <v>440</v>
      </c>
      <c r="AW184" s="366">
        <f t="shared" si="1253"/>
        <v>2649</v>
      </c>
      <c r="AX184" s="366">
        <f t="shared" ref="AX184:AZ184" si="1254">SUM(AX185,AX186,AX188,AX187)</f>
        <v>1767</v>
      </c>
      <c r="AY184" s="366">
        <f t="shared" si="1254"/>
        <v>2586</v>
      </c>
      <c r="AZ184" s="696">
        <f t="shared" si="1254"/>
        <v>4856</v>
      </c>
      <c r="BA184" s="366">
        <f t="shared" ref="BA184:BD184" si="1255">SUM(BA185,BA186,BA188,BA187)</f>
        <v>1300</v>
      </c>
      <c r="BB184" s="366">
        <f t="shared" si="1255"/>
        <v>725</v>
      </c>
      <c r="BC184" s="366">
        <f t="shared" si="1255"/>
        <v>605</v>
      </c>
      <c r="BD184" s="366">
        <f t="shared" si="1255"/>
        <v>565</v>
      </c>
      <c r="BE184" s="366">
        <f t="shared" ref="BE184:BF184" si="1256">SUM(BE185,BE186,BE188,BE187)</f>
        <v>2025</v>
      </c>
      <c r="BF184" s="366">
        <f t="shared" si="1256"/>
        <v>2630</v>
      </c>
      <c r="BG184" s="366">
        <f t="shared" ref="BG184:BH184" si="1257">SUM(BG185,BG186,BG188,BG187)</f>
        <v>3195</v>
      </c>
      <c r="BH184" s="366">
        <f t="shared" si="1257"/>
        <v>1820</v>
      </c>
      <c r="BI184" s="366">
        <f t="shared" ref="BI184:BL184" si="1258">SUM(BI185,BI186,BI188,BI187)</f>
        <v>1965</v>
      </c>
      <c r="BJ184" s="366">
        <f t="shared" si="1258"/>
        <v>557</v>
      </c>
      <c r="BK184" s="366">
        <f t="shared" si="1258"/>
        <v>1463</v>
      </c>
      <c r="BL184" s="366">
        <f t="shared" si="1258"/>
        <v>3785</v>
      </c>
      <c r="BM184" s="366">
        <f t="shared" ref="BM184:BN184" si="1259">SUM(BM185,BM186,BM188,BM187)</f>
        <v>4342</v>
      </c>
      <c r="BN184" s="366">
        <f t="shared" si="1259"/>
        <v>5805</v>
      </c>
      <c r="BO184" s="366">
        <f t="shared" ref="BO184:BS184" si="1260">SUM(BO185,BO186,BO188,BO187)</f>
        <v>0</v>
      </c>
      <c r="BP184" s="366">
        <f t="shared" si="1260"/>
        <v>0</v>
      </c>
      <c r="BQ184" s="366">
        <f t="shared" si="1260"/>
        <v>1523</v>
      </c>
      <c r="BR184" s="366">
        <f t="shared" si="1260"/>
        <v>1551</v>
      </c>
      <c r="BS184" s="366">
        <f t="shared" si="1260"/>
        <v>1585</v>
      </c>
      <c r="BT184" s="366">
        <f t="shared" ref="BT184:BU184" si="1261">SUM(BT185,BT186,BT188,BT187)</f>
        <v>3108</v>
      </c>
      <c r="BU184" s="366">
        <f t="shared" si="1261"/>
        <v>4659</v>
      </c>
      <c r="BV184" s="366">
        <f t="shared" ref="BV184:BZ184" si="1262">SUM(BV185,BV186,BV188,BV187)</f>
        <v>550</v>
      </c>
      <c r="BW184" s="366">
        <f t="shared" si="1262"/>
        <v>1921</v>
      </c>
      <c r="BX184" s="366">
        <f t="shared" si="1262"/>
        <v>-433</v>
      </c>
      <c r="BY184" s="366">
        <f t="shared" si="1262"/>
        <v>567</v>
      </c>
      <c r="BZ184" s="366">
        <f t="shared" si="1262"/>
        <v>2471</v>
      </c>
      <c r="CA184" s="366">
        <f t="shared" ref="CA184:CB184" si="1263">SUM(CA185,CA186,CA188,CA187)</f>
        <v>2038</v>
      </c>
      <c r="CB184" s="366">
        <f t="shared" si="1263"/>
        <v>2605</v>
      </c>
      <c r="CC184" s="366">
        <f t="shared" ref="CC184:CD184" si="1264">SUM(CC185,CC186,CC188,CC187)</f>
        <v>20</v>
      </c>
      <c r="CD184" s="366">
        <f t="shared" si="1264"/>
        <v>0</v>
      </c>
      <c r="CE184" s="366">
        <f t="shared" ref="CE184:CG184" si="1265">SUM(CE185,CE186,CE188,CE187)</f>
        <v>0</v>
      </c>
      <c r="CF184" s="366">
        <f t="shared" si="1265"/>
        <v>4059</v>
      </c>
      <c r="CG184" s="366">
        <f t="shared" si="1265"/>
        <v>20</v>
      </c>
      <c r="CH184" s="366">
        <f t="shared" ref="CH184:CI184" si="1266">SUM(CH185,CH186,CH188,CH187)</f>
        <v>20</v>
      </c>
      <c r="CI184" s="366">
        <f t="shared" si="1266"/>
        <v>4079</v>
      </c>
      <c r="CJ184" s="366">
        <v>861</v>
      </c>
      <c r="CK184" s="366">
        <f t="shared" ref="CK184:CO184" si="1267">SUM(CK185,CK186,CK188,CK187)</f>
        <v>0</v>
      </c>
      <c r="CL184" s="366">
        <f t="shared" si="1267"/>
        <v>0</v>
      </c>
      <c r="CM184" s="366">
        <f t="shared" si="1267"/>
        <v>0</v>
      </c>
      <c r="CN184" s="366">
        <f t="shared" si="1267"/>
        <v>861</v>
      </c>
      <c r="CO184" s="366">
        <f t="shared" si="1267"/>
        <v>0</v>
      </c>
    </row>
    <row r="185" spans="1:93" x14ac:dyDescent="0.25">
      <c r="A185" s="340" t="str">
        <f>Language!$G186</f>
        <v>Rio Verde</v>
      </c>
      <c r="B185" s="322">
        <v>20</v>
      </c>
      <c r="C185" s="322">
        <v>306</v>
      </c>
      <c r="D185" s="322">
        <v>428</v>
      </c>
      <c r="E185" s="321">
        <v>5</v>
      </c>
      <c r="F185" s="322">
        <v>31</v>
      </c>
      <c r="G185" s="322">
        <v>0</v>
      </c>
      <c r="H185" s="322">
        <v>812</v>
      </c>
      <c r="I185" s="321">
        <v>0</v>
      </c>
      <c r="J185" s="322">
        <v>2</v>
      </c>
      <c r="K185" s="322">
        <v>184</v>
      </c>
      <c r="L185" s="322">
        <v>93</v>
      </c>
      <c r="M185" s="321">
        <v>399</v>
      </c>
      <c r="N185" s="322">
        <v>153</v>
      </c>
      <c r="O185" s="322">
        <v>377</v>
      </c>
      <c r="P185" s="322">
        <v>363</v>
      </c>
      <c r="Q185" s="321">
        <v>364</v>
      </c>
      <c r="R185" s="322">
        <v>137</v>
      </c>
      <c r="S185" s="322">
        <v>39</v>
      </c>
      <c r="T185" s="322">
        <v>54</v>
      </c>
      <c r="U185" s="322">
        <v>0</v>
      </c>
      <c r="V185" s="322">
        <v>176</v>
      </c>
      <c r="W185" s="322">
        <v>230</v>
      </c>
      <c r="X185" s="321">
        <v>230</v>
      </c>
      <c r="Y185" s="322">
        <v>0</v>
      </c>
      <c r="Z185" s="322">
        <f t="shared" ref="Z185:AA188" si="1268">AC185-Y185</f>
        <v>0</v>
      </c>
      <c r="AA185" s="322">
        <f t="shared" si="1268"/>
        <v>0</v>
      </c>
      <c r="AB185" s="322">
        <v>0</v>
      </c>
      <c r="AC185" s="322">
        <v>0</v>
      </c>
      <c r="AD185" s="322">
        <v>0</v>
      </c>
      <c r="AE185" s="321">
        <v>0</v>
      </c>
      <c r="AF185" s="322">
        <v>0</v>
      </c>
      <c r="AG185" s="322">
        <f>AJ185-AF185</f>
        <v>0</v>
      </c>
      <c r="AH185" s="322">
        <f t="shared" ref="AH185:AH187" si="1269">AK185-AG185</f>
        <v>0</v>
      </c>
      <c r="AI185" s="322">
        <v>0</v>
      </c>
      <c r="AJ185" s="322">
        <v>0</v>
      </c>
      <c r="AK185" s="322">
        <v>0</v>
      </c>
      <c r="AL185" s="321">
        <v>0</v>
      </c>
      <c r="AM185" s="322">
        <v>0</v>
      </c>
      <c r="AN185" s="322">
        <f t="shared" ref="AN185:AN211" si="1270">AQ185-AM185</f>
        <v>0</v>
      </c>
      <c r="AO185" s="322">
        <f t="shared" si="796"/>
        <v>0</v>
      </c>
      <c r="AP185" s="322">
        <f t="shared" si="796"/>
        <v>0</v>
      </c>
      <c r="AQ185" s="322">
        <v>0</v>
      </c>
      <c r="AR185" s="322"/>
      <c r="AS185" s="321"/>
      <c r="AT185" s="322"/>
      <c r="AU185" s="322"/>
      <c r="AV185" s="322"/>
      <c r="AW185" s="322"/>
      <c r="AX185" s="322"/>
      <c r="AY185" s="322"/>
      <c r="AZ185" s="322"/>
      <c r="BA185" s="322"/>
      <c r="BB185" s="322"/>
      <c r="BC185" s="322"/>
      <c r="BD185" s="322"/>
      <c r="BE185" s="322"/>
      <c r="BF185" s="322"/>
      <c r="BG185" s="322"/>
      <c r="BH185" s="322"/>
      <c r="BI185" s="322"/>
      <c r="BJ185" s="322"/>
      <c r="BK185" s="322"/>
      <c r="BL185" s="322"/>
      <c r="BM185" s="322"/>
      <c r="BN185" s="322"/>
      <c r="BO185" s="322"/>
      <c r="BP185" s="322"/>
      <c r="BQ185" s="322"/>
      <c r="BR185" s="322"/>
      <c r="BS185" s="322"/>
      <c r="BT185" s="322"/>
      <c r="BU185" s="322"/>
      <c r="BV185" s="322"/>
      <c r="BW185" s="322"/>
      <c r="BX185" s="322"/>
      <c r="BY185" s="322"/>
      <c r="BZ185" s="322"/>
      <c r="CA185" s="322"/>
      <c r="CB185" s="322"/>
      <c r="CC185" s="322"/>
      <c r="CD185" s="322"/>
      <c r="CE185" s="322"/>
      <c r="CF185" s="322"/>
      <c r="CG185" s="322"/>
      <c r="CH185" s="322"/>
      <c r="CI185" s="322"/>
      <c r="CJ185" s="322"/>
      <c r="CK185" s="322"/>
      <c r="CL185" s="322"/>
      <c r="CM185" s="322"/>
      <c r="CN185" s="322"/>
      <c r="CO185" s="322"/>
    </row>
    <row r="186" spans="1:93" x14ac:dyDescent="0.25">
      <c r="A186" s="340" t="str">
        <f>Language!$G187</f>
        <v>Rio Canoas</v>
      </c>
      <c r="B186" s="322">
        <v>15833</v>
      </c>
      <c r="C186" s="322">
        <v>80297</v>
      </c>
      <c r="D186" s="322">
        <v>29361</v>
      </c>
      <c r="E186" s="321">
        <v>104864</v>
      </c>
      <c r="F186" s="322">
        <v>96534</v>
      </c>
      <c r="G186" s="322">
        <v>85670</v>
      </c>
      <c r="H186" s="322">
        <v>112617</v>
      </c>
      <c r="I186" s="321">
        <v>165622</v>
      </c>
      <c r="J186" s="322">
        <v>147880</v>
      </c>
      <c r="K186" s="322">
        <v>101728</v>
      </c>
      <c r="L186" s="322">
        <v>80269</v>
      </c>
      <c r="M186" s="321">
        <v>48908</v>
      </c>
      <c r="N186" s="322">
        <v>5288</v>
      </c>
      <c r="O186" s="322">
        <v>3872</v>
      </c>
      <c r="P186" s="322">
        <v>4284</v>
      </c>
      <c r="Q186" s="321">
        <v>2663</v>
      </c>
      <c r="R186" s="322">
        <v>331</v>
      </c>
      <c r="S186" s="322">
        <v>0</v>
      </c>
      <c r="T186" s="322">
        <v>24</v>
      </c>
      <c r="U186" s="322">
        <v>0</v>
      </c>
      <c r="V186" s="322">
        <v>331</v>
      </c>
      <c r="W186" s="322">
        <v>168</v>
      </c>
      <c r="X186" s="321">
        <v>168</v>
      </c>
      <c r="Y186" s="322">
        <v>0</v>
      </c>
      <c r="Z186" s="322">
        <f t="shared" si="1268"/>
        <v>0</v>
      </c>
      <c r="AA186" s="322">
        <f t="shared" si="1268"/>
        <v>0</v>
      </c>
      <c r="AB186" s="322">
        <v>0</v>
      </c>
      <c r="AC186" s="322">
        <v>0</v>
      </c>
      <c r="AD186" s="322">
        <v>0</v>
      </c>
      <c r="AE186" s="321">
        <v>0</v>
      </c>
      <c r="AF186" s="322">
        <v>0</v>
      </c>
      <c r="AG186" s="322">
        <f>AJ186-AF186</f>
        <v>0</v>
      </c>
      <c r="AH186" s="322">
        <f t="shared" si="1269"/>
        <v>0</v>
      </c>
      <c r="AI186" s="322">
        <v>0</v>
      </c>
      <c r="AJ186" s="322">
        <v>0</v>
      </c>
      <c r="AK186" s="322">
        <v>0</v>
      </c>
      <c r="AL186" s="321">
        <v>0</v>
      </c>
      <c r="AM186" s="322">
        <v>0</v>
      </c>
      <c r="AN186" s="322">
        <f t="shared" si="1270"/>
        <v>0</v>
      </c>
      <c r="AO186" s="322">
        <f t="shared" si="796"/>
        <v>0</v>
      </c>
      <c r="AP186" s="322">
        <f t="shared" si="796"/>
        <v>0</v>
      </c>
      <c r="AQ186" s="322">
        <v>0</v>
      </c>
      <c r="AR186" s="322"/>
      <c r="AS186" s="321"/>
      <c r="AT186" s="322"/>
      <c r="AU186" s="322"/>
      <c r="AV186" s="322"/>
      <c r="AW186" s="322"/>
      <c r="AX186" s="322"/>
      <c r="AY186" s="322"/>
      <c r="AZ186" s="322"/>
      <c r="BA186" s="322"/>
      <c r="BB186" s="322"/>
      <c r="BC186" s="322"/>
      <c r="BD186" s="322"/>
      <c r="BE186" s="322"/>
      <c r="BF186" s="322"/>
      <c r="BG186" s="322"/>
      <c r="BH186" s="322"/>
      <c r="BI186" s="322"/>
      <c r="BJ186" s="322"/>
      <c r="BK186" s="322"/>
      <c r="BL186" s="322"/>
      <c r="BM186" s="322"/>
      <c r="BN186" s="322"/>
      <c r="BO186" s="322"/>
      <c r="BP186" s="322"/>
      <c r="BQ186" s="322"/>
      <c r="BR186" s="322"/>
      <c r="BS186" s="322"/>
      <c r="BT186" s="322"/>
      <c r="BU186" s="322"/>
      <c r="BV186" s="322"/>
      <c r="BW186" s="322"/>
      <c r="BX186" s="322"/>
      <c r="BY186" s="322"/>
      <c r="BZ186" s="322"/>
      <c r="CA186" s="322"/>
      <c r="CB186" s="322"/>
      <c r="CC186" s="322"/>
      <c r="CD186" s="322"/>
      <c r="CE186" s="322"/>
      <c r="CF186" s="322"/>
      <c r="CG186" s="322"/>
      <c r="CH186" s="322"/>
      <c r="CI186" s="322"/>
      <c r="CJ186" s="322"/>
      <c r="CK186" s="322"/>
      <c r="CL186" s="322"/>
      <c r="CM186" s="322"/>
      <c r="CN186" s="322"/>
      <c r="CO186" s="322"/>
    </row>
    <row r="187" spans="1:93" x14ac:dyDescent="0.25">
      <c r="A187" s="340" t="str">
        <f>Language!$G188</f>
        <v>Tijoá</v>
      </c>
      <c r="B187" s="322">
        <v>0</v>
      </c>
      <c r="C187" s="322">
        <v>0</v>
      </c>
      <c r="D187" s="322">
        <v>0</v>
      </c>
      <c r="E187" s="321">
        <v>0</v>
      </c>
      <c r="F187" s="322">
        <v>0</v>
      </c>
      <c r="G187" s="322">
        <v>0</v>
      </c>
      <c r="H187" s="322">
        <v>0</v>
      </c>
      <c r="I187" s="321">
        <v>0</v>
      </c>
      <c r="J187" s="322">
        <v>0</v>
      </c>
      <c r="K187" s="322">
        <v>0</v>
      </c>
      <c r="L187" s="322">
        <v>0</v>
      </c>
      <c r="M187" s="321">
        <v>0</v>
      </c>
      <c r="N187" s="322">
        <v>0</v>
      </c>
      <c r="O187" s="322">
        <v>0</v>
      </c>
      <c r="P187" s="322">
        <v>0</v>
      </c>
      <c r="Q187" s="321">
        <v>0</v>
      </c>
      <c r="R187" s="322">
        <v>0</v>
      </c>
      <c r="S187" s="322">
        <v>0</v>
      </c>
      <c r="T187" s="322">
        <v>0</v>
      </c>
      <c r="U187" s="322">
        <v>0</v>
      </c>
      <c r="V187" s="322">
        <v>0</v>
      </c>
      <c r="W187" s="322">
        <v>0</v>
      </c>
      <c r="X187" s="321">
        <v>0</v>
      </c>
      <c r="Y187" s="322">
        <v>401</v>
      </c>
      <c r="Z187" s="322">
        <f t="shared" si="1268"/>
        <v>551</v>
      </c>
      <c r="AA187" s="322">
        <f t="shared" si="1268"/>
        <v>0</v>
      </c>
      <c r="AB187" s="322">
        <v>0</v>
      </c>
      <c r="AC187" s="322">
        <v>952</v>
      </c>
      <c r="AD187" s="322">
        <v>551</v>
      </c>
      <c r="AE187" s="321">
        <v>8697.8190000000013</v>
      </c>
      <c r="AF187" s="322">
        <v>4181.2060000000001</v>
      </c>
      <c r="AG187" s="322">
        <f>AJ187-AF187</f>
        <v>4537.7939999999999</v>
      </c>
      <c r="AH187" s="322">
        <f t="shared" si="1269"/>
        <v>4901.2060000000001</v>
      </c>
      <c r="AI187" s="322">
        <v>0</v>
      </c>
      <c r="AJ187" s="322">
        <v>8719</v>
      </c>
      <c r="AK187" s="322">
        <v>9439</v>
      </c>
      <c r="AL187" s="321">
        <v>10106</v>
      </c>
      <c r="AM187" s="322">
        <v>207</v>
      </c>
      <c r="AN187" s="383">
        <f t="shared" si="1270"/>
        <v>19</v>
      </c>
      <c r="AO187" s="383">
        <f t="shared" si="796"/>
        <v>276</v>
      </c>
      <c r="AP187" s="383">
        <f t="shared" si="796"/>
        <v>0</v>
      </c>
      <c r="AQ187" s="383">
        <v>226</v>
      </c>
      <c r="AR187" s="383">
        <v>502</v>
      </c>
      <c r="AS187" s="321">
        <v>502</v>
      </c>
      <c r="AT187" s="322">
        <v>632</v>
      </c>
      <c r="AU187" s="322">
        <f>AX187-AT187</f>
        <v>1135</v>
      </c>
      <c r="AV187" s="322">
        <f>AY187-AX187</f>
        <v>440</v>
      </c>
      <c r="AW187" s="322">
        <f>AZ187-AY187</f>
        <v>2649</v>
      </c>
      <c r="AX187" s="383">
        <v>1767</v>
      </c>
      <c r="AY187" s="383">
        <v>2207</v>
      </c>
      <c r="AZ187" s="383">
        <v>4856</v>
      </c>
      <c r="BA187" s="383">
        <v>921</v>
      </c>
      <c r="BB187" s="383">
        <f>BE187-BA187</f>
        <v>1104</v>
      </c>
      <c r="BC187" s="383">
        <f>BF187-BE187</f>
        <v>605</v>
      </c>
      <c r="BD187" s="383">
        <f>BG187-BF187</f>
        <v>565</v>
      </c>
      <c r="BE187" s="383">
        <v>2025</v>
      </c>
      <c r="BF187" s="383">
        <v>2630</v>
      </c>
      <c r="BG187" s="383">
        <v>3195</v>
      </c>
      <c r="BH187" s="383">
        <v>1820</v>
      </c>
      <c r="BI187" s="383">
        <f>BL187-BH187</f>
        <v>1965</v>
      </c>
      <c r="BJ187" s="383">
        <f>BM187-BL187</f>
        <v>557</v>
      </c>
      <c r="BK187" s="383">
        <f>BN187-BM187</f>
        <v>1463</v>
      </c>
      <c r="BL187" s="383">
        <v>3785</v>
      </c>
      <c r="BM187" s="383">
        <v>4342</v>
      </c>
      <c r="BN187" s="383">
        <v>5805</v>
      </c>
      <c r="BO187" s="383"/>
      <c r="BP187" s="383"/>
      <c r="BQ187" s="383">
        <f>BT187-BS187</f>
        <v>1523</v>
      </c>
      <c r="BR187" s="383">
        <f>BU187-BT187</f>
        <v>1551</v>
      </c>
      <c r="BS187" s="383">
        <v>1585</v>
      </c>
      <c r="BT187" s="383">
        <v>3108</v>
      </c>
      <c r="BU187" s="383">
        <v>4659</v>
      </c>
      <c r="BV187" s="383">
        <v>550</v>
      </c>
      <c r="BW187" s="383">
        <f>BZ187-BV187</f>
        <v>1921</v>
      </c>
      <c r="BX187" s="383">
        <f>CA187-BZ187</f>
        <v>-433</v>
      </c>
      <c r="BY187" s="383">
        <f>CB187-CA187</f>
        <v>567</v>
      </c>
      <c r="BZ187" s="383">
        <v>2471</v>
      </c>
      <c r="CA187" s="383">
        <v>2038</v>
      </c>
      <c r="CB187" s="383">
        <v>2605</v>
      </c>
      <c r="CC187" s="383">
        <v>20</v>
      </c>
      <c r="CD187" s="383">
        <f>CG187-CC187</f>
        <v>0</v>
      </c>
      <c r="CE187" s="383">
        <f>CH187-CG187</f>
        <v>0</v>
      </c>
      <c r="CF187" s="383">
        <f>CI187-CH187</f>
        <v>4059</v>
      </c>
      <c r="CG187" s="383">
        <v>20</v>
      </c>
      <c r="CH187" s="383">
        <v>20</v>
      </c>
      <c r="CI187" s="383">
        <v>4079</v>
      </c>
      <c r="CJ187" s="383">
        <v>861</v>
      </c>
      <c r="CK187" s="383">
        <f>CN187-CJ187</f>
        <v>0</v>
      </c>
      <c r="CL187" s="383"/>
      <c r="CM187" s="383"/>
      <c r="CN187" s="383">
        <v>861</v>
      </c>
      <c r="CO187" s="383"/>
    </row>
    <row r="188" spans="1:93" x14ac:dyDescent="0.25">
      <c r="A188" s="392" t="str">
        <f>Language!$G189</f>
        <v>Outros</v>
      </c>
      <c r="B188" s="345">
        <v>0</v>
      </c>
      <c r="C188" s="345">
        <v>0</v>
      </c>
      <c r="D188" s="345">
        <v>0</v>
      </c>
      <c r="E188" s="346">
        <v>0</v>
      </c>
      <c r="F188" s="345">
        <v>0</v>
      </c>
      <c r="G188" s="345">
        <v>0</v>
      </c>
      <c r="H188" s="345">
        <v>0</v>
      </c>
      <c r="I188" s="346">
        <v>1945</v>
      </c>
      <c r="J188" s="345">
        <v>0</v>
      </c>
      <c r="K188" s="345">
        <v>0</v>
      </c>
      <c r="L188" s="345">
        <v>0</v>
      </c>
      <c r="M188" s="346">
        <v>0</v>
      </c>
      <c r="N188" s="345">
        <v>0</v>
      </c>
      <c r="O188" s="345">
        <v>0</v>
      </c>
      <c r="P188" s="345">
        <f>0</f>
        <v>0</v>
      </c>
      <c r="Q188" s="346">
        <v>0</v>
      </c>
      <c r="R188" s="345">
        <v>0</v>
      </c>
      <c r="S188" s="345">
        <v>0</v>
      </c>
      <c r="T188" s="345">
        <v>0</v>
      </c>
      <c r="U188" s="345">
        <v>0</v>
      </c>
      <c r="V188" s="345">
        <v>0</v>
      </c>
      <c r="W188" s="345">
        <v>0</v>
      </c>
      <c r="X188" s="346">
        <v>0</v>
      </c>
      <c r="Y188" s="345">
        <v>0</v>
      </c>
      <c r="Z188" s="345">
        <f t="shared" si="1268"/>
        <v>0</v>
      </c>
      <c r="AA188" s="345">
        <v>0</v>
      </c>
      <c r="AB188" s="345">
        <v>0</v>
      </c>
      <c r="AC188" s="345">
        <v>0</v>
      </c>
      <c r="AD188" s="345">
        <v>0</v>
      </c>
      <c r="AE188" s="346">
        <v>0</v>
      </c>
      <c r="AF188" s="345">
        <v>0</v>
      </c>
      <c r="AG188" s="345">
        <f>AJ188-AF188</f>
        <v>0</v>
      </c>
      <c r="AH188" s="345">
        <v>0</v>
      </c>
      <c r="AI188" s="345">
        <v>0</v>
      </c>
      <c r="AJ188" s="345">
        <v>0</v>
      </c>
      <c r="AK188" s="345">
        <v>0</v>
      </c>
      <c r="AL188" s="346">
        <v>159</v>
      </c>
      <c r="AM188" s="345">
        <v>0</v>
      </c>
      <c r="AN188" s="345">
        <f t="shared" si="1270"/>
        <v>0</v>
      </c>
      <c r="AO188" s="345">
        <f t="shared" si="796"/>
        <v>0</v>
      </c>
      <c r="AP188" s="345">
        <f t="shared" si="796"/>
        <v>0</v>
      </c>
      <c r="AQ188" s="345">
        <v>0</v>
      </c>
      <c r="AR188" s="345"/>
      <c r="AS188" s="346"/>
      <c r="AT188" s="345"/>
      <c r="AU188" s="345"/>
      <c r="AV188" s="345"/>
      <c r="AW188" s="345"/>
      <c r="AX188" s="345"/>
      <c r="AY188" s="345">
        <v>379</v>
      </c>
      <c r="AZ188" s="345"/>
      <c r="BA188" s="347">
        <v>379</v>
      </c>
      <c r="BB188" s="383">
        <f>BE188-BA188</f>
        <v>-379</v>
      </c>
      <c r="BC188" s="383">
        <f>BF188-BE188</f>
        <v>0</v>
      </c>
      <c r="BD188" s="345">
        <f>BG188-BF188</f>
        <v>0</v>
      </c>
      <c r="BE188" s="345">
        <v>0</v>
      </c>
      <c r="BF188" s="345">
        <v>0</v>
      </c>
      <c r="BG188" s="345">
        <v>0</v>
      </c>
      <c r="BH188" s="345">
        <v>0</v>
      </c>
      <c r="BI188" s="383">
        <f>BL188-BH188</f>
        <v>0</v>
      </c>
      <c r="BJ188" s="383">
        <f>BM188-BL188</f>
        <v>0</v>
      </c>
      <c r="BK188" s="383">
        <f>BN188-BM188</f>
        <v>0</v>
      </c>
      <c r="BL188" s="345">
        <v>0</v>
      </c>
      <c r="BM188" s="345">
        <v>0</v>
      </c>
      <c r="BN188" s="345">
        <v>0</v>
      </c>
      <c r="BO188" s="345"/>
      <c r="BP188" s="345"/>
      <c r="BQ188" s="383">
        <f>BT188-BS188</f>
        <v>0</v>
      </c>
      <c r="BR188" s="383">
        <f>BU188-BT188</f>
        <v>0</v>
      </c>
      <c r="BS188" s="345">
        <v>0</v>
      </c>
      <c r="BT188" s="345">
        <v>0</v>
      </c>
      <c r="BU188" s="345">
        <v>0</v>
      </c>
      <c r="BV188" s="345"/>
      <c r="BW188" s="345"/>
      <c r="BX188" s="345"/>
      <c r="BY188" s="345"/>
      <c r="BZ188" s="345">
        <v>0</v>
      </c>
      <c r="CA188" s="345"/>
      <c r="CB188" s="345"/>
      <c r="CC188" s="345"/>
      <c r="CD188" s="345"/>
      <c r="CE188" s="345"/>
      <c r="CF188" s="345"/>
      <c r="CG188" s="345"/>
      <c r="CH188" s="345"/>
      <c r="CI188" s="345"/>
      <c r="CJ188" s="345"/>
      <c r="CK188" s="345"/>
      <c r="CL188" s="345"/>
      <c r="CM188" s="345"/>
      <c r="CN188" s="345"/>
      <c r="CO188" s="345"/>
    </row>
    <row r="189" spans="1:93" ht="13" x14ac:dyDescent="0.3">
      <c r="A189" s="366" t="str">
        <f>Language!$G190</f>
        <v>Depreciação e Amortização</v>
      </c>
      <c r="B189" s="366">
        <f>SUM(B190,B191)</f>
        <v>-5794</v>
      </c>
      <c r="C189" s="366">
        <f>SUM(C190,C191)</f>
        <v>-5651</v>
      </c>
      <c r="D189" s="366">
        <f t="shared" ref="D189:K189" si="1271">SUM(D190,D191)</f>
        <v>-5828</v>
      </c>
      <c r="E189" s="367">
        <f t="shared" si="1271"/>
        <v>-5463</v>
      </c>
      <c r="F189" s="366">
        <f t="shared" si="1271"/>
        <v>-5822</v>
      </c>
      <c r="G189" s="366">
        <f t="shared" si="1271"/>
        <v>-5833</v>
      </c>
      <c r="H189" s="366">
        <f t="shared" si="1271"/>
        <v>-5827</v>
      </c>
      <c r="I189" s="367">
        <f t="shared" si="1271"/>
        <v>-5437</v>
      </c>
      <c r="J189" s="366">
        <f t="shared" si="1271"/>
        <v>-5796</v>
      </c>
      <c r="K189" s="366">
        <f t="shared" si="1271"/>
        <v>-5794</v>
      </c>
      <c r="L189" s="366">
        <f t="shared" ref="L189:M189" si="1272">SUM(L190,L191)</f>
        <v>-5797</v>
      </c>
      <c r="M189" s="367">
        <f t="shared" si="1272"/>
        <v>-9250</v>
      </c>
      <c r="N189" s="366">
        <f t="shared" ref="N189" si="1273">SUM(N190,N191)</f>
        <v>-10505</v>
      </c>
      <c r="O189" s="366">
        <f>SUM(O190,O191)</f>
        <v>-10484</v>
      </c>
      <c r="P189" s="366">
        <f t="shared" ref="P189:Q189" si="1274">SUM(P190,P191)</f>
        <v>-10480</v>
      </c>
      <c r="Q189" s="367">
        <f t="shared" si="1274"/>
        <v>-16362</v>
      </c>
      <c r="R189" s="366">
        <v>-14615</v>
      </c>
      <c r="S189" s="366">
        <v>-14917</v>
      </c>
      <c r="T189" s="366">
        <v>-15667</v>
      </c>
      <c r="U189" s="366">
        <v>-9736</v>
      </c>
      <c r="V189" s="366">
        <v>-29532</v>
      </c>
      <c r="W189" s="366">
        <v>-45199</v>
      </c>
      <c r="X189" s="367">
        <v>-54935</v>
      </c>
      <c r="Y189" s="366">
        <f>SUM(Y190,Y191)</f>
        <v>-224</v>
      </c>
      <c r="Z189" s="366">
        <f>SUM(Z190,Z191)</f>
        <v>-245</v>
      </c>
      <c r="AA189" s="366">
        <f t="shared" ref="AA189:AB189" si="1275">SUM(AA190,AA191)</f>
        <v>-243</v>
      </c>
      <c r="AB189" s="366">
        <f t="shared" si="1275"/>
        <v>267</v>
      </c>
      <c r="AC189" s="366">
        <f t="shared" ref="AC189:AJ189" si="1276">SUM(AC190,AC191)</f>
        <v>-469</v>
      </c>
      <c r="AD189" s="366">
        <f t="shared" si="1276"/>
        <v>-712</v>
      </c>
      <c r="AE189" s="367">
        <f t="shared" si="1276"/>
        <v>-445</v>
      </c>
      <c r="AF189" s="366">
        <f t="shared" si="1276"/>
        <v>-152</v>
      </c>
      <c r="AG189" s="366">
        <f t="shared" si="1276"/>
        <v>-131</v>
      </c>
      <c r="AH189" s="366">
        <f t="shared" si="1276"/>
        <v>40</v>
      </c>
      <c r="AI189" s="366">
        <f t="shared" si="1276"/>
        <v>-6</v>
      </c>
      <c r="AJ189" s="366">
        <f t="shared" si="1276"/>
        <v>-283</v>
      </c>
      <c r="AK189" s="366">
        <f t="shared" ref="AK189:AL189" si="1277">SUM(AK190,AK191)</f>
        <v>-243</v>
      </c>
      <c r="AL189" s="367">
        <f t="shared" si="1277"/>
        <v>-249</v>
      </c>
      <c r="AM189" s="366">
        <f t="shared" ref="AM189:AQ189" si="1278">SUM(AM190,AM191)</f>
        <v>-119</v>
      </c>
      <c r="AN189" s="366">
        <f t="shared" si="1270"/>
        <v>-121</v>
      </c>
      <c r="AO189" s="366">
        <f t="shared" si="796"/>
        <v>-122</v>
      </c>
      <c r="AP189" s="366">
        <f t="shared" si="796"/>
        <v>61</v>
      </c>
      <c r="AQ189" s="366">
        <f t="shared" si="1278"/>
        <v>-240</v>
      </c>
      <c r="AR189" s="366">
        <f t="shared" ref="AR189:AS189" si="1279">SUM(AR190,AR191)</f>
        <v>-362</v>
      </c>
      <c r="AS189" s="367">
        <f t="shared" si="1279"/>
        <v>-301</v>
      </c>
      <c r="AT189" s="366">
        <f t="shared" ref="AT189:AU189" si="1280">SUM(AT190,AT191)</f>
        <v>-156</v>
      </c>
      <c r="AU189" s="366">
        <f t="shared" si="1280"/>
        <v>-166</v>
      </c>
      <c r="AV189" s="366">
        <f t="shared" ref="AV189:AW189" si="1281">SUM(AV190,AV191)</f>
        <v>-164</v>
      </c>
      <c r="AW189" s="366">
        <f t="shared" si="1281"/>
        <v>-165</v>
      </c>
      <c r="AX189" s="366">
        <f t="shared" ref="AX189:AZ189" si="1282">SUM(AX190,AX191)</f>
        <v>-322</v>
      </c>
      <c r="AY189" s="696">
        <f t="shared" si="1282"/>
        <v>-486</v>
      </c>
      <c r="AZ189" s="366">
        <f t="shared" si="1282"/>
        <v>-651</v>
      </c>
      <c r="BA189" s="366">
        <f t="shared" ref="BA189:BD189" si="1283">SUM(BA190,BA191)</f>
        <v>-152</v>
      </c>
      <c r="BB189" s="366">
        <f t="shared" si="1283"/>
        <v>-112</v>
      </c>
      <c r="BC189" s="366">
        <f t="shared" si="1283"/>
        <v>-111</v>
      </c>
      <c r="BD189" s="366">
        <f t="shared" si="1283"/>
        <v>-202</v>
      </c>
      <c r="BE189" s="366">
        <f t="shared" ref="BE189:BF189" si="1284">SUM(BE190,BE191)</f>
        <v>-264</v>
      </c>
      <c r="BF189" s="366">
        <f t="shared" si="1284"/>
        <v>-375</v>
      </c>
      <c r="BG189" s="366">
        <f t="shared" ref="BG189:BH189" si="1285">SUM(BG190,BG191)</f>
        <v>-577</v>
      </c>
      <c r="BH189" s="366">
        <f t="shared" si="1285"/>
        <v>-225</v>
      </c>
      <c r="BI189" s="366">
        <f t="shared" ref="BI189:BL189" si="1286">SUM(BI190,BI191)</f>
        <v>-155</v>
      </c>
      <c r="BJ189" s="366">
        <f t="shared" si="1286"/>
        <v>-191</v>
      </c>
      <c r="BK189" s="366">
        <f t="shared" si="1286"/>
        <v>66</v>
      </c>
      <c r="BL189" s="366">
        <f t="shared" si="1286"/>
        <v>-380</v>
      </c>
      <c r="BM189" s="366">
        <f t="shared" ref="BM189" si="1287">SUM(BM190,BM191)</f>
        <v>-571</v>
      </c>
      <c r="BN189" s="366">
        <f>SUM(BN190,BN191)</f>
        <v>-814</v>
      </c>
      <c r="BO189" s="366">
        <f>SUM(BO190,BO191)</f>
        <v>166</v>
      </c>
      <c r="BP189" s="366">
        <f t="shared" ref="BP189:BS189" si="1288">SUM(BP190,BP191)</f>
        <v>0</v>
      </c>
      <c r="BQ189" s="366">
        <f t="shared" si="1288"/>
        <v>-261</v>
      </c>
      <c r="BR189" s="366">
        <f t="shared" si="1288"/>
        <v>-2110</v>
      </c>
      <c r="BS189" s="366">
        <f t="shared" si="1288"/>
        <v>-648</v>
      </c>
      <c r="BT189" s="366">
        <f t="shared" ref="BT189:BU189" si="1289">SUM(BT190,BT191)</f>
        <v>-909</v>
      </c>
      <c r="BU189" s="366">
        <f t="shared" si="1289"/>
        <v>-3019</v>
      </c>
      <c r="BV189" s="366">
        <f t="shared" ref="BV189:BZ189" si="1290">SUM(BV190,BV191)</f>
        <v>-728</v>
      </c>
      <c r="BW189" s="366">
        <f t="shared" si="1290"/>
        <v>-757</v>
      </c>
      <c r="BX189" s="366">
        <f t="shared" si="1290"/>
        <v>-757</v>
      </c>
      <c r="BY189" s="366">
        <f t="shared" si="1290"/>
        <v>-752</v>
      </c>
      <c r="BZ189" s="366">
        <f t="shared" si="1290"/>
        <v>-1485</v>
      </c>
      <c r="CA189" s="366">
        <f t="shared" ref="CA189:CB189" si="1291">SUM(CA190,CA191)</f>
        <v>-2242</v>
      </c>
      <c r="CB189" s="366">
        <f t="shared" si="1291"/>
        <v>-2994</v>
      </c>
      <c r="CC189" s="366">
        <f t="shared" ref="CC189:CD189" si="1292">SUM(CC190,CC191)</f>
        <v>-795</v>
      </c>
      <c r="CD189" s="366">
        <f t="shared" si="1292"/>
        <v>-796</v>
      </c>
      <c r="CE189" s="366">
        <f t="shared" ref="CE189:CG189" si="1293">SUM(CE190,CE191)</f>
        <v>-797</v>
      </c>
      <c r="CF189" s="366">
        <f t="shared" si="1293"/>
        <v>-797</v>
      </c>
      <c r="CG189" s="366">
        <f t="shared" si="1293"/>
        <v>-1591</v>
      </c>
      <c r="CH189" s="366">
        <f t="shared" ref="CH189:CI189" si="1294">SUM(CH190,CH191)</f>
        <v>-2388</v>
      </c>
      <c r="CI189" s="366">
        <f t="shared" si="1294"/>
        <v>-3185</v>
      </c>
      <c r="CJ189" s="366">
        <v>-812</v>
      </c>
      <c r="CK189" s="366">
        <f t="shared" ref="CK189:CO189" si="1295">SUM(CK190,CK191)</f>
        <v>-808</v>
      </c>
      <c r="CL189" s="366">
        <f t="shared" si="1295"/>
        <v>0</v>
      </c>
      <c r="CM189" s="366">
        <f t="shared" si="1295"/>
        <v>0</v>
      </c>
      <c r="CN189" s="366">
        <f t="shared" si="1295"/>
        <v>-1620</v>
      </c>
      <c r="CO189" s="366">
        <f t="shared" si="1295"/>
        <v>0</v>
      </c>
    </row>
    <row r="190" spans="1:93" s="394" customFormat="1" x14ac:dyDescent="0.25">
      <c r="A190" s="393" t="str">
        <f>Language!$G191</f>
        <v>D&amp;A</v>
      </c>
      <c r="B190" s="394">
        <f t="shared" ref="B190:N190" si="1296">SUM(B193,B196,B202)</f>
        <v>-5794</v>
      </c>
      <c r="C190" s="394">
        <f t="shared" si="1296"/>
        <v>-2999</v>
      </c>
      <c r="D190" s="394">
        <f t="shared" si="1296"/>
        <v>8687</v>
      </c>
      <c r="E190" s="395">
        <f t="shared" si="1296"/>
        <v>-17327</v>
      </c>
      <c r="F190" s="394">
        <f t="shared" si="1296"/>
        <v>-4496</v>
      </c>
      <c r="G190" s="394">
        <f t="shared" si="1296"/>
        <v>-4507</v>
      </c>
      <c r="H190" s="394">
        <f t="shared" si="1296"/>
        <v>-4502</v>
      </c>
      <c r="I190" s="395">
        <f t="shared" si="1296"/>
        <v>-9414</v>
      </c>
      <c r="J190" s="394">
        <f t="shared" si="1296"/>
        <v>-5796</v>
      </c>
      <c r="K190" s="394">
        <f t="shared" si="1296"/>
        <v>-5794</v>
      </c>
      <c r="L190" s="394">
        <f t="shared" si="1296"/>
        <v>-5797</v>
      </c>
      <c r="M190" s="395">
        <f t="shared" si="1296"/>
        <v>-9250</v>
      </c>
      <c r="N190" s="394">
        <f t="shared" si="1296"/>
        <v>-10505</v>
      </c>
      <c r="O190" s="394">
        <f t="shared" ref="O190" si="1297">SUM(O193,O196,O202)</f>
        <v>-7078</v>
      </c>
      <c r="P190" s="394">
        <f t="shared" ref="P190:Q190" si="1298">SUM(P193,P196,P202)</f>
        <v>-8778</v>
      </c>
      <c r="Q190" s="395">
        <f t="shared" si="1298"/>
        <v>-14659</v>
      </c>
      <c r="R190" s="394">
        <v>-12912</v>
      </c>
      <c r="S190" s="394">
        <v>-13968</v>
      </c>
      <c r="T190" s="394">
        <v>-13210</v>
      </c>
      <c r="U190" s="394">
        <v>-8599</v>
      </c>
      <c r="V190" s="394">
        <v>-26880</v>
      </c>
      <c r="W190" s="394">
        <v>-40090</v>
      </c>
      <c r="X190" s="395">
        <v>-48689</v>
      </c>
      <c r="Y190" s="394">
        <f t="shared" ref="Y190" si="1299">SUM(Y193,Y196,Y199,Y202)</f>
        <v>-224</v>
      </c>
      <c r="Z190" s="394">
        <f t="shared" ref="Z190:AB190" si="1300">SUM(Z193,Z196,Z199,Z202)</f>
        <v>-245</v>
      </c>
      <c r="AA190" s="394">
        <f t="shared" si="1300"/>
        <v>-243</v>
      </c>
      <c r="AB190" s="394">
        <f t="shared" si="1300"/>
        <v>267</v>
      </c>
      <c r="AC190" s="394">
        <f t="shared" ref="AC190:AE191" si="1301">SUM(AC193,AC196,AC199,AC202)</f>
        <v>-469</v>
      </c>
      <c r="AD190" s="394">
        <f t="shared" si="1301"/>
        <v>-712</v>
      </c>
      <c r="AE190" s="395">
        <f t="shared" si="1301"/>
        <v>-445</v>
      </c>
      <c r="AF190" s="394">
        <f t="shared" ref="AF190:AJ190" si="1302">SUM(AF193,AF196,AF199,AF202)</f>
        <v>-152</v>
      </c>
      <c r="AG190" s="394">
        <f t="shared" si="1302"/>
        <v>-131</v>
      </c>
      <c r="AH190" s="394">
        <f t="shared" si="1302"/>
        <v>40</v>
      </c>
      <c r="AI190" s="394">
        <f t="shared" si="1302"/>
        <v>-6</v>
      </c>
      <c r="AJ190" s="394">
        <f t="shared" si="1302"/>
        <v>-283</v>
      </c>
      <c r="AK190" s="394">
        <f t="shared" ref="AK190:AL190" si="1303">SUM(AK193,AK196,AK199,AK202)</f>
        <v>-243</v>
      </c>
      <c r="AL190" s="395">
        <f t="shared" si="1303"/>
        <v>-249</v>
      </c>
      <c r="AM190" s="394">
        <f t="shared" ref="AM190:AQ190" si="1304">SUM(AM193,AM196,AM199,AM202)</f>
        <v>-119</v>
      </c>
      <c r="AN190" s="394">
        <f t="shared" si="1270"/>
        <v>-121</v>
      </c>
      <c r="AO190" s="394">
        <f t="shared" si="796"/>
        <v>-122</v>
      </c>
      <c r="AP190" s="394">
        <f t="shared" si="796"/>
        <v>61</v>
      </c>
      <c r="AQ190" s="394">
        <f t="shared" si="1304"/>
        <v>-240</v>
      </c>
      <c r="AR190" s="394">
        <f t="shared" ref="AR190:AS190" si="1305">SUM(AR193,AR196,AR199,AR202)</f>
        <v>-362</v>
      </c>
      <c r="AS190" s="395">
        <f t="shared" si="1305"/>
        <v>-301</v>
      </c>
      <c r="AT190" s="394">
        <f t="shared" ref="AT190:AU190" si="1306">SUM(AT193,AT196,AT199,AT202)</f>
        <v>-156</v>
      </c>
      <c r="AU190" s="394">
        <f t="shared" si="1306"/>
        <v>-166</v>
      </c>
      <c r="AV190" s="394">
        <f t="shared" ref="AV190:AW190" si="1307">SUM(AV193,AV196,AV199,AV202)</f>
        <v>-164</v>
      </c>
      <c r="AW190" s="394">
        <f t="shared" si="1307"/>
        <v>-165</v>
      </c>
      <c r="AX190" s="394">
        <f t="shared" ref="AX190:BF190" si="1308">SUM(AX193,AX196,AX199,AX202)</f>
        <v>-322</v>
      </c>
      <c r="AY190" s="394">
        <f t="shared" si="1308"/>
        <v>-486</v>
      </c>
      <c r="AZ190" s="394">
        <f t="shared" si="1308"/>
        <v>-651</v>
      </c>
      <c r="BA190" s="394">
        <f t="shared" si="1308"/>
        <v>-152</v>
      </c>
      <c r="BB190" s="394">
        <f t="shared" si="1308"/>
        <v>-112</v>
      </c>
      <c r="BC190" s="394">
        <f t="shared" si="1308"/>
        <v>-111</v>
      </c>
      <c r="BD190" s="394">
        <f t="shared" si="1308"/>
        <v>-202</v>
      </c>
      <c r="BE190" s="394">
        <f t="shared" si="1308"/>
        <v>-264</v>
      </c>
      <c r="BF190" s="394">
        <f t="shared" si="1308"/>
        <v>-375</v>
      </c>
      <c r="BG190" s="394">
        <f t="shared" ref="BG190:BH190" si="1309">SUM(BG193,BG196,BG199,BG202)</f>
        <v>-577</v>
      </c>
      <c r="BH190" s="394">
        <f t="shared" si="1309"/>
        <v>-225</v>
      </c>
      <c r="BI190" s="394">
        <f t="shared" ref="BI190:BL190" si="1310">SUM(BI193,BI196,BI199,BI202)</f>
        <v>-155</v>
      </c>
      <c r="BJ190" s="394">
        <f t="shared" si="1310"/>
        <v>-191</v>
      </c>
      <c r="BK190" s="394">
        <f t="shared" si="1310"/>
        <v>66</v>
      </c>
      <c r="BL190" s="394">
        <f t="shared" si="1310"/>
        <v>-380</v>
      </c>
      <c r="BM190" s="394">
        <f t="shared" ref="BM190:BN191" si="1311">SUM(BM193,BM196,BM199,BM202)</f>
        <v>-571</v>
      </c>
      <c r="BN190" s="394">
        <f t="shared" si="1311"/>
        <v>-505</v>
      </c>
      <c r="BO190" s="394">
        <f t="shared" ref="BO190:BS190" si="1312">SUM(BO193,BO196,BO199,BO202)</f>
        <v>-143</v>
      </c>
      <c r="BP190" s="394">
        <f t="shared" si="1312"/>
        <v>0</v>
      </c>
      <c r="BQ190" s="394">
        <f t="shared" si="1312"/>
        <v>-261</v>
      </c>
      <c r="BR190" s="394">
        <f t="shared" si="1312"/>
        <v>336</v>
      </c>
      <c r="BS190" s="394">
        <f t="shared" si="1312"/>
        <v>-648</v>
      </c>
      <c r="BT190" s="394">
        <f t="shared" ref="BT190:BU190" si="1313">SUM(BT193,BT196,BT199,BT202)</f>
        <v>-909</v>
      </c>
      <c r="BU190" s="394">
        <f t="shared" si="1313"/>
        <v>-573</v>
      </c>
      <c r="BV190" s="394">
        <f t="shared" ref="BV190:BZ190" si="1314">SUM(BV193,BV196,BV199,BV202)</f>
        <v>-728</v>
      </c>
      <c r="BW190" s="394">
        <f t="shared" si="1314"/>
        <v>-757</v>
      </c>
      <c r="BX190" s="394">
        <f t="shared" si="1314"/>
        <v>-757</v>
      </c>
      <c r="BY190" s="394">
        <f t="shared" si="1314"/>
        <v>-752</v>
      </c>
      <c r="BZ190" s="394">
        <f t="shared" si="1314"/>
        <v>-1485</v>
      </c>
      <c r="CA190" s="394">
        <f t="shared" ref="CA190:CB190" si="1315">SUM(CA193,CA196,CA199,CA202)</f>
        <v>-2242</v>
      </c>
      <c r="CB190" s="394">
        <f t="shared" si="1315"/>
        <v>-2994</v>
      </c>
      <c r="CC190" s="394">
        <f t="shared" ref="CC190:CD190" si="1316">SUM(CC193,CC196,CC199,CC202)</f>
        <v>-795</v>
      </c>
      <c r="CD190" s="394">
        <f t="shared" si="1316"/>
        <v>-796</v>
      </c>
      <c r="CE190" s="394">
        <f t="shared" ref="CE190:CG190" si="1317">SUM(CE193,CE196,CE199,CE202)</f>
        <v>-797</v>
      </c>
      <c r="CF190" s="394">
        <f t="shared" si="1317"/>
        <v>-797</v>
      </c>
      <c r="CG190" s="394">
        <f t="shared" si="1317"/>
        <v>-1591</v>
      </c>
      <c r="CH190" s="394">
        <f t="shared" ref="CH190:CI190" si="1318">SUM(CH193,CH196,CH199,CH202)</f>
        <v>-2388</v>
      </c>
      <c r="CI190" s="394">
        <f t="shared" si="1318"/>
        <v>-3185</v>
      </c>
      <c r="CJ190" s="394">
        <v>-812</v>
      </c>
      <c r="CK190" s="394">
        <f t="shared" ref="CK190:CO190" si="1319">SUM(CK193,CK196,CK199,CK202)</f>
        <v>-808</v>
      </c>
      <c r="CL190" s="394">
        <f t="shared" si="1319"/>
        <v>0</v>
      </c>
      <c r="CM190" s="394">
        <f t="shared" si="1319"/>
        <v>0</v>
      </c>
      <c r="CN190" s="394">
        <f t="shared" si="1319"/>
        <v>-1620</v>
      </c>
      <c r="CO190" s="394">
        <f t="shared" si="1319"/>
        <v>0</v>
      </c>
    </row>
    <row r="191" spans="1:93" x14ac:dyDescent="0.25">
      <c r="A191" s="396" t="str">
        <f>Language!$G192</f>
        <v>Reavaliação</v>
      </c>
      <c r="B191" s="310">
        <f t="shared" ref="B191:N191" si="1320">SUM(B194,B197,B203)</f>
        <v>0</v>
      </c>
      <c r="C191" s="310">
        <f t="shared" si="1320"/>
        <v>-2652</v>
      </c>
      <c r="D191" s="310">
        <f t="shared" si="1320"/>
        <v>-14515</v>
      </c>
      <c r="E191" s="325">
        <f t="shared" si="1320"/>
        <v>11864</v>
      </c>
      <c r="F191" s="310">
        <f t="shared" si="1320"/>
        <v>-1326</v>
      </c>
      <c r="G191" s="310">
        <f t="shared" si="1320"/>
        <v>-1326</v>
      </c>
      <c r="H191" s="310">
        <f t="shared" si="1320"/>
        <v>-1325</v>
      </c>
      <c r="I191" s="325">
        <f t="shared" si="1320"/>
        <v>3977</v>
      </c>
      <c r="J191" s="310">
        <f t="shared" si="1320"/>
        <v>0</v>
      </c>
      <c r="K191" s="310">
        <f t="shared" si="1320"/>
        <v>0</v>
      </c>
      <c r="L191" s="310">
        <f t="shared" si="1320"/>
        <v>0</v>
      </c>
      <c r="M191" s="325">
        <f t="shared" si="1320"/>
        <v>0</v>
      </c>
      <c r="N191" s="310">
        <f t="shared" si="1320"/>
        <v>0</v>
      </c>
      <c r="O191" s="310">
        <f t="shared" ref="O191" si="1321">SUM(O194,O197,O203)</f>
        <v>-3406</v>
      </c>
      <c r="P191" s="310">
        <f t="shared" ref="P191:Q191" si="1322">SUM(P194,P197,P203)</f>
        <v>-1702</v>
      </c>
      <c r="Q191" s="325">
        <f t="shared" si="1322"/>
        <v>-1703</v>
      </c>
      <c r="R191" s="394">
        <v>-1703</v>
      </c>
      <c r="S191" s="394">
        <v>-949</v>
      </c>
      <c r="T191" s="394">
        <v>-2457</v>
      </c>
      <c r="U191" s="394">
        <v>-1137</v>
      </c>
      <c r="V191" s="394">
        <v>-2652</v>
      </c>
      <c r="W191" s="394">
        <v>-5109</v>
      </c>
      <c r="X191" s="395">
        <v>-6246</v>
      </c>
      <c r="Y191" s="394">
        <f t="shared" ref="Y191" si="1323">SUM(Y194,Y197,Y200,Y203)</f>
        <v>0</v>
      </c>
      <c r="Z191" s="394">
        <f t="shared" ref="Z191:AB191" si="1324">SUM(Z194,Z197,Z200,Z203)</f>
        <v>0</v>
      </c>
      <c r="AA191" s="394">
        <f t="shared" si="1324"/>
        <v>0</v>
      </c>
      <c r="AB191" s="394">
        <f t="shared" si="1324"/>
        <v>0</v>
      </c>
      <c r="AC191" s="394">
        <f t="shared" si="1301"/>
        <v>0</v>
      </c>
      <c r="AD191" s="394">
        <f t="shared" si="1301"/>
        <v>0</v>
      </c>
      <c r="AE191" s="395">
        <f t="shared" si="1301"/>
        <v>0</v>
      </c>
      <c r="AF191" s="394">
        <f t="shared" ref="AF191:AJ191" si="1325">SUM(AF194,AF197,AF200,AF203)</f>
        <v>0</v>
      </c>
      <c r="AG191" s="394">
        <f t="shared" si="1325"/>
        <v>0</v>
      </c>
      <c r="AH191" s="394">
        <f t="shared" si="1325"/>
        <v>0</v>
      </c>
      <c r="AI191" s="394">
        <f t="shared" si="1325"/>
        <v>0</v>
      </c>
      <c r="AJ191" s="394">
        <f t="shared" si="1325"/>
        <v>0</v>
      </c>
      <c r="AK191" s="394">
        <f t="shared" ref="AK191:AL191" si="1326">SUM(AK194,AK197,AK200,AK203)</f>
        <v>0</v>
      </c>
      <c r="AL191" s="395">
        <f t="shared" si="1326"/>
        <v>0</v>
      </c>
      <c r="AM191" s="394">
        <f t="shared" ref="AM191:AQ191" si="1327">SUM(AM194,AM197,AM200,AM203)</f>
        <v>0</v>
      </c>
      <c r="AN191" s="394">
        <f t="shared" si="1270"/>
        <v>0</v>
      </c>
      <c r="AO191" s="394">
        <f t="shared" si="796"/>
        <v>0</v>
      </c>
      <c r="AP191" s="394">
        <f t="shared" si="796"/>
        <v>0</v>
      </c>
      <c r="AQ191" s="394">
        <f t="shared" si="1327"/>
        <v>0</v>
      </c>
      <c r="AR191" s="394">
        <f t="shared" ref="AR191:AS191" si="1328">SUM(AR194,AR197,AR200,AR203)</f>
        <v>0</v>
      </c>
      <c r="AS191" s="395">
        <f t="shared" si="1328"/>
        <v>0</v>
      </c>
      <c r="AT191" s="394">
        <f t="shared" ref="AT191" si="1329">SUM(AT194,AT197,AT200,AT203)</f>
        <v>0</v>
      </c>
      <c r="AU191" s="394"/>
      <c r="AV191" s="394">
        <f t="shared" ref="AV191:AW191" si="1330">SUM(AV194,AV197,AV200,AV203)</f>
        <v>0</v>
      </c>
      <c r="AW191" s="394">
        <f t="shared" si="1330"/>
        <v>0</v>
      </c>
      <c r="AX191" s="394">
        <v>0</v>
      </c>
      <c r="AY191" s="394">
        <f t="shared" ref="AY191:BA191" si="1331">SUM(AY194,AY197,AY200,AY203)</f>
        <v>0</v>
      </c>
      <c r="AZ191" s="394">
        <f t="shared" si="1331"/>
        <v>0</v>
      </c>
      <c r="BA191" s="394">
        <f t="shared" si="1331"/>
        <v>0</v>
      </c>
      <c r="BB191" s="394"/>
      <c r="BC191" s="394"/>
      <c r="BD191" s="394"/>
      <c r="BE191" s="394"/>
      <c r="BF191" s="394"/>
      <c r="BG191" s="394"/>
      <c r="BH191" s="394"/>
      <c r="BI191" s="394"/>
      <c r="BJ191" s="394"/>
      <c r="BK191" s="394"/>
      <c r="BL191" s="394"/>
      <c r="BM191" s="394"/>
      <c r="BN191" s="394">
        <f t="shared" si="1311"/>
        <v>-309</v>
      </c>
      <c r="BO191" s="394">
        <f t="shared" ref="BO191:BS191" si="1332">SUM(BO194,BO197,BO200,BO203)</f>
        <v>309</v>
      </c>
      <c r="BP191" s="394">
        <f t="shared" si="1332"/>
        <v>0</v>
      </c>
      <c r="BQ191" s="394">
        <f t="shared" si="1332"/>
        <v>0</v>
      </c>
      <c r="BR191" s="394">
        <f t="shared" si="1332"/>
        <v>-2446</v>
      </c>
      <c r="BS191" s="394">
        <f t="shared" si="1332"/>
        <v>0</v>
      </c>
      <c r="BT191" s="394">
        <f t="shared" ref="BT191:BU191" si="1333">SUM(BT194,BT197,BT200,BT203)</f>
        <v>0</v>
      </c>
      <c r="BU191" s="394">
        <f t="shared" si="1333"/>
        <v>-2446</v>
      </c>
      <c r="BV191" s="394">
        <f t="shared" ref="BV191:BZ191" si="1334">SUM(BV194,BV197,BV200,BV203)</f>
        <v>0</v>
      </c>
      <c r="BW191" s="394">
        <f t="shared" si="1334"/>
        <v>0</v>
      </c>
      <c r="BX191" s="394">
        <f t="shared" si="1334"/>
        <v>0</v>
      </c>
      <c r="BY191" s="394">
        <f t="shared" si="1334"/>
        <v>0</v>
      </c>
      <c r="BZ191" s="394">
        <f t="shared" si="1334"/>
        <v>0</v>
      </c>
      <c r="CA191" s="394">
        <f t="shared" ref="CA191:CB191" si="1335">SUM(CA194,CA197,CA200,CA203)</f>
        <v>0</v>
      </c>
      <c r="CB191" s="394">
        <f t="shared" si="1335"/>
        <v>0</v>
      </c>
      <c r="CC191" s="394">
        <f t="shared" ref="CC191:CD191" si="1336">SUM(CC194,CC197,CC200,CC203)</f>
        <v>0</v>
      </c>
      <c r="CD191" s="394">
        <f t="shared" si="1336"/>
        <v>0</v>
      </c>
      <c r="CE191" s="394">
        <f t="shared" ref="CE191:CG191" si="1337">SUM(CE194,CE197,CE200,CE203)</f>
        <v>0</v>
      </c>
      <c r="CF191" s="394">
        <f t="shared" si="1337"/>
        <v>0</v>
      </c>
      <c r="CG191" s="394">
        <f t="shared" si="1337"/>
        <v>0</v>
      </c>
      <c r="CH191" s="394">
        <f t="shared" ref="CH191:CI191" si="1338">SUM(CH194,CH197,CH200,CH203)</f>
        <v>0</v>
      </c>
      <c r="CI191" s="394">
        <f t="shared" si="1338"/>
        <v>0</v>
      </c>
      <c r="CJ191" s="394">
        <v>0</v>
      </c>
      <c r="CK191" s="394">
        <f t="shared" ref="CK191:CO191" si="1339">SUM(CK194,CK197,CK200,CK203)</f>
        <v>0</v>
      </c>
      <c r="CL191" s="394">
        <f t="shared" si="1339"/>
        <v>0</v>
      </c>
      <c r="CM191" s="394">
        <f t="shared" si="1339"/>
        <v>0</v>
      </c>
      <c r="CN191" s="394">
        <f t="shared" si="1339"/>
        <v>0</v>
      </c>
      <c r="CO191" s="394">
        <f t="shared" si="1339"/>
        <v>0</v>
      </c>
    </row>
    <row r="192" spans="1:93" x14ac:dyDescent="0.25">
      <c r="A192" s="340" t="str">
        <f>Language!$G193</f>
        <v>Rio Verde</v>
      </c>
      <c r="B192" s="310">
        <f t="shared" ref="B192:N192" si="1340">SUM(B193,B194)</f>
        <v>-5794</v>
      </c>
      <c r="C192" s="310">
        <f t="shared" si="1340"/>
        <v>-5647</v>
      </c>
      <c r="D192" s="310">
        <f t="shared" si="1340"/>
        <v>-5820</v>
      </c>
      <c r="E192" s="325">
        <f t="shared" si="1340"/>
        <v>-5455</v>
      </c>
      <c r="F192" s="310">
        <f t="shared" si="1340"/>
        <v>-5809</v>
      </c>
      <c r="G192" s="310">
        <f t="shared" si="1340"/>
        <v>-5815</v>
      </c>
      <c r="H192" s="310">
        <f t="shared" si="1340"/>
        <v>-5806</v>
      </c>
      <c r="I192" s="325">
        <f t="shared" si="1340"/>
        <v>-5415</v>
      </c>
      <c r="J192" s="310">
        <f t="shared" si="1340"/>
        <v>-5771</v>
      </c>
      <c r="K192" s="310">
        <f t="shared" si="1340"/>
        <v>-5770</v>
      </c>
      <c r="L192" s="310">
        <f t="shared" si="1340"/>
        <v>-5773</v>
      </c>
      <c r="M192" s="325">
        <f t="shared" si="1340"/>
        <v>-5769</v>
      </c>
      <c r="N192" s="310">
        <f t="shared" si="1340"/>
        <v>-5776</v>
      </c>
      <c r="O192" s="310">
        <f>SUM(O193,O194)</f>
        <v>-5783</v>
      </c>
      <c r="P192" s="310">
        <f t="shared" ref="P192:Q192" si="1341">SUM(P193,P194)</f>
        <v>-5777</v>
      </c>
      <c r="Q192" s="325">
        <f t="shared" si="1341"/>
        <v>-5775</v>
      </c>
      <c r="R192" s="310">
        <v>-5774</v>
      </c>
      <c r="S192" s="310">
        <v>-5801</v>
      </c>
      <c r="T192" s="310">
        <v>-5772</v>
      </c>
      <c r="U192" s="310">
        <v>-3844</v>
      </c>
      <c r="V192" s="310">
        <v>-11575</v>
      </c>
      <c r="W192" s="310">
        <v>-17347</v>
      </c>
      <c r="X192" s="325">
        <v>-21191</v>
      </c>
      <c r="Y192" s="310">
        <f t="shared" ref="Y192" si="1342">SUM(Y193,Y194)</f>
        <v>0</v>
      </c>
      <c r="Z192" s="310">
        <f t="shared" ref="Z192:AB192" si="1343">SUM(Z193,Z194)</f>
        <v>0</v>
      </c>
      <c r="AA192" s="310">
        <f t="shared" si="1343"/>
        <v>0</v>
      </c>
      <c r="AB192" s="310">
        <f t="shared" si="1343"/>
        <v>0</v>
      </c>
      <c r="AC192" s="310">
        <f t="shared" ref="AC192:AD192" si="1344">SUM(AC193,AC194)</f>
        <v>0</v>
      </c>
      <c r="AD192" s="310">
        <f t="shared" si="1344"/>
        <v>0</v>
      </c>
      <c r="AE192" s="325">
        <f t="shared" ref="AE192:AJ192" si="1345">SUM(AE193,AE194)</f>
        <v>0</v>
      </c>
      <c r="AF192" s="310">
        <f t="shared" si="1345"/>
        <v>0</v>
      </c>
      <c r="AG192" s="310">
        <f t="shared" si="1345"/>
        <v>0</v>
      </c>
      <c r="AH192" s="310">
        <f t="shared" si="1345"/>
        <v>0</v>
      </c>
      <c r="AI192" s="310">
        <f t="shared" si="1345"/>
        <v>0</v>
      </c>
      <c r="AJ192" s="310">
        <f t="shared" si="1345"/>
        <v>0</v>
      </c>
      <c r="AK192" s="310">
        <f t="shared" ref="AK192:AL192" si="1346">SUM(AK193,AK194)</f>
        <v>0</v>
      </c>
      <c r="AL192" s="325">
        <f t="shared" si="1346"/>
        <v>0</v>
      </c>
      <c r="AM192" s="310">
        <f t="shared" ref="AM192:AQ192" si="1347">SUM(AM193,AM194)</f>
        <v>0</v>
      </c>
      <c r="AN192" s="310">
        <f t="shared" si="1270"/>
        <v>0</v>
      </c>
      <c r="AO192" s="310">
        <f t="shared" si="796"/>
        <v>0</v>
      </c>
      <c r="AP192" s="310">
        <f t="shared" si="796"/>
        <v>0</v>
      </c>
      <c r="AQ192" s="310">
        <f t="shared" si="1347"/>
        <v>0</v>
      </c>
      <c r="AR192" s="310">
        <f t="shared" ref="AR192:AS192" si="1348">SUM(AR193,AR194)</f>
        <v>0</v>
      </c>
      <c r="AS192" s="325">
        <f t="shared" si="1348"/>
        <v>0</v>
      </c>
      <c r="AT192" s="310">
        <f t="shared" ref="AT192" si="1349">SUM(AT193,AT194)</f>
        <v>0</v>
      </c>
      <c r="AV192" s="310">
        <f t="shared" ref="AV192:AW192" si="1350">SUM(AV193,AV194)</f>
        <v>0</v>
      </c>
      <c r="AW192" s="310">
        <f t="shared" si="1350"/>
        <v>0</v>
      </c>
      <c r="AX192" s="310">
        <v>0</v>
      </c>
      <c r="AY192" s="310">
        <f t="shared" ref="AY192:AZ192" si="1351">SUM(AY193,AY194)</f>
        <v>0</v>
      </c>
      <c r="AZ192" s="310">
        <f t="shared" si="1351"/>
        <v>0</v>
      </c>
      <c r="BA192" s="310">
        <f t="shared" ref="BA192:BD192" si="1352">SUM(BA193,BA194)</f>
        <v>0</v>
      </c>
      <c r="BB192" s="310">
        <f t="shared" si="1352"/>
        <v>0</v>
      </c>
      <c r="BC192" s="310">
        <f t="shared" si="1352"/>
        <v>0</v>
      </c>
      <c r="BD192" s="310">
        <f t="shared" si="1352"/>
        <v>0</v>
      </c>
      <c r="BE192" s="310">
        <f t="shared" ref="BE192:BF192" si="1353">SUM(BE193,BE194)</f>
        <v>0</v>
      </c>
      <c r="BF192" s="310">
        <f t="shared" si="1353"/>
        <v>0</v>
      </c>
      <c r="BG192" s="310">
        <f t="shared" ref="BG192:BH192" si="1354">SUM(BG193,BG194)</f>
        <v>0</v>
      </c>
      <c r="BH192" s="310">
        <f t="shared" si="1354"/>
        <v>0</v>
      </c>
      <c r="BI192" s="310">
        <f t="shared" ref="BI192:BL192" si="1355">SUM(BI193,BI194)</f>
        <v>0</v>
      </c>
      <c r="BJ192" s="310">
        <f t="shared" si="1355"/>
        <v>0</v>
      </c>
      <c r="BK192" s="310">
        <f t="shared" si="1355"/>
        <v>0</v>
      </c>
      <c r="BL192" s="310">
        <f t="shared" si="1355"/>
        <v>0</v>
      </c>
      <c r="BM192" s="310">
        <f t="shared" ref="BM192:BN192" si="1356">SUM(BM193,BM194)</f>
        <v>0</v>
      </c>
      <c r="BN192" s="310">
        <f t="shared" si="1356"/>
        <v>0</v>
      </c>
      <c r="BO192" s="310">
        <f t="shared" ref="BO192:BS192" si="1357">SUM(BO193,BO194)</f>
        <v>0</v>
      </c>
      <c r="BP192" s="310">
        <f t="shared" si="1357"/>
        <v>0</v>
      </c>
      <c r="BQ192" s="310">
        <f t="shared" si="1357"/>
        <v>0</v>
      </c>
      <c r="BR192" s="310">
        <f t="shared" si="1357"/>
        <v>0</v>
      </c>
      <c r="BS192" s="310">
        <f t="shared" si="1357"/>
        <v>0</v>
      </c>
      <c r="BT192" s="310">
        <f t="shared" ref="BT192:BU192" si="1358">SUM(BT193,BT194)</f>
        <v>0</v>
      </c>
      <c r="BU192" s="310">
        <f t="shared" si="1358"/>
        <v>0</v>
      </c>
      <c r="BV192" s="310">
        <f t="shared" ref="BV192:BZ192" si="1359">SUM(BV193,BV194)</f>
        <v>0</v>
      </c>
      <c r="BW192" s="310">
        <f t="shared" si="1359"/>
        <v>0</v>
      </c>
      <c r="BX192" s="310">
        <f t="shared" si="1359"/>
        <v>0</v>
      </c>
      <c r="BY192" s="310">
        <f t="shared" si="1359"/>
        <v>0</v>
      </c>
      <c r="BZ192" s="310">
        <f t="shared" si="1359"/>
        <v>0</v>
      </c>
      <c r="CA192" s="310">
        <f t="shared" ref="CA192:CB192" si="1360">SUM(CA193,CA194)</f>
        <v>0</v>
      </c>
      <c r="CB192" s="310">
        <f t="shared" si="1360"/>
        <v>0</v>
      </c>
      <c r="CC192" s="310">
        <f t="shared" ref="CC192:CD192" si="1361">SUM(CC193,CC194)</f>
        <v>0</v>
      </c>
      <c r="CD192" s="310">
        <f t="shared" si="1361"/>
        <v>0</v>
      </c>
      <c r="CE192" s="310">
        <f t="shared" ref="CE192:CG192" si="1362">SUM(CE193,CE194)</f>
        <v>0</v>
      </c>
      <c r="CF192" s="310">
        <f t="shared" si="1362"/>
        <v>0</v>
      </c>
      <c r="CG192" s="310">
        <f t="shared" si="1362"/>
        <v>0</v>
      </c>
      <c r="CH192" s="310">
        <f t="shared" ref="CH192:CI192" si="1363">SUM(CH193,CH194)</f>
        <v>0</v>
      </c>
      <c r="CI192" s="310">
        <f t="shared" si="1363"/>
        <v>0</v>
      </c>
      <c r="CJ192" s="310">
        <v>0</v>
      </c>
      <c r="CK192" s="310">
        <f t="shared" ref="CK192:CO192" si="1364">SUM(CK193,CK194)</f>
        <v>0</v>
      </c>
      <c r="CL192" s="310">
        <f t="shared" si="1364"/>
        <v>0</v>
      </c>
      <c r="CM192" s="310">
        <f t="shared" si="1364"/>
        <v>0</v>
      </c>
      <c r="CN192" s="310">
        <f t="shared" si="1364"/>
        <v>0</v>
      </c>
      <c r="CO192" s="310">
        <f t="shared" si="1364"/>
        <v>0</v>
      </c>
    </row>
    <row r="193" spans="1:93" s="394" customFormat="1" x14ac:dyDescent="0.25">
      <c r="A193" s="393" t="str">
        <f>Language!$G194</f>
        <v>D&amp;A</v>
      </c>
      <c r="B193" s="383">
        <f>-5770-24</f>
        <v>-5794</v>
      </c>
      <c r="C193" s="383">
        <v>-2995</v>
      </c>
      <c r="D193" s="383">
        <v>8695</v>
      </c>
      <c r="E193" s="382">
        <v>-17319</v>
      </c>
      <c r="F193" s="383">
        <v>-4483</v>
      </c>
      <c r="G193" s="383">
        <v>-4489</v>
      </c>
      <c r="H193" s="383">
        <v>-4481</v>
      </c>
      <c r="I193" s="382">
        <v>-9392</v>
      </c>
      <c r="J193" s="383">
        <v>-5771</v>
      </c>
      <c r="K193" s="383">
        <v>-5770</v>
      </c>
      <c r="L193" s="383">
        <v>-5773</v>
      </c>
      <c r="M193" s="382">
        <v>-5769</v>
      </c>
      <c r="N193" s="383">
        <v>-5776</v>
      </c>
      <c r="O193" s="383">
        <v>-2377</v>
      </c>
      <c r="P193" s="383">
        <v>-4075</v>
      </c>
      <c r="Q193" s="382">
        <v>-4072</v>
      </c>
      <c r="R193" s="383">
        <v>-4071</v>
      </c>
      <c r="S193" s="383">
        <v>-4852</v>
      </c>
      <c r="T193" s="383">
        <v>-3315</v>
      </c>
      <c r="U193" s="383">
        <v>-2707</v>
      </c>
      <c r="V193" s="322">
        <v>-8923</v>
      </c>
      <c r="W193" s="383">
        <v>-12238</v>
      </c>
      <c r="X193" s="382">
        <v>-14945</v>
      </c>
      <c r="Y193" s="383">
        <v>0</v>
      </c>
      <c r="Z193" s="383">
        <v>0</v>
      </c>
      <c r="AA193" s="383">
        <f>AD193-Z193-Y193</f>
        <v>0</v>
      </c>
      <c r="AB193" s="383">
        <f t="shared" ref="AB193:AB224" si="1365">AE193-Y193-Z193-AA193</f>
        <v>0</v>
      </c>
      <c r="AC193" s="383">
        <v>0</v>
      </c>
      <c r="AD193" s="383">
        <v>0</v>
      </c>
      <c r="AE193" s="382">
        <v>0</v>
      </c>
      <c r="AF193" s="383">
        <v>0</v>
      </c>
      <c r="AG193" s="383">
        <v>0</v>
      </c>
      <c r="AH193" s="383">
        <f>AK193-AG193-AF193</f>
        <v>0</v>
      </c>
      <c r="AI193" s="383">
        <f t="shared" ref="AI193:AI194" si="1366">AL193-AF193-AG193-AH193</f>
        <v>0</v>
      </c>
      <c r="AJ193" s="383">
        <v>0</v>
      </c>
      <c r="AK193" s="383">
        <v>0</v>
      </c>
      <c r="AL193" s="382">
        <v>0</v>
      </c>
      <c r="AM193" s="383">
        <v>0</v>
      </c>
      <c r="AN193" s="383">
        <f t="shared" si="1270"/>
        <v>0</v>
      </c>
      <c r="AO193" s="383">
        <f t="shared" si="796"/>
        <v>0</v>
      </c>
      <c r="AP193" s="383">
        <f t="shared" si="796"/>
        <v>0</v>
      </c>
      <c r="AQ193" s="383">
        <v>0</v>
      </c>
      <c r="AR193" s="383"/>
      <c r="AS193" s="382"/>
      <c r="AT193" s="383"/>
      <c r="AU193" s="383"/>
      <c r="AV193" s="383"/>
      <c r="AW193" s="383"/>
      <c r="AX193" s="383"/>
      <c r="AY193" s="383"/>
      <c r="AZ193" s="383"/>
      <c r="BA193" s="383"/>
      <c r="BB193" s="383"/>
      <c r="BC193" s="383"/>
      <c r="BD193" s="383"/>
      <c r="BE193" s="383"/>
      <c r="BF193" s="383"/>
      <c r="BG193" s="383"/>
      <c r="BH193" s="383"/>
      <c r="BI193" s="383"/>
      <c r="BJ193" s="383"/>
      <c r="BK193" s="383"/>
      <c r="BL193" s="383"/>
      <c r="BM193" s="383"/>
      <c r="BN193" s="383"/>
      <c r="BO193" s="383"/>
      <c r="BP193" s="383"/>
      <c r="BQ193" s="383"/>
      <c r="BR193" s="383"/>
      <c r="BS193" s="383"/>
      <c r="BT193" s="383"/>
      <c r="BU193" s="383"/>
      <c r="BV193" s="383"/>
      <c r="BW193" s="383"/>
      <c r="BX193" s="383"/>
      <c r="BY193" s="383"/>
      <c r="BZ193" s="383"/>
      <c r="CA193" s="383"/>
      <c r="CB193" s="383"/>
      <c r="CC193" s="383"/>
      <c r="CD193" s="383"/>
      <c r="CE193" s="383"/>
      <c r="CF193" s="383"/>
      <c r="CG193" s="383"/>
      <c r="CH193" s="383"/>
      <c r="CI193" s="383"/>
      <c r="CJ193" s="383"/>
      <c r="CK193" s="383"/>
      <c r="CL193" s="383"/>
      <c r="CM193" s="383"/>
      <c r="CN193" s="383"/>
      <c r="CO193" s="383"/>
    </row>
    <row r="194" spans="1:93" x14ac:dyDescent="0.25">
      <c r="A194" s="396" t="str">
        <f>Language!$G195</f>
        <v>Reavaliação</v>
      </c>
      <c r="B194" s="322">
        <v>0</v>
      </c>
      <c r="C194" s="322">
        <v>-2652</v>
      </c>
      <c r="D194" s="322">
        <v>-14515</v>
      </c>
      <c r="E194" s="321">
        <v>11864</v>
      </c>
      <c r="F194" s="322">
        <v>-1326</v>
      </c>
      <c r="G194" s="322">
        <v>-1326</v>
      </c>
      <c r="H194" s="322">
        <v>-1325</v>
      </c>
      <c r="I194" s="321">
        <v>3977</v>
      </c>
      <c r="J194" s="322">
        <v>0</v>
      </c>
      <c r="K194" s="322">
        <v>0</v>
      </c>
      <c r="L194" s="322">
        <v>0</v>
      </c>
      <c r="M194" s="321">
        <v>0</v>
      </c>
      <c r="N194" s="322">
        <v>0</v>
      </c>
      <c r="O194" s="322">
        <v>-3406</v>
      </c>
      <c r="P194" s="322">
        <v>-1702</v>
      </c>
      <c r="Q194" s="321">
        <v>-1703</v>
      </c>
      <c r="R194" s="383">
        <v>-1703</v>
      </c>
      <c r="S194" s="383">
        <v>-949</v>
      </c>
      <c r="T194" s="383">
        <v>-2457</v>
      </c>
      <c r="U194" s="383">
        <v>-1137</v>
      </c>
      <c r="V194" s="322">
        <v>-2652</v>
      </c>
      <c r="W194" s="383">
        <v>-5109</v>
      </c>
      <c r="X194" s="382">
        <v>-6246</v>
      </c>
      <c r="Y194" s="383">
        <v>0</v>
      </c>
      <c r="Z194" s="383">
        <v>0</v>
      </c>
      <c r="AA194" s="383">
        <f>AD194-Z194-Y194</f>
        <v>0</v>
      </c>
      <c r="AB194" s="383">
        <f t="shared" si="1365"/>
        <v>0</v>
      </c>
      <c r="AC194" s="383">
        <v>0</v>
      </c>
      <c r="AD194" s="383">
        <v>0</v>
      </c>
      <c r="AE194" s="382">
        <v>0</v>
      </c>
      <c r="AF194" s="383">
        <v>0</v>
      </c>
      <c r="AG194" s="383">
        <v>0</v>
      </c>
      <c r="AH194" s="383">
        <f>AK194-AG194-AF194</f>
        <v>0</v>
      </c>
      <c r="AI194" s="383">
        <f t="shared" si="1366"/>
        <v>0</v>
      </c>
      <c r="AJ194" s="383">
        <v>0</v>
      </c>
      <c r="AK194" s="383">
        <v>0</v>
      </c>
      <c r="AL194" s="382">
        <v>0</v>
      </c>
      <c r="AM194" s="383">
        <v>0</v>
      </c>
      <c r="AN194" s="383">
        <f t="shared" si="1270"/>
        <v>0</v>
      </c>
      <c r="AO194" s="383">
        <f t="shared" si="796"/>
        <v>0</v>
      </c>
      <c r="AP194" s="383">
        <f t="shared" si="796"/>
        <v>0</v>
      </c>
      <c r="AQ194" s="383">
        <v>0</v>
      </c>
      <c r="AR194" s="383"/>
      <c r="AS194" s="382"/>
      <c r="AT194" s="383"/>
      <c r="AU194" s="383"/>
      <c r="AV194" s="383"/>
      <c r="AW194" s="383"/>
      <c r="AX194" s="383"/>
      <c r="AY194" s="383"/>
      <c r="AZ194" s="383"/>
      <c r="BA194" s="383"/>
      <c r="BB194" s="383"/>
      <c r="BC194" s="383"/>
      <c r="BD194" s="383"/>
      <c r="BE194" s="383"/>
      <c r="BF194" s="383"/>
      <c r="BG194" s="383"/>
      <c r="BH194" s="383"/>
      <c r="BI194" s="383"/>
      <c r="BJ194" s="383"/>
      <c r="BK194" s="383"/>
      <c r="BL194" s="383"/>
      <c r="BM194" s="383"/>
      <c r="BN194" s="383"/>
      <c r="BO194" s="383"/>
      <c r="BP194" s="383"/>
      <c r="BQ194" s="383"/>
      <c r="BR194" s="383"/>
      <c r="BS194" s="383"/>
      <c r="BT194" s="383"/>
      <c r="BU194" s="383"/>
      <c r="BV194" s="383"/>
      <c r="BW194" s="383"/>
      <c r="BX194" s="383"/>
      <c r="BY194" s="383"/>
      <c r="BZ194" s="383"/>
      <c r="CA194" s="383"/>
      <c r="CB194" s="383"/>
      <c r="CC194" s="383"/>
      <c r="CD194" s="383"/>
      <c r="CE194" s="383"/>
      <c r="CF194" s="383"/>
      <c r="CG194" s="383"/>
      <c r="CH194" s="383"/>
      <c r="CI194" s="383"/>
      <c r="CJ194" s="383"/>
      <c r="CK194" s="383"/>
      <c r="CL194" s="383"/>
      <c r="CM194" s="383"/>
      <c r="CN194" s="383"/>
      <c r="CO194" s="383"/>
    </row>
    <row r="195" spans="1:93" x14ac:dyDescent="0.25">
      <c r="A195" s="340" t="str">
        <f>Language!$G196</f>
        <v>Rio Canoas</v>
      </c>
      <c r="B195" s="310">
        <f t="shared" ref="B195:N195" si="1367">SUM(B196,B197)</f>
        <v>0</v>
      </c>
      <c r="C195" s="310">
        <f t="shared" si="1367"/>
        <v>-4</v>
      </c>
      <c r="D195" s="310">
        <f t="shared" si="1367"/>
        <v>-8</v>
      </c>
      <c r="E195" s="325">
        <f t="shared" si="1367"/>
        <v>-9</v>
      </c>
      <c r="F195" s="310">
        <f t="shared" si="1367"/>
        <v>-13</v>
      </c>
      <c r="G195" s="310">
        <f t="shared" si="1367"/>
        <v>-18</v>
      </c>
      <c r="H195" s="310">
        <f t="shared" si="1367"/>
        <v>-21</v>
      </c>
      <c r="I195" s="325">
        <f t="shared" si="1367"/>
        <v>-22</v>
      </c>
      <c r="J195" s="310">
        <f t="shared" si="1367"/>
        <v>-25</v>
      </c>
      <c r="K195" s="310">
        <f t="shared" si="1367"/>
        <v>-24</v>
      </c>
      <c r="L195" s="310">
        <f t="shared" si="1367"/>
        <v>-24</v>
      </c>
      <c r="M195" s="325">
        <f t="shared" si="1367"/>
        <v>-3481</v>
      </c>
      <c r="N195" s="310">
        <f t="shared" si="1367"/>
        <v>-4729</v>
      </c>
      <c r="O195" s="310">
        <f t="shared" ref="O195:Q195" si="1368">SUM(O196,O197)</f>
        <v>-4701</v>
      </c>
      <c r="P195" s="310">
        <f t="shared" si="1368"/>
        <v>-4702</v>
      </c>
      <c r="Q195" s="325">
        <f t="shared" si="1368"/>
        <v>-10587</v>
      </c>
      <c r="R195" s="310">
        <v>-8836</v>
      </c>
      <c r="S195" s="310">
        <v>-9095</v>
      </c>
      <c r="T195" s="310">
        <v>-8949</v>
      </c>
      <c r="U195" s="310">
        <v>-5667</v>
      </c>
      <c r="V195" s="310">
        <v>-17931</v>
      </c>
      <c r="W195" s="310">
        <v>-26880</v>
      </c>
      <c r="X195" s="325">
        <v>-32547</v>
      </c>
      <c r="Y195" s="310">
        <f t="shared" ref="Y195" si="1369">SUM(Y196,Y197)</f>
        <v>0</v>
      </c>
      <c r="Z195" s="310">
        <f t="shared" ref="Z195:AB195" si="1370">SUM(Z196,Z197)</f>
        <v>0</v>
      </c>
      <c r="AA195" s="310">
        <f t="shared" si="1370"/>
        <v>0</v>
      </c>
      <c r="AB195" s="310">
        <f t="shared" si="1370"/>
        <v>0</v>
      </c>
      <c r="AC195" s="310">
        <f t="shared" ref="AC195:AD195" si="1371">SUM(AC196,AC197)</f>
        <v>0</v>
      </c>
      <c r="AD195" s="310">
        <f t="shared" si="1371"/>
        <v>0</v>
      </c>
      <c r="AE195" s="325">
        <f t="shared" ref="AE195:AJ195" si="1372">SUM(AE196,AE197)</f>
        <v>0</v>
      </c>
      <c r="AF195" s="310">
        <f t="shared" si="1372"/>
        <v>0</v>
      </c>
      <c r="AG195" s="310">
        <f t="shared" si="1372"/>
        <v>0</v>
      </c>
      <c r="AH195" s="310">
        <f t="shared" si="1372"/>
        <v>0</v>
      </c>
      <c r="AI195" s="310">
        <f t="shared" si="1372"/>
        <v>0</v>
      </c>
      <c r="AJ195" s="310">
        <f t="shared" si="1372"/>
        <v>0</v>
      </c>
      <c r="AK195" s="310">
        <f t="shared" ref="AK195:AL195" si="1373">SUM(AK196,AK197)</f>
        <v>0</v>
      </c>
      <c r="AL195" s="325">
        <f t="shared" si="1373"/>
        <v>0</v>
      </c>
      <c r="AM195" s="310">
        <f t="shared" ref="AM195:AQ195" si="1374">SUM(AM196,AM197)</f>
        <v>0</v>
      </c>
      <c r="AN195" s="310">
        <f t="shared" si="1270"/>
        <v>0</v>
      </c>
      <c r="AO195" s="310">
        <f t="shared" si="796"/>
        <v>0</v>
      </c>
      <c r="AP195" s="310">
        <f t="shared" si="796"/>
        <v>0</v>
      </c>
      <c r="AQ195" s="310">
        <f t="shared" si="1374"/>
        <v>0</v>
      </c>
      <c r="AR195" s="310">
        <f t="shared" ref="AR195:AS195" si="1375">SUM(AR196,AR197)</f>
        <v>0</v>
      </c>
      <c r="AS195" s="325">
        <f t="shared" si="1375"/>
        <v>0</v>
      </c>
      <c r="AT195" s="310">
        <f t="shared" ref="AT195" si="1376">SUM(AT196,AT197)</f>
        <v>0</v>
      </c>
      <c r="AV195" s="310">
        <f t="shared" ref="AV195:AW195" si="1377">SUM(AV196,AV197)</f>
        <v>0</v>
      </c>
      <c r="AW195" s="310">
        <f t="shared" si="1377"/>
        <v>0</v>
      </c>
      <c r="AX195" s="310">
        <v>0</v>
      </c>
      <c r="AY195" s="310">
        <f t="shared" ref="AY195:BA195" si="1378">SUM(AY196,AY197)</f>
        <v>0</v>
      </c>
      <c r="AZ195" s="310">
        <f t="shared" si="1378"/>
        <v>0</v>
      </c>
      <c r="BA195" s="310">
        <f t="shared" si="1378"/>
        <v>0</v>
      </c>
    </row>
    <row r="196" spans="1:93" s="394" customFormat="1" x14ac:dyDescent="0.25">
      <c r="A196" s="393" t="str">
        <f>Language!$G197</f>
        <v>D&amp;A</v>
      </c>
      <c r="B196" s="383">
        <v>0</v>
      </c>
      <c r="C196" s="383">
        <v>-4</v>
      </c>
      <c r="D196" s="383">
        <v>-8</v>
      </c>
      <c r="E196" s="382">
        <v>-9</v>
      </c>
      <c r="F196" s="383">
        <v>-13</v>
      </c>
      <c r="G196" s="383">
        <v>-18</v>
      </c>
      <c r="H196" s="383">
        <v>-21</v>
      </c>
      <c r="I196" s="382">
        <v>-22</v>
      </c>
      <c r="J196" s="383">
        <v>-25</v>
      </c>
      <c r="K196" s="383">
        <v>-24</v>
      </c>
      <c r="L196" s="383">
        <v>-24</v>
      </c>
      <c r="M196" s="382">
        <v>-3481</v>
      </c>
      <c r="N196" s="383">
        <v>-4729</v>
      </c>
      <c r="O196" s="383">
        <v>-4701</v>
      </c>
      <c r="P196" s="383">
        <v>-4702</v>
      </c>
      <c r="Q196" s="382">
        <v>-10587</v>
      </c>
      <c r="R196" s="383">
        <v>-8836</v>
      </c>
      <c r="S196" s="383">
        <v>-9095</v>
      </c>
      <c r="T196" s="383">
        <v>-8949</v>
      </c>
      <c r="U196" s="383">
        <v>-5667</v>
      </c>
      <c r="V196" s="322">
        <v>-17931</v>
      </c>
      <c r="W196" s="383">
        <v>-26880</v>
      </c>
      <c r="X196" s="382">
        <v>-32547</v>
      </c>
      <c r="Y196" s="383">
        <v>0</v>
      </c>
      <c r="Z196" s="383">
        <v>0</v>
      </c>
      <c r="AA196" s="383">
        <f>AD196-Z196-Y196</f>
        <v>0</v>
      </c>
      <c r="AB196" s="383">
        <f t="shared" si="1365"/>
        <v>0</v>
      </c>
      <c r="AC196" s="383">
        <v>0</v>
      </c>
      <c r="AD196" s="383">
        <v>0</v>
      </c>
      <c r="AE196" s="382">
        <v>0</v>
      </c>
      <c r="AF196" s="383">
        <v>0</v>
      </c>
      <c r="AG196" s="383">
        <v>0</v>
      </c>
      <c r="AH196" s="383">
        <f>AK196-AG196-AF196</f>
        <v>0</v>
      </c>
      <c r="AI196" s="383">
        <f t="shared" ref="AI196:AI197" si="1379">AL196-AF196-AG196-AH196</f>
        <v>0</v>
      </c>
      <c r="AJ196" s="383">
        <v>0</v>
      </c>
      <c r="AK196" s="383">
        <v>0</v>
      </c>
      <c r="AL196" s="382">
        <v>0</v>
      </c>
      <c r="AM196" s="383">
        <v>0</v>
      </c>
      <c r="AN196" s="383">
        <f t="shared" si="1270"/>
        <v>0</v>
      </c>
      <c r="AO196" s="383">
        <f t="shared" si="796"/>
        <v>0</v>
      </c>
      <c r="AP196" s="383">
        <f t="shared" si="796"/>
        <v>0</v>
      </c>
      <c r="AQ196" s="383">
        <v>0</v>
      </c>
      <c r="AR196" s="383"/>
      <c r="AS196" s="382"/>
      <c r="AT196" s="383"/>
      <c r="AU196" s="383"/>
      <c r="AV196" s="383"/>
      <c r="AW196" s="383"/>
      <c r="AX196" s="383"/>
      <c r="AY196" s="383"/>
      <c r="AZ196" s="383"/>
      <c r="BA196" s="383"/>
      <c r="BB196" s="383"/>
      <c r="BC196" s="383"/>
      <c r="BD196" s="383"/>
      <c r="BE196" s="383"/>
      <c r="BF196" s="383"/>
      <c r="BG196" s="383"/>
      <c r="BH196" s="383"/>
      <c r="BI196" s="383"/>
      <c r="BJ196" s="383"/>
      <c r="BK196" s="383"/>
      <c r="BL196" s="383"/>
      <c r="BM196" s="383"/>
      <c r="BN196" s="383"/>
      <c r="BO196" s="383"/>
      <c r="BP196" s="383"/>
      <c r="BQ196" s="383"/>
      <c r="BR196" s="383"/>
      <c r="BS196" s="383"/>
      <c r="BT196" s="383"/>
      <c r="BU196" s="383"/>
      <c r="BV196" s="383"/>
      <c r="BW196" s="383"/>
      <c r="BX196" s="383"/>
      <c r="BY196" s="383"/>
      <c r="BZ196" s="383"/>
      <c r="CA196" s="383"/>
      <c r="CB196" s="383"/>
      <c r="CC196" s="383"/>
      <c r="CD196" s="383"/>
      <c r="CE196" s="383"/>
      <c r="CF196" s="383"/>
      <c r="CG196" s="383"/>
      <c r="CH196" s="383"/>
      <c r="CI196" s="383"/>
      <c r="CJ196" s="383"/>
      <c r="CK196" s="383"/>
      <c r="CL196" s="383"/>
      <c r="CM196" s="383"/>
      <c r="CN196" s="383"/>
      <c r="CO196" s="383"/>
    </row>
    <row r="197" spans="1:93" x14ac:dyDescent="0.25">
      <c r="A197" s="396" t="str">
        <f>Language!$G198</f>
        <v>Reavaliação</v>
      </c>
      <c r="B197" s="322">
        <v>0</v>
      </c>
      <c r="C197" s="322">
        <v>0</v>
      </c>
      <c r="D197" s="322">
        <v>0</v>
      </c>
      <c r="E197" s="321">
        <v>0</v>
      </c>
      <c r="F197" s="322">
        <v>0</v>
      </c>
      <c r="G197" s="322">
        <v>0</v>
      </c>
      <c r="H197" s="322">
        <v>0</v>
      </c>
      <c r="I197" s="321">
        <v>0</v>
      </c>
      <c r="J197" s="322">
        <v>0</v>
      </c>
      <c r="K197" s="322">
        <v>0</v>
      </c>
      <c r="L197" s="322">
        <v>0</v>
      </c>
      <c r="M197" s="321">
        <v>0</v>
      </c>
      <c r="N197" s="322">
        <v>0</v>
      </c>
      <c r="O197" s="322">
        <v>0</v>
      </c>
      <c r="P197" s="322">
        <v>0</v>
      </c>
      <c r="Q197" s="321">
        <v>0</v>
      </c>
      <c r="R197" s="383">
        <v>0</v>
      </c>
      <c r="S197" s="383">
        <v>0</v>
      </c>
      <c r="T197" s="383">
        <v>0</v>
      </c>
      <c r="U197" s="383">
        <v>0</v>
      </c>
      <c r="V197" s="322">
        <v>0</v>
      </c>
      <c r="W197" s="383">
        <v>0</v>
      </c>
      <c r="X197" s="382">
        <v>0</v>
      </c>
      <c r="Y197" s="383">
        <v>0</v>
      </c>
      <c r="Z197" s="383">
        <v>0</v>
      </c>
      <c r="AA197" s="383">
        <f>AD197-Z197-Y197</f>
        <v>0</v>
      </c>
      <c r="AB197" s="383">
        <f t="shared" si="1365"/>
        <v>0</v>
      </c>
      <c r="AC197" s="383">
        <v>0</v>
      </c>
      <c r="AD197" s="383">
        <v>0</v>
      </c>
      <c r="AE197" s="382">
        <v>0</v>
      </c>
      <c r="AF197" s="383">
        <v>0</v>
      </c>
      <c r="AG197" s="383">
        <v>0</v>
      </c>
      <c r="AH197" s="383">
        <f>AK197-AG197-AF197</f>
        <v>0</v>
      </c>
      <c r="AI197" s="383">
        <f t="shared" si="1379"/>
        <v>0</v>
      </c>
      <c r="AJ197" s="383">
        <v>0</v>
      </c>
      <c r="AK197" s="383">
        <v>0</v>
      </c>
      <c r="AL197" s="382">
        <v>0</v>
      </c>
      <c r="AM197" s="383">
        <v>0</v>
      </c>
      <c r="AN197" s="383">
        <f t="shared" si="1270"/>
        <v>0</v>
      </c>
      <c r="AO197" s="383">
        <f t="shared" si="796"/>
        <v>0</v>
      </c>
      <c r="AP197" s="383">
        <f t="shared" si="796"/>
        <v>0</v>
      </c>
      <c r="AQ197" s="383">
        <v>0</v>
      </c>
      <c r="AR197" s="383"/>
      <c r="AS197" s="382"/>
      <c r="AT197" s="383"/>
      <c r="AU197" s="383"/>
      <c r="AV197" s="383"/>
      <c r="AW197" s="383"/>
      <c r="AX197" s="383"/>
      <c r="AY197" s="383"/>
      <c r="AZ197" s="383"/>
      <c r="BA197" s="383"/>
      <c r="BB197" s="383"/>
      <c r="BC197" s="383"/>
      <c r="BD197" s="383"/>
      <c r="BE197" s="383"/>
      <c r="BF197" s="383"/>
      <c r="BG197" s="383"/>
      <c r="BH197" s="383"/>
      <c r="BI197" s="383"/>
      <c r="BJ197" s="383"/>
      <c r="BK197" s="383"/>
      <c r="BL197" s="383"/>
      <c r="BM197" s="383"/>
      <c r="BN197" s="383"/>
      <c r="BO197" s="383"/>
      <c r="BP197" s="383"/>
      <c r="BQ197" s="383"/>
      <c r="BR197" s="383"/>
      <c r="BS197" s="383"/>
      <c r="BT197" s="383"/>
      <c r="BU197" s="383"/>
      <c r="BV197" s="383"/>
      <c r="BW197" s="383"/>
      <c r="BX197" s="383"/>
      <c r="BY197" s="383"/>
      <c r="BZ197" s="383"/>
      <c r="CA197" s="383"/>
      <c r="CB197" s="383"/>
      <c r="CC197" s="383"/>
      <c r="CD197" s="383"/>
      <c r="CE197" s="383"/>
      <c r="CF197" s="383"/>
      <c r="CG197" s="383"/>
      <c r="CH197" s="383"/>
      <c r="CI197" s="383"/>
      <c r="CJ197" s="383"/>
      <c r="CK197" s="383"/>
      <c r="CL197" s="383"/>
      <c r="CM197" s="383"/>
      <c r="CN197" s="383"/>
      <c r="CO197" s="383"/>
    </row>
    <row r="198" spans="1:93" x14ac:dyDescent="0.25">
      <c r="A198" s="340" t="str">
        <f>Language!$G199</f>
        <v>Tijoá</v>
      </c>
      <c r="B198" s="310">
        <f t="shared" ref="B198:Q198" si="1380">SUM(B199,B200)</f>
        <v>0</v>
      </c>
      <c r="C198" s="310">
        <f t="shared" si="1380"/>
        <v>0</v>
      </c>
      <c r="D198" s="310">
        <f t="shared" si="1380"/>
        <v>0</v>
      </c>
      <c r="E198" s="325">
        <f t="shared" si="1380"/>
        <v>0</v>
      </c>
      <c r="F198" s="310">
        <f t="shared" si="1380"/>
        <v>0</v>
      </c>
      <c r="G198" s="310">
        <f t="shared" si="1380"/>
        <v>0</v>
      </c>
      <c r="H198" s="310">
        <f t="shared" si="1380"/>
        <v>0</v>
      </c>
      <c r="I198" s="325">
        <f t="shared" si="1380"/>
        <v>0</v>
      </c>
      <c r="J198" s="310">
        <f t="shared" si="1380"/>
        <v>0</v>
      </c>
      <c r="K198" s="310">
        <f t="shared" si="1380"/>
        <v>0</v>
      </c>
      <c r="L198" s="310">
        <f t="shared" si="1380"/>
        <v>0</v>
      </c>
      <c r="M198" s="325">
        <f t="shared" si="1380"/>
        <v>0</v>
      </c>
      <c r="N198" s="310">
        <f t="shared" si="1380"/>
        <v>0</v>
      </c>
      <c r="O198" s="310">
        <f t="shared" si="1380"/>
        <v>0</v>
      </c>
      <c r="P198" s="310">
        <f t="shared" si="1380"/>
        <v>0</v>
      </c>
      <c r="Q198" s="325">
        <f t="shared" si="1380"/>
        <v>0</v>
      </c>
      <c r="R198" s="310">
        <v>-5</v>
      </c>
      <c r="S198" s="310">
        <v>-14</v>
      </c>
      <c r="T198" s="310">
        <v>-23</v>
      </c>
      <c r="U198" s="310">
        <v>-42</v>
      </c>
      <c r="V198" s="310">
        <v>-19</v>
      </c>
      <c r="W198" s="310">
        <v>-42</v>
      </c>
      <c r="X198" s="325">
        <v>-84</v>
      </c>
      <c r="Y198" s="310">
        <f t="shared" ref="Y198:Z198" si="1381">SUM(Y199,Y200)</f>
        <v>-224</v>
      </c>
      <c r="Z198" s="310">
        <f t="shared" si="1381"/>
        <v>-245</v>
      </c>
      <c r="AA198" s="310">
        <f t="shared" ref="AA198:AB198" si="1382">SUM(AA199,AA200)</f>
        <v>-243</v>
      </c>
      <c r="AB198" s="310">
        <f t="shared" si="1382"/>
        <v>267</v>
      </c>
      <c r="AC198" s="310">
        <f t="shared" ref="AC198:AD198" si="1383">SUM(AC199,AC200)</f>
        <v>-469</v>
      </c>
      <c r="AD198" s="310">
        <f t="shared" si="1383"/>
        <v>-712</v>
      </c>
      <c r="AE198" s="325">
        <f t="shared" ref="AE198:AJ198" si="1384">SUM(AE199,AE200)</f>
        <v>-445</v>
      </c>
      <c r="AF198" s="310">
        <f t="shared" si="1384"/>
        <v>-152</v>
      </c>
      <c r="AG198" s="310">
        <f t="shared" si="1384"/>
        <v>-131</v>
      </c>
      <c r="AH198" s="310">
        <f t="shared" si="1384"/>
        <v>40</v>
      </c>
      <c r="AI198" s="310">
        <f t="shared" si="1384"/>
        <v>-6</v>
      </c>
      <c r="AJ198" s="310">
        <f t="shared" si="1384"/>
        <v>-283</v>
      </c>
      <c r="AK198" s="310">
        <f t="shared" ref="AK198:AM198" si="1385">SUM(AK199,AK200)</f>
        <v>-243</v>
      </c>
      <c r="AL198" s="325">
        <f t="shared" si="1385"/>
        <v>-249</v>
      </c>
      <c r="AM198" s="310">
        <f t="shared" si="1385"/>
        <v>-88</v>
      </c>
      <c r="AN198" s="310">
        <f t="shared" si="1270"/>
        <v>-89</v>
      </c>
      <c r="AO198" s="310">
        <f t="shared" si="796"/>
        <v>-90</v>
      </c>
      <c r="AP198" s="310">
        <f t="shared" si="796"/>
        <v>89</v>
      </c>
      <c r="AQ198" s="310">
        <f t="shared" ref="AQ198:AR198" si="1386">SUM(AQ199,AQ200)</f>
        <v>-177</v>
      </c>
      <c r="AR198" s="310">
        <f t="shared" si="1386"/>
        <v>-267</v>
      </c>
      <c r="AS198" s="325">
        <f t="shared" ref="AS198:AU198" si="1387">SUM(AS199,AS200)</f>
        <v>-178</v>
      </c>
      <c r="AT198" s="310">
        <f t="shared" si="1387"/>
        <v>-80</v>
      </c>
      <c r="AU198" s="310">
        <f t="shared" si="1387"/>
        <v>-78</v>
      </c>
      <c r="AV198" s="310">
        <f t="shared" ref="AV198:AW198" si="1388">SUM(AV199,AV200)</f>
        <v>-83</v>
      </c>
      <c r="AW198" s="310">
        <f t="shared" si="1388"/>
        <v>-102</v>
      </c>
      <c r="AX198" s="310">
        <f t="shared" ref="AX198:AZ198" si="1389">SUM(AX199,AX200)</f>
        <v>-158</v>
      </c>
      <c r="AY198" s="310">
        <f t="shared" si="1389"/>
        <v>-241</v>
      </c>
      <c r="AZ198" s="310">
        <f t="shared" si="1389"/>
        <v>-343</v>
      </c>
      <c r="BA198" s="310">
        <f t="shared" ref="BA198:BD198" si="1390">SUM(BA199,BA200)</f>
        <v>-132</v>
      </c>
      <c r="BB198" s="310">
        <f t="shared" si="1390"/>
        <v>-62</v>
      </c>
      <c r="BC198" s="310">
        <f t="shared" si="1390"/>
        <v>-112</v>
      </c>
      <c r="BD198" s="310">
        <f t="shared" si="1390"/>
        <v>-201</v>
      </c>
      <c r="BE198" s="310">
        <f t="shared" ref="BE198:BF198" si="1391">SUM(BE199,BE200)</f>
        <v>-194</v>
      </c>
      <c r="BF198" s="310">
        <f t="shared" si="1391"/>
        <v>-306</v>
      </c>
      <c r="BG198" s="310">
        <f t="shared" ref="BG198:BH198" si="1392">SUM(BG199,BG200)</f>
        <v>-507</v>
      </c>
      <c r="BH198" s="310">
        <f t="shared" si="1392"/>
        <v>-225</v>
      </c>
      <c r="BI198" s="310">
        <f t="shared" ref="BI198:BL198" si="1393">SUM(BI199,BI200)</f>
        <v>-155</v>
      </c>
      <c r="BJ198" s="310">
        <f t="shared" si="1393"/>
        <v>-191</v>
      </c>
      <c r="BK198" s="310">
        <f t="shared" si="1393"/>
        <v>-243</v>
      </c>
      <c r="BL198" s="310">
        <f t="shared" si="1393"/>
        <v>-380</v>
      </c>
      <c r="BM198" s="310">
        <f t="shared" ref="BM198:BN198" si="1394">SUM(BM199,BM200)</f>
        <v>-571</v>
      </c>
      <c r="BN198" s="310">
        <f t="shared" si="1394"/>
        <v>-814</v>
      </c>
      <c r="BO198" s="310">
        <f t="shared" ref="BO198:BS198" si="1395">SUM(BO199,BO200)</f>
        <v>166</v>
      </c>
      <c r="BP198" s="310">
        <f t="shared" si="1395"/>
        <v>0</v>
      </c>
      <c r="BQ198" s="310">
        <f t="shared" si="1395"/>
        <v>-261</v>
      </c>
      <c r="BR198" s="310">
        <f t="shared" si="1395"/>
        <v>-2110</v>
      </c>
      <c r="BS198" s="310">
        <f t="shared" si="1395"/>
        <v>-648</v>
      </c>
      <c r="BT198" s="310">
        <f t="shared" ref="BT198:BU198" si="1396">SUM(BT199,BT200)</f>
        <v>-909</v>
      </c>
      <c r="BU198" s="310">
        <f t="shared" si="1396"/>
        <v>-3019</v>
      </c>
      <c r="BV198" s="310">
        <f t="shared" ref="BV198:BZ198" si="1397">SUM(BV199,BV200)</f>
        <v>-728</v>
      </c>
      <c r="BW198" s="310">
        <f t="shared" si="1397"/>
        <v>-757</v>
      </c>
      <c r="BX198" s="310">
        <f t="shared" si="1397"/>
        <v>-757</v>
      </c>
      <c r="BY198" s="310">
        <f t="shared" si="1397"/>
        <v>-752</v>
      </c>
      <c r="BZ198" s="310">
        <f t="shared" si="1397"/>
        <v>-1485</v>
      </c>
      <c r="CA198" s="310">
        <f t="shared" ref="CA198:CB198" si="1398">SUM(CA199,CA200)</f>
        <v>-2242</v>
      </c>
      <c r="CB198" s="310">
        <f t="shared" si="1398"/>
        <v>-2994</v>
      </c>
      <c r="CC198" s="310">
        <f t="shared" ref="CC198:CD198" si="1399">SUM(CC199,CC200)</f>
        <v>-795</v>
      </c>
      <c r="CD198" s="310">
        <f t="shared" si="1399"/>
        <v>-796</v>
      </c>
      <c r="CE198" s="310">
        <f t="shared" ref="CE198:CG198" si="1400">SUM(CE199,CE200)</f>
        <v>-797</v>
      </c>
      <c r="CF198" s="310">
        <f t="shared" si="1400"/>
        <v>-797</v>
      </c>
      <c r="CG198" s="310">
        <f t="shared" si="1400"/>
        <v>-1591</v>
      </c>
      <c r="CH198" s="310">
        <f t="shared" ref="CH198:CI198" si="1401">SUM(CH199,CH200)</f>
        <v>-2388</v>
      </c>
      <c r="CI198" s="310">
        <f t="shared" si="1401"/>
        <v>-3185</v>
      </c>
      <c r="CJ198" s="310">
        <v>-812</v>
      </c>
      <c r="CK198" s="310">
        <f t="shared" ref="CK198:CO198" si="1402">SUM(CK199,CK200)</f>
        <v>-808</v>
      </c>
      <c r="CL198" s="310">
        <f t="shared" si="1402"/>
        <v>0</v>
      </c>
      <c r="CM198" s="310">
        <f t="shared" si="1402"/>
        <v>0</v>
      </c>
      <c r="CN198" s="310">
        <f t="shared" si="1402"/>
        <v>-1620</v>
      </c>
      <c r="CO198" s="310">
        <f t="shared" si="1402"/>
        <v>0</v>
      </c>
    </row>
    <row r="199" spans="1:93" s="394" customFormat="1" x14ac:dyDescent="0.25">
      <c r="A199" s="393" t="str">
        <f>Language!$G200</f>
        <v>D&amp;A</v>
      </c>
      <c r="B199" s="383">
        <v>0</v>
      </c>
      <c r="C199" s="383">
        <v>0</v>
      </c>
      <c r="D199" s="383">
        <v>0</v>
      </c>
      <c r="E199" s="382">
        <v>0</v>
      </c>
      <c r="F199" s="383">
        <v>0</v>
      </c>
      <c r="G199" s="383">
        <v>0</v>
      </c>
      <c r="H199" s="383">
        <v>0</v>
      </c>
      <c r="I199" s="382">
        <v>0</v>
      </c>
      <c r="J199" s="383">
        <v>0</v>
      </c>
      <c r="K199" s="383">
        <v>0</v>
      </c>
      <c r="L199" s="383">
        <v>0</v>
      </c>
      <c r="M199" s="382">
        <v>0</v>
      </c>
      <c r="N199" s="383">
        <v>0</v>
      </c>
      <c r="O199" s="383">
        <v>0</v>
      </c>
      <c r="P199" s="383">
        <v>0</v>
      </c>
      <c r="Q199" s="382">
        <v>0</v>
      </c>
      <c r="R199" s="383">
        <v>-5</v>
      </c>
      <c r="S199" s="383">
        <v>-14</v>
      </c>
      <c r="T199" s="383">
        <v>-23</v>
      </c>
      <c r="U199" s="383">
        <v>-42</v>
      </c>
      <c r="V199" s="322">
        <v>-19</v>
      </c>
      <c r="W199" s="383">
        <v>-42</v>
      </c>
      <c r="X199" s="382">
        <v>-84</v>
      </c>
      <c r="Y199" s="383">
        <v>-224</v>
      </c>
      <c r="Z199" s="383">
        <f>AC199-Y199</f>
        <v>-245</v>
      </c>
      <c r="AA199" s="383">
        <f>AD199-Z199-Y199</f>
        <v>-243</v>
      </c>
      <c r="AB199" s="383">
        <f t="shared" si="1365"/>
        <v>267</v>
      </c>
      <c r="AC199" s="383">
        <v>-469</v>
      </c>
      <c r="AD199" s="383">
        <v>-712</v>
      </c>
      <c r="AE199" s="382">
        <v>-445</v>
      </c>
      <c r="AF199" s="383">
        <v>-152</v>
      </c>
      <c r="AG199" s="383">
        <f>AJ199-AF199</f>
        <v>-131</v>
      </c>
      <c r="AH199" s="383">
        <f>AK199-AG199-AF199</f>
        <v>40</v>
      </c>
      <c r="AI199" s="383">
        <f t="shared" ref="AI199:AI200" si="1403">AL199-AF199-AG199-AH199</f>
        <v>-6</v>
      </c>
      <c r="AJ199" s="383">
        <f>SUM(AJ130,AJ109)</f>
        <v>-283</v>
      </c>
      <c r="AK199" s="383">
        <f>SUM(AK130,AK109)</f>
        <v>-243</v>
      </c>
      <c r="AL199" s="382">
        <f>SUM(AL130,AL109)</f>
        <v>-249</v>
      </c>
      <c r="AM199" s="383">
        <v>-88</v>
      </c>
      <c r="AN199" s="383">
        <f t="shared" si="1270"/>
        <v>-89</v>
      </c>
      <c r="AO199" s="383">
        <f t="shared" si="796"/>
        <v>-90</v>
      </c>
      <c r="AP199" s="383">
        <f t="shared" si="796"/>
        <v>89</v>
      </c>
      <c r="AQ199" s="383">
        <v>-177</v>
      </c>
      <c r="AR199" s="383">
        <v>-267</v>
      </c>
      <c r="AS199" s="382">
        <v>-178</v>
      </c>
      <c r="AT199" s="383">
        <v>-80</v>
      </c>
      <c r="AU199" s="383">
        <f>AX199-AT199</f>
        <v>-78</v>
      </c>
      <c r="AV199" s="383">
        <f>AY199-AX199</f>
        <v>-83</v>
      </c>
      <c r="AW199" s="383">
        <f>AZ199-AY199</f>
        <v>-102</v>
      </c>
      <c r="AX199" s="383">
        <v>-158</v>
      </c>
      <c r="AY199" s="383">
        <v>-241</v>
      </c>
      <c r="AZ199" s="383">
        <v>-343</v>
      </c>
      <c r="BA199" s="383">
        <v>-132</v>
      </c>
      <c r="BB199" s="383">
        <f>BE199-BA199</f>
        <v>-62</v>
      </c>
      <c r="BC199" s="383">
        <f>BF199-BE199</f>
        <v>-112</v>
      </c>
      <c r="BD199" s="383">
        <f>BG199-BF199</f>
        <v>-201</v>
      </c>
      <c r="BE199" s="383">
        <v>-194</v>
      </c>
      <c r="BF199" s="383">
        <v>-306</v>
      </c>
      <c r="BG199" s="383">
        <v>-507</v>
      </c>
      <c r="BH199" s="383">
        <v>-225</v>
      </c>
      <c r="BI199" s="383">
        <f>BL199-BH199</f>
        <v>-155</v>
      </c>
      <c r="BJ199" s="383">
        <f>BM199-BL199</f>
        <v>-191</v>
      </c>
      <c r="BK199" s="383">
        <f>BN199-BM199</f>
        <v>66</v>
      </c>
      <c r="BL199" s="383">
        <v>-380</v>
      </c>
      <c r="BM199" s="383">
        <v>-571</v>
      </c>
      <c r="BN199" s="383">
        <v>-505</v>
      </c>
      <c r="BO199" s="383">
        <f>BS199-BN199</f>
        <v>-143</v>
      </c>
      <c r="BP199" s="383"/>
      <c r="BQ199" s="383">
        <f>BT199-BS199</f>
        <v>-261</v>
      </c>
      <c r="BR199" s="383">
        <f>BU199-BT199</f>
        <v>336</v>
      </c>
      <c r="BS199" s="383">
        <v>-648</v>
      </c>
      <c r="BT199" s="383">
        <v>-909</v>
      </c>
      <c r="BU199" s="383">
        <v>-573</v>
      </c>
      <c r="BV199" s="383">
        <v>-728</v>
      </c>
      <c r="BW199" s="383">
        <f>BZ199-BV199</f>
        <v>-757</v>
      </c>
      <c r="BX199" s="383">
        <f>CA199-BZ199</f>
        <v>-757</v>
      </c>
      <c r="BY199" s="383">
        <f>CB199-CA199</f>
        <v>-752</v>
      </c>
      <c r="BZ199" s="383">
        <v>-1485</v>
      </c>
      <c r="CA199" s="383">
        <v>-2242</v>
      </c>
      <c r="CB199" s="383">
        <v>-2994</v>
      </c>
      <c r="CC199" s="383">
        <v>-795</v>
      </c>
      <c r="CD199" s="383">
        <f>CG199-CC199</f>
        <v>-796</v>
      </c>
      <c r="CE199" s="383">
        <f>CH199-CG199</f>
        <v>-797</v>
      </c>
      <c r="CF199" s="383">
        <f>CI199-CH199</f>
        <v>-797</v>
      </c>
      <c r="CG199" s="383">
        <v>-1591</v>
      </c>
      <c r="CH199" s="383">
        <v>-2388</v>
      </c>
      <c r="CI199" s="383">
        <v>-3185</v>
      </c>
      <c r="CJ199" s="383">
        <v>-812</v>
      </c>
      <c r="CK199" s="383">
        <f>CN199-CJ199</f>
        <v>-808</v>
      </c>
      <c r="CL199" s="383"/>
      <c r="CM199" s="383"/>
      <c r="CN199" s="383">
        <v>-1620</v>
      </c>
      <c r="CO199" s="383"/>
    </row>
    <row r="200" spans="1:93" x14ac:dyDescent="0.25">
      <c r="A200" s="396" t="str">
        <f>Language!$G201</f>
        <v>Reavaliação</v>
      </c>
      <c r="B200" s="383">
        <v>0</v>
      </c>
      <c r="C200" s="383">
        <v>0</v>
      </c>
      <c r="D200" s="383">
        <v>0</v>
      </c>
      <c r="E200" s="382">
        <v>0</v>
      </c>
      <c r="F200" s="383">
        <v>0</v>
      </c>
      <c r="G200" s="383">
        <v>0</v>
      </c>
      <c r="H200" s="383">
        <v>0</v>
      </c>
      <c r="I200" s="382">
        <v>0</v>
      </c>
      <c r="J200" s="383">
        <v>0</v>
      </c>
      <c r="K200" s="383">
        <v>0</v>
      </c>
      <c r="L200" s="383">
        <v>0</v>
      </c>
      <c r="M200" s="382">
        <v>0</v>
      </c>
      <c r="N200" s="383">
        <v>0</v>
      </c>
      <c r="O200" s="383">
        <v>0</v>
      </c>
      <c r="P200" s="383">
        <v>0</v>
      </c>
      <c r="Q200" s="382">
        <v>0</v>
      </c>
      <c r="R200" s="383">
        <v>0</v>
      </c>
      <c r="S200" s="383">
        <v>0</v>
      </c>
      <c r="T200" s="383">
        <v>0</v>
      </c>
      <c r="U200" s="383">
        <v>0</v>
      </c>
      <c r="V200" s="322">
        <v>0</v>
      </c>
      <c r="W200" s="383">
        <v>0</v>
      </c>
      <c r="X200" s="382">
        <v>0</v>
      </c>
      <c r="Y200" s="383">
        <v>0</v>
      </c>
      <c r="Z200" s="383">
        <f>AC200-Y200</f>
        <v>0</v>
      </c>
      <c r="AA200" s="383">
        <f>AD200-Z200-Y200</f>
        <v>0</v>
      </c>
      <c r="AB200" s="383">
        <f t="shared" si="1365"/>
        <v>0</v>
      </c>
      <c r="AC200" s="383">
        <v>0</v>
      </c>
      <c r="AD200" s="383">
        <v>0</v>
      </c>
      <c r="AE200" s="382">
        <v>0</v>
      </c>
      <c r="AF200" s="383">
        <v>0</v>
      </c>
      <c r="AG200" s="383">
        <f>AJ200-AF200</f>
        <v>0</v>
      </c>
      <c r="AH200" s="383">
        <f>AK200-AG200-AF200</f>
        <v>0</v>
      </c>
      <c r="AI200" s="383">
        <f t="shared" si="1403"/>
        <v>0</v>
      </c>
      <c r="AJ200" s="383">
        <v>0</v>
      </c>
      <c r="AK200" s="383">
        <v>0</v>
      </c>
      <c r="AL200" s="382">
        <v>0</v>
      </c>
      <c r="AM200" s="383">
        <v>0</v>
      </c>
      <c r="AN200" s="383">
        <f t="shared" si="1270"/>
        <v>0</v>
      </c>
      <c r="AO200" s="383">
        <f t="shared" si="796"/>
        <v>0</v>
      </c>
      <c r="AP200" s="383">
        <f t="shared" si="796"/>
        <v>0</v>
      </c>
      <c r="AQ200" s="383">
        <v>0</v>
      </c>
      <c r="AR200" s="383"/>
      <c r="AS200" s="382"/>
      <c r="AT200" s="383"/>
      <c r="AU200" s="383"/>
      <c r="AV200" s="383"/>
      <c r="AW200" s="383"/>
      <c r="AX200" s="383"/>
      <c r="AY200" s="383"/>
      <c r="AZ200" s="383"/>
      <c r="BA200" s="383"/>
      <c r="BB200" s="383"/>
      <c r="BC200" s="383"/>
      <c r="BD200" s="383"/>
      <c r="BE200" s="383"/>
      <c r="BF200" s="383"/>
      <c r="BG200" s="383"/>
      <c r="BH200" s="383"/>
      <c r="BI200" s="383"/>
      <c r="BJ200" s="383"/>
      <c r="BK200" s="383">
        <f>BN200-BM200</f>
        <v>-309</v>
      </c>
      <c r="BL200" s="383"/>
      <c r="BM200" s="383"/>
      <c r="BN200" s="383">
        <v>-309</v>
      </c>
      <c r="BO200" s="383">
        <f>BS200-BN200</f>
        <v>309</v>
      </c>
      <c r="BP200" s="383"/>
      <c r="BQ200" s="383"/>
      <c r="BR200" s="383">
        <f>BU200-BT200</f>
        <v>-2446</v>
      </c>
      <c r="BS200" s="383">
        <v>0</v>
      </c>
      <c r="BT200" s="383">
        <v>0</v>
      </c>
      <c r="BU200" s="383">
        <v>-2446</v>
      </c>
      <c r="BV200" s="383">
        <v>0</v>
      </c>
      <c r="BW200" s="383">
        <f>BZ200-BV200</f>
        <v>0</v>
      </c>
      <c r="BX200" s="383"/>
      <c r="BY200" s="383"/>
      <c r="BZ200" s="383">
        <v>0</v>
      </c>
      <c r="CA200" s="383">
        <v>0</v>
      </c>
      <c r="CB200" s="383">
        <v>0</v>
      </c>
      <c r="CC200" s="383">
        <v>0</v>
      </c>
      <c r="CD200" s="383"/>
      <c r="CE200" s="383"/>
      <c r="CF200" s="383"/>
      <c r="CG200" s="383"/>
      <c r="CH200" s="383"/>
      <c r="CI200" s="383"/>
      <c r="CJ200" s="383"/>
      <c r="CK200" s="383"/>
      <c r="CL200" s="383"/>
      <c r="CM200" s="383"/>
      <c r="CN200" s="383"/>
      <c r="CO200" s="383"/>
    </row>
    <row r="201" spans="1:93" x14ac:dyDescent="0.25">
      <c r="A201" s="340" t="str">
        <f>Language!$G202</f>
        <v>Outros</v>
      </c>
      <c r="B201" s="310">
        <f>SUM(B202,B203)</f>
        <v>0</v>
      </c>
      <c r="C201" s="310">
        <f t="shared" ref="C201:K201" si="1404">SUM(C202,C203)</f>
        <v>0</v>
      </c>
      <c r="D201" s="310">
        <f t="shared" si="1404"/>
        <v>0</v>
      </c>
      <c r="E201" s="325">
        <f t="shared" si="1404"/>
        <v>1</v>
      </c>
      <c r="F201" s="310">
        <f t="shared" si="1404"/>
        <v>0</v>
      </c>
      <c r="G201" s="310">
        <f t="shared" si="1404"/>
        <v>0</v>
      </c>
      <c r="H201" s="310">
        <f t="shared" si="1404"/>
        <v>0</v>
      </c>
      <c r="I201" s="325">
        <f t="shared" si="1404"/>
        <v>0</v>
      </c>
      <c r="J201" s="310">
        <f t="shared" si="1404"/>
        <v>0</v>
      </c>
      <c r="K201" s="310">
        <f t="shared" si="1404"/>
        <v>0</v>
      </c>
      <c r="L201" s="310">
        <f t="shared" ref="L201:N201" si="1405">SUM(L202,L203)</f>
        <v>0</v>
      </c>
      <c r="M201" s="325">
        <f t="shared" si="1405"/>
        <v>0</v>
      </c>
      <c r="N201" s="310">
        <f t="shared" si="1405"/>
        <v>0</v>
      </c>
      <c r="O201" s="310">
        <f>SUM(O202,O203)</f>
        <v>0</v>
      </c>
      <c r="P201" s="310">
        <f t="shared" ref="P201:Q201" si="1406">SUM(P202,P203)</f>
        <v>-1</v>
      </c>
      <c r="Q201" s="325">
        <f t="shared" si="1406"/>
        <v>0</v>
      </c>
      <c r="R201" s="310">
        <v>0</v>
      </c>
      <c r="S201" s="310">
        <v>-7</v>
      </c>
      <c r="T201" s="310">
        <v>-923</v>
      </c>
      <c r="U201" s="310">
        <v>-183</v>
      </c>
      <c r="V201" s="310">
        <v>-7</v>
      </c>
      <c r="W201" s="310">
        <v>-930</v>
      </c>
      <c r="X201" s="325">
        <v>-1113</v>
      </c>
      <c r="Y201" s="310">
        <f t="shared" ref="Y201" si="1407">SUM(Y202,Y203)</f>
        <v>0</v>
      </c>
      <c r="Z201" s="310">
        <f t="shared" ref="Z201:AB201" si="1408">SUM(Z202,Z203)</f>
        <v>0</v>
      </c>
      <c r="AA201" s="310">
        <f t="shared" si="1408"/>
        <v>0</v>
      </c>
      <c r="AB201" s="310">
        <f t="shared" si="1408"/>
        <v>0</v>
      </c>
      <c r="AC201" s="310">
        <f t="shared" ref="AC201:AD201" si="1409">SUM(AC202,AC203)</f>
        <v>0</v>
      </c>
      <c r="AD201" s="310">
        <f t="shared" si="1409"/>
        <v>0</v>
      </c>
      <c r="AE201" s="325">
        <f t="shared" ref="AE201:AJ201" si="1410">SUM(AE202,AE203)</f>
        <v>0</v>
      </c>
      <c r="AF201" s="310">
        <f t="shared" si="1410"/>
        <v>0</v>
      </c>
      <c r="AG201" s="310">
        <f t="shared" si="1410"/>
        <v>0</v>
      </c>
      <c r="AH201" s="310">
        <f t="shared" si="1410"/>
        <v>0</v>
      </c>
      <c r="AI201" s="310">
        <f t="shared" si="1410"/>
        <v>0</v>
      </c>
      <c r="AJ201" s="310">
        <f t="shared" si="1410"/>
        <v>0</v>
      </c>
      <c r="AK201" s="310">
        <f t="shared" ref="AK201:AL201" si="1411">SUM(AK202,AK203)</f>
        <v>0</v>
      </c>
      <c r="AL201" s="325">
        <f t="shared" si="1411"/>
        <v>0</v>
      </c>
      <c r="AM201" s="310">
        <f t="shared" ref="AM201:AQ201" si="1412">SUM(AM202,AM203)</f>
        <v>-31</v>
      </c>
      <c r="AN201" s="310">
        <f t="shared" si="1270"/>
        <v>-32</v>
      </c>
      <c r="AO201" s="310">
        <f t="shared" si="796"/>
        <v>-32</v>
      </c>
      <c r="AP201" s="310">
        <f t="shared" si="796"/>
        <v>-28</v>
      </c>
      <c r="AQ201" s="310">
        <f t="shared" si="1412"/>
        <v>-63</v>
      </c>
      <c r="AR201" s="310">
        <f t="shared" ref="AR201:AS201" si="1413">SUM(AR202,AR203)</f>
        <v>-95</v>
      </c>
      <c r="AS201" s="325">
        <f t="shared" si="1413"/>
        <v>-123</v>
      </c>
      <c r="AT201" s="310">
        <f t="shared" ref="AT201:AU201" si="1414">SUM(AT202,AT203)</f>
        <v>-76</v>
      </c>
      <c r="AU201" s="310">
        <f t="shared" si="1414"/>
        <v>-88</v>
      </c>
      <c r="AV201" s="310">
        <f t="shared" ref="AV201:AW201" si="1415">SUM(AV202,AV203)</f>
        <v>-81</v>
      </c>
      <c r="AW201" s="310">
        <f t="shared" si="1415"/>
        <v>-63</v>
      </c>
      <c r="AX201" s="310">
        <f t="shared" ref="AX201:AZ201" si="1416">SUM(AX202,AX203)</f>
        <v>-164</v>
      </c>
      <c r="AY201" s="310">
        <f t="shared" si="1416"/>
        <v>-245</v>
      </c>
      <c r="AZ201" s="310">
        <f t="shared" si="1416"/>
        <v>-308</v>
      </c>
      <c r="BA201" s="310">
        <f t="shared" ref="BA201:BD201" si="1417">SUM(BA202,BA203)</f>
        <v>-20</v>
      </c>
      <c r="BB201" s="310">
        <f t="shared" si="1417"/>
        <v>-50</v>
      </c>
      <c r="BC201" s="310">
        <f t="shared" si="1417"/>
        <v>1</v>
      </c>
      <c r="BD201" s="310">
        <f t="shared" si="1417"/>
        <v>-1</v>
      </c>
      <c r="BE201" s="310">
        <f t="shared" ref="BE201:BF201" si="1418">SUM(BE202,BE203)</f>
        <v>-70</v>
      </c>
      <c r="BF201" s="310">
        <f t="shared" si="1418"/>
        <v>-69</v>
      </c>
      <c r="BG201" s="310">
        <f t="shared" ref="BG201:BH201" si="1419">SUM(BG202,BG203)</f>
        <v>-70</v>
      </c>
      <c r="BH201" s="310">
        <f t="shared" si="1419"/>
        <v>0</v>
      </c>
      <c r="BI201" s="310">
        <f t="shared" ref="BI201:BL201" si="1420">SUM(BI202,BI203)</f>
        <v>0</v>
      </c>
      <c r="BJ201" s="310">
        <f t="shared" si="1420"/>
        <v>0</v>
      </c>
      <c r="BK201" s="310">
        <f t="shared" si="1420"/>
        <v>0</v>
      </c>
      <c r="BL201" s="310">
        <f t="shared" si="1420"/>
        <v>0</v>
      </c>
      <c r="BM201" s="310">
        <f t="shared" ref="BM201:BN201" si="1421">SUM(BM202,BM203)</f>
        <v>0</v>
      </c>
      <c r="BN201" s="310">
        <f t="shared" si="1421"/>
        <v>0</v>
      </c>
      <c r="BO201" s="310">
        <f t="shared" ref="BO201:BS201" si="1422">SUM(BO202,BO203)</f>
        <v>0</v>
      </c>
      <c r="BP201" s="310">
        <f t="shared" si="1422"/>
        <v>0</v>
      </c>
      <c r="BQ201" s="310">
        <f t="shared" si="1422"/>
        <v>0</v>
      </c>
      <c r="BR201" s="310">
        <f t="shared" si="1422"/>
        <v>0</v>
      </c>
      <c r="BS201" s="310">
        <f t="shared" si="1422"/>
        <v>0</v>
      </c>
      <c r="BT201" s="310">
        <f t="shared" ref="BT201:BU201" si="1423">SUM(BT202,BT203)</f>
        <v>0</v>
      </c>
      <c r="BU201" s="310">
        <f t="shared" si="1423"/>
        <v>0</v>
      </c>
      <c r="BV201" s="310">
        <f t="shared" ref="BV201:BZ201" si="1424">SUM(BV202,BV203)</f>
        <v>0</v>
      </c>
      <c r="BW201" s="310">
        <f t="shared" si="1424"/>
        <v>0</v>
      </c>
      <c r="BX201" s="310">
        <f t="shared" si="1424"/>
        <v>0</v>
      </c>
      <c r="BY201" s="310">
        <f t="shared" si="1424"/>
        <v>0</v>
      </c>
      <c r="BZ201" s="310">
        <f t="shared" si="1424"/>
        <v>0</v>
      </c>
      <c r="CA201" s="310">
        <f t="shared" ref="CA201:CB201" si="1425">SUM(CA202,CA203)</f>
        <v>0</v>
      </c>
      <c r="CB201" s="310">
        <f t="shared" si="1425"/>
        <v>0</v>
      </c>
      <c r="CC201" s="310">
        <f t="shared" ref="CC201" si="1426">SUM(CC202,CC203)</f>
        <v>0</v>
      </c>
    </row>
    <row r="202" spans="1:93" s="394" customFormat="1" x14ac:dyDescent="0.25">
      <c r="A202" s="393" t="str">
        <f>Language!$G203</f>
        <v>D&amp;A</v>
      </c>
      <c r="B202" s="383">
        <v>0</v>
      </c>
      <c r="C202" s="383">
        <v>0</v>
      </c>
      <c r="D202" s="383">
        <v>0</v>
      </c>
      <c r="E202" s="382">
        <v>1</v>
      </c>
      <c r="F202" s="383">
        <v>0</v>
      </c>
      <c r="G202" s="383">
        <v>0</v>
      </c>
      <c r="H202" s="383">
        <v>0</v>
      </c>
      <c r="I202" s="382">
        <v>0</v>
      </c>
      <c r="J202" s="383">
        <v>0</v>
      </c>
      <c r="K202" s="383">
        <v>0</v>
      </c>
      <c r="L202" s="383">
        <v>0</v>
      </c>
      <c r="M202" s="382">
        <v>0</v>
      </c>
      <c r="N202" s="383">
        <v>0</v>
      </c>
      <c r="O202" s="383">
        <v>0</v>
      </c>
      <c r="P202" s="383">
        <v>-1</v>
      </c>
      <c r="Q202" s="382">
        <v>0</v>
      </c>
      <c r="R202" s="383">
        <v>0</v>
      </c>
      <c r="S202" s="383">
        <v>-7</v>
      </c>
      <c r="T202" s="383">
        <v>-923</v>
      </c>
      <c r="U202" s="383">
        <v>-183</v>
      </c>
      <c r="V202" s="322">
        <v>-7</v>
      </c>
      <c r="W202" s="383">
        <v>-930</v>
      </c>
      <c r="X202" s="382">
        <v>-1113</v>
      </c>
      <c r="Y202" s="383">
        <v>0</v>
      </c>
      <c r="Z202" s="383">
        <v>0</v>
      </c>
      <c r="AA202" s="383">
        <f>AD202-Z202-Y202</f>
        <v>0</v>
      </c>
      <c r="AB202" s="383">
        <f t="shared" si="1365"/>
        <v>0</v>
      </c>
      <c r="AC202" s="383">
        <v>0</v>
      </c>
      <c r="AD202" s="383">
        <v>0</v>
      </c>
      <c r="AE202" s="382">
        <v>0</v>
      </c>
      <c r="AF202" s="383">
        <v>0</v>
      </c>
      <c r="AG202" s="383">
        <v>0</v>
      </c>
      <c r="AH202" s="383">
        <f>AK202-AG202-AF202</f>
        <v>0</v>
      </c>
      <c r="AI202" s="383">
        <f t="shared" ref="AI202:AI203" si="1427">AL202-AF202-AG202-AH202</f>
        <v>0</v>
      </c>
      <c r="AJ202" s="383">
        <v>0</v>
      </c>
      <c r="AK202" s="383">
        <v>0</v>
      </c>
      <c r="AL202" s="382">
        <v>0</v>
      </c>
      <c r="AM202" s="383">
        <v>-31</v>
      </c>
      <c r="AN202" s="383">
        <f t="shared" si="1270"/>
        <v>-32</v>
      </c>
      <c r="AO202" s="383">
        <f t="shared" si="796"/>
        <v>-32</v>
      </c>
      <c r="AP202" s="383">
        <f t="shared" si="796"/>
        <v>-28</v>
      </c>
      <c r="AQ202" s="383">
        <v>-63</v>
      </c>
      <c r="AR202" s="383">
        <v>-95</v>
      </c>
      <c r="AS202" s="382">
        <v>-123</v>
      </c>
      <c r="AT202" s="383">
        <v>-76</v>
      </c>
      <c r="AU202" s="383">
        <f>AX202-AT202</f>
        <v>-88</v>
      </c>
      <c r="AV202" s="383">
        <f>AY202-AX202</f>
        <v>-81</v>
      </c>
      <c r="AW202" s="383">
        <f>AZ202-AY202</f>
        <v>-63</v>
      </c>
      <c r="AX202" s="383">
        <v>-164</v>
      </c>
      <c r="AY202" s="383">
        <v>-245</v>
      </c>
      <c r="AZ202" s="383">
        <v>-308</v>
      </c>
      <c r="BA202" s="383">
        <v>-20</v>
      </c>
      <c r="BB202" s="383">
        <f>BE202-BA202</f>
        <v>-50</v>
      </c>
      <c r="BC202" s="383">
        <f>BF202-BE202</f>
        <v>1</v>
      </c>
      <c r="BD202" s="383">
        <f>BG202-BF202</f>
        <v>-1</v>
      </c>
      <c r="BE202" s="383">
        <v>-70</v>
      </c>
      <c r="BF202" s="383">
        <v>-69</v>
      </c>
      <c r="BG202" s="383">
        <v>-70</v>
      </c>
      <c r="BH202" s="383">
        <v>0</v>
      </c>
      <c r="BI202" s="383">
        <v>0</v>
      </c>
      <c r="BJ202" s="383">
        <f>BM202-BL202</f>
        <v>0</v>
      </c>
      <c r="BK202" s="383">
        <f>BN202-BM202</f>
        <v>0</v>
      </c>
      <c r="BL202" s="383">
        <v>0</v>
      </c>
      <c r="BM202" s="383">
        <v>0</v>
      </c>
      <c r="BN202" s="383">
        <v>0</v>
      </c>
      <c r="BO202" s="383">
        <v>0</v>
      </c>
      <c r="BP202" s="383"/>
      <c r="BQ202" s="383"/>
      <c r="BR202" s="383"/>
      <c r="BS202" s="383"/>
      <c r="BT202" s="383"/>
      <c r="BU202" s="383"/>
      <c r="BV202" s="383"/>
      <c r="BW202" s="383"/>
      <c r="BX202" s="383"/>
      <c r="BY202" s="383"/>
      <c r="BZ202" s="383"/>
      <c r="CA202" s="383"/>
      <c r="CB202" s="383"/>
      <c r="CC202" s="383"/>
      <c r="CD202" s="383"/>
      <c r="CE202" s="383"/>
      <c r="CF202" s="383"/>
      <c r="CG202" s="383"/>
      <c r="CH202" s="383"/>
      <c r="CI202" s="383"/>
      <c r="CJ202" s="383"/>
      <c r="CK202" s="383"/>
      <c r="CL202" s="383"/>
      <c r="CM202" s="383"/>
      <c r="CN202" s="383"/>
      <c r="CO202" s="383"/>
    </row>
    <row r="203" spans="1:93" x14ac:dyDescent="0.25">
      <c r="A203" s="397" t="str">
        <f>Language!$G204</f>
        <v>Reavaliação</v>
      </c>
      <c r="B203" s="345">
        <v>0</v>
      </c>
      <c r="C203" s="345">
        <v>0</v>
      </c>
      <c r="D203" s="345">
        <v>0</v>
      </c>
      <c r="E203" s="346">
        <v>0</v>
      </c>
      <c r="F203" s="345">
        <v>0</v>
      </c>
      <c r="G203" s="345">
        <v>0</v>
      </c>
      <c r="H203" s="345">
        <v>0</v>
      </c>
      <c r="I203" s="346">
        <v>0</v>
      </c>
      <c r="J203" s="345">
        <v>0</v>
      </c>
      <c r="K203" s="345">
        <v>0</v>
      </c>
      <c r="L203" s="345">
        <v>0</v>
      </c>
      <c r="M203" s="346">
        <v>0</v>
      </c>
      <c r="N203" s="345">
        <v>0</v>
      </c>
      <c r="O203" s="345">
        <v>0</v>
      </c>
      <c r="P203" s="345">
        <v>0</v>
      </c>
      <c r="Q203" s="346">
        <v>0</v>
      </c>
      <c r="R203" s="345">
        <v>0</v>
      </c>
      <c r="S203" s="345">
        <v>0</v>
      </c>
      <c r="T203" s="345">
        <v>0</v>
      </c>
      <c r="U203" s="345">
        <v>0</v>
      </c>
      <c r="V203" s="322">
        <v>0</v>
      </c>
      <c r="W203" s="345">
        <v>0</v>
      </c>
      <c r="X203" s="346">
        <v>0</v>
      </c>
      <c r="Y203" s="345">
        <v>0</v>
      </c>
      <c r="Z203" s="345">
        <v>0</v>
      </c>
      <c r="AA203" s="345">
        <f>AD203-Z203-Y203</f>
        <v>0</v>
      </c>
      <c r="AB203" s="345">
        <f t="shared" si="1365"/>
        <v>0</v>
      </c>
      <c r="AC203" s="345">
        <v>0</v>
      </c>
      <c r="AD203" s="345">
        <v>0</v>
      </c>
      <c r="AE203" s="346">
        <v>0</v>
      </c>
      <c r="AF203" s="345">
        <v>0</v>
      </c>
      <c r="AG203" s="345">
        <v>0</v>
      </c>
      <c r="AH203" s="345">
        <f>AK203-AG203-AF203</f>
        <v>0</v>
      </c>
      <c r="AI203" s="345">
        <f t="shared" si="1427"/>
        <v>0</v>
      </c>
      <c r="AJ203" s="345">
        <v>0</v>
      </c>
      <c r="AK203" s="345">
        <v>0</v>
      </c>
      <c r="AL203" s="346">
        <v>0</v>
      </c>
      <c r="AM203" s="345">
        <v>0</v>
      </c>
      <c r="AN203" s="345">
        <f t="shared" si="1270"/>
        <v>0</v>
      </c>
      <c r="AO203" s="345">
        <f t="shared" si="796"/>
        <v>0</v>
      </c>
      <c r="AP203" s="345">
        <f t="shared" si="796"/>
        <v>0</v>
      </c>
      <c r="AQ203" s="345">
        <v>0</v>
      </c>
      <c r="AR203" s="345"/>
      <c r="AS203" s="346"/>
      <c r="AT203" s="345"/>
      <c r="AU203" s="345"/>
      <c r="AV203" s="345"/>
      <c r="AW203" s="345"/>
      <c r="AX203" s="345"/>
      <c r="AY203" s="345"/>
      <c r="AZ203" s="345"/>
      <c r="BA203" s="345"/>
      <c r="BB203" s="345"/>
      <c r="BC203" s="345"/>
      <c r="BD203" s="345"/>
      <c r="BE203" s="345"/>
      <c r="BF203" s="345"/>
      <c r="BG203" s="345"/>
      <c r="BH203" s="345"/>
      <c r="BI203" s="345"/>
      <c r="BJ203" s="345"/>
      <c r="BK203" s="345"/>
      <c r="BL203" s="345"/>
      <c r="BM203" s="345"/>
      <c r="BN203" s="345"/>
      <c r="BO203" s="345"/>
      <c r="BP203" s="345"/>
      <c r="BQ203" s="345"/>
      <c r="BR203" s="345">
        <f>BU203-BT203</f>
        <v>0</v>
      </c>
      <c r="BS203" s="345">
        <v>0</v>
      </c>
      <c r="BT203" s="345">
        <v>0</v>
      </c>
      <c r="BU203" s="345">
        <v>0</v>
      </c>
      <c r="BV203" s="345">
        <v>0</v>
      </c>
      <c r="BW203" s="383">
        <f>BZ203-BV203</f>
        <v>0</v>
      </c>
      <c r="BX203" s="345">
        <f>CA203-BZ203</f>
        <v>0</v>
      </c>
      <c r="BY203" s="345">
        <v>0</v>
      </c>
      <c r="BZ203" s="345">
        <v>0</v>
      </c>
      <c r="CA203" s="345">
        <v>0</v>
      </c>
      <c r="CB203" s="345">
        <v>0</v>
      </c>
      <c r="CC203" s="345">
        <v>0</v>
      </c>
      <c r="CD203" s="345">
        <f>CG203-CC203</f>
        <v>0</v>
      </c>
      <c r="CE203" s="345">
        <f>CH203-CG203</f>
        <v>0</v>
      </c>
      <c r="CF203" s="345">
        <v>0</v>
      </c>
      <c r="CG203" s="345">
        <v>0</v>
      </c>
      <c r="CH203" s="345">
        <v>0</v>
      </c>
      <c r="CI203" s="345">
        <v>0</v>
      </c>
      <c r="CJ203" s="345">
        <v>0</v>
      </c>
      <c r="CK203" s="345">
        <v>0</v>
      </c>
      <c r="CL203" s="345">
        <v>0</v>
      </c>
      <c r="CM203" s="345">
        <v>0</v>
      </c>
      <c r="CN203" s="345">
        <v>0</v>
      </c>
      <c r="CO203" s="345">
        <v>0</v>
      </c>
    </row>
    <row r="204" spans="1:93" ht="13" x14ac:dyDescent="0.3">
      <c r="A204" s="366" t="str">
        <f>Language!$G205</f>
        <v>Resultado Financeiro</v>
      </c>
      <c r="B204" s="366">
        <f>SUM(B205,B206)</f>
        <v>-8805</v>
      </c>
      <c r="C204" s="366">
        <f t="shared" ref="C204:K204" si="1428">SUM(C205,C206)</f>
        <v>-7716</v>
      </c>
      <c r="D204" s="366">
        <f t="shared" si="1428"/>
        <v>-7249</v>
      </c>
      <c r="E204" s="367">
        <f t="shared" si="1428"/>
        <v>-3460</v>
      </c>
      <c r="F204" s="366">
        <f t="shared" si="1428"/>
        <v>-5057</v>
      </c>
      <c r="G204" s="366">
        <f t="shared" si="1428"/>
        <v>-5792</v>
      </c>
      <c r="H204" s="366">
        <f t="shared" si="1428"/>
        <v>-5244</v>
      </c>
      <c r="I204" s="367">
        <f t="shared" si="1428"/>
        <v>-5352</v>
      </c>
      <c r="J204" s="366">
        <f t="shared" si="1428"/>
        <v>-5000</v>
      </c>
      <c r="K204" s="366">
        <f t="shared" si="1428"/>
        <v>-4650</v>
      </c>
      <c r="L204" s="366">
        <f t="shared" ref="L204:P204" si="1429">SUM(L205,L206)</f>
        <v>-3791</v>
      </c>
      <c r="M204" s="367">
        <f t="shared" si="1429"/>
        <v>-4592</v>
      </c>
      <c r="N204" s="366">
        <f t="shared" si="1429"/>
        <v>-16374</v>
      </c>
      <c r="O204" s="366">
        <f t="shared" si="1429"/>
        <v>-16126</v>
      </c>
      <c r="P204" s="366">
        <f t="shared" si="1429"/>
        <v>-15175</v>
      </c>
      <c r="Q204" s="367">
        <f t="shared" ref="Q204:Z204" si="1430">SUM(Q205,Q206)</f>
        <v>-17149</v>
      </c>
      <c r="R204" s="366">
        <v>-18447</v>
      </c>
      <c r="S204" s="366">
        <v>-19947</v>
      </c>
      <c r="T204" s="366">
        <v>-15223</v>
      </c>
      <c r="U204" s="366">
        <v>-13124</v>
      </c>
      <c r="V204" s="366">
        <v>-38394</v>
      </c>
      <c r="W204" s="366">
        <v>-53617</v>
      </c>
      <c r="X204" s="367">
        <v>-66741</v>
      </c>
      <c r="Y204" s="366">
        <f t="shared" si="1430"/>
        <v>57</v>
      </c>
      <c r="Z204" s="366">
        <f t="shared" si="1430"/>
        <v>-333</v>
      </c>
      <c r="AA204" s="366">
        <f t="shared" ref="AA204:AB204" si="1431">SUM(AA205,AA206)</f>
        <v>-10</v>
      </c>
      <c r="AB204" s="366">
        <f t="shared" si="1431"/>
        <v>49</v>
      </c>
      <c r="AC204" s="366">
        <f>SUM(AC205,AC206)</f>
        <v>-276</v>
      </c>
      <c r="AD204" s="366">
        <f>SUM(AD205,AD206)</f>
        <v>-286</v>
      </c>
      <c r="AE204" s="367">
        <f>SUM(AE205,AE206)</f>
        <v>-237</v>
      </c>
      <c r="AF204" s="366">
        <f>SUM(AF205,AF206)</f>
        <v>93</v>
      </c>
      <c r="AG204" s="366">
        <f t="shared" ref="AG204:AI204" si="1432">SUM(AG205,AG206)</f>
        <v>133</v>
      </c>
      <c r="AH204" s="366">
        <f t="shared" si="1432"/>
        <v>260</v>
      </c>
      <c r="AI204" s="366">
        <f t="shared" si="1432"/>
        <v>147</v>
      </c>
      <c r="AJ204" s="366">
        <f>SUM(AJ205,AJ206)</f>
        <v>226</v>
      </c>
      <c r="AK204" s="366">
        <f>SUM(AK205,AK206)</f>
        <v>486</v>
      </c>
      <c r="AL204" s="367">
        <f>SUM(AL205,AL206)</f>
        <v>633</v>
      </c>
      <c r="AM204" s="366">
        <f>SUM(AM205,AM206)</f>
        <v>-46</v>
      </c>
      <c r="AN204" s="366">
        <f t="shared" si="1270"/>
        <v>51</v>
      </c>
      <c r="AO204" s="366">
        <f t="shared" si="796"/>
        <v>148</v>
      </c>
      <c r="AP204" s="366">
        <f t="shared" si="796"/>
        <v>217</v>
      </c>
      <c r="AQ204" s="366">
        <f t="shared" ref="AQ204:BA204" si="1433">SUM(AQ205,AQ206)</f>
        <v>5</v>
      </c>
      <c r="AR204" s="366">
        <f t="shared" si="1433"/>
        <v>153</v>
      </c>
      <c r="AS204" s="367">
        <f t="shared" si="1433"/>
        <v>370</v>
      </c>
      <c r="AT204" s="366">
        <f t="shared" si="1433"/>
        <v>226</v>
      </c>
      <c r="AU204" s="366">
        <f t="shared" si="1433"/>
        <v>182</v>
      </c>
      <c r="AV204" s="366">
        <f t="shared" si="1433"/>
        <v>85</v>
      </c>
      <c r="AW204" s="366">
        <f t="shared" si="1433"/>
        <v>117</v>
      </c>
      <c r="AX204" s="366">
        <f t="shared" si="1433"/>
        <v>408</v>
      </c>
      <c r="AY204" s="366">
        <f t="shared" si="1433"/>
        <v>493</v>
      </c>
      <c r="AZ204" s="366">
        <f t="shared" si="1433"/>
        <v>610</v>
      </c>
      <c r="BA204" s="366">
        <f t="shared" si="1433"/>
        <v>26</v>
      </c>
      <c r="BB204" s="366">
        <f t="shared" ref="BB204:BD204" si="1434">SUM(BB205,BB206)</f>
        <v>35</v>
      </c>
      <c r="BC204" s="366">
        <f t="shared" si="1434"/>
        <v>10</v>
      </c>
      <c r="BD204" s="366">
        <f t="shared" si="1434"/>
        <v>0</v>
      </c>
      <c r="BE204" s="366">
        <f>SUM(BE205,BE206)</f>
        <v>61</v>
      </c>
      <c r="BF204" s="366">
        <f>SUM(BF205,BF206)</f>
        <v>71</v>
      </c>
      <c r="BG204" s="366">
        <f>SUM(BG205,BG206)</f>
        <v>71</v>
      </c>
      <c r="BH204" s="366">
        <f>SUM(BH205,BH206)</f>
        <v>-15</v>
      </c>
      <c r="BI204" s="366">
        <f t="shared" ref="BI204:BL204" si="1435">SUM(BI205,BI206)</f>
        <v>12</v>
      </c>
      <c r="BJ204" s="366">
        <f t="shared" si="1435"/>
        <v>54</v>
      </c>
      <c r="BK204" s="366">
        <f t="shared" si="1435"/>
        <v>81</v>
      </c>
      <c r="BL204" s="366">
        <f t="shared" si="1435"/>
        <v>-3</v>
      </c>
      <c r="BM204" s="366">
        <f t="shared" ref="BM204:BN204" si="1436">SUM(BM205,BM206)</f>
        <v>51</v>
      </c>
      <c r="BN204" s="366">
        <f t="shared" si="1436"/>
        <v>132</v>
      </c>
      <c r="BO204" s="366">
        <f t="shared" ref="BO204:BS204" si="1437">SUM(BO205,BO206)</f>
        <v>91</v>
      </c>
      <c r="BP204" s="366">
        <f t="shared" si="1437"/>
        <v>75</v>
      </c>
      <c r="BQ204" s="366">
        <f t="shared" si="1437"/>
        <v>522</v>
      </c>
      <c r="BR204" s="366">
        <f t="shared" si="1437"/>
        <v>602</v>
      </c>
      <c r="BS204" s="366">
        <f t="shared" si="1437"/>
        <v>166</v>
      </c>
      <c r="BT204" s="366">
        <f t="shared" ref="BT204:BU204" si="1438">SUM(BT205,BT206)</f>
        <v>688</v>
      </c>
      <c r="BU204" s="366">
        <f t="shared" si="1438"/>
        <v>1290</v>
      </c>
      <c r="BV204" s="366">
        <f t="shared" ref="BV204:BZ204" si="1439">SUM(BV205,BV206)</f>
        <v>608</v>
      </c>
      <c r="BW204" s="366">
        <f t="shared" si="1439"/>
        <v>-78</v>
      </c>
      <c r="BX204" s="366">
        <f t="shared" si="1439"/>
        <v>573</v>
      </c>
      <c r="BY204" s="366">
        <f t="shared" si="1439"/>
        <v>369</v>
      </c>
      <c r="BZ204" s="366">
        <f t="shared" si="1439"/>
        <v>530</v>
      </c>
      <c r="CA204" s="366">
        <f t="shared" ref="CA204:CB204" si="1440">SUM(CA205,CA206)</f>
        <v>1103</v>
      </c>
      <c r="CB204" s="366">
        <f t="shared" si="1440"/>
        <v>1472</v>
      </c>
      <c r="CC204" s="366">
        <f t="shared" ref="CC204:CD204" si="1441">SUM(CC205,CC206)</f>
        <v>207</v>
      </c>
      <c r="CD204" s="366">
        <f t="shared" si="1441"/>
        <v>425</v>
      </c>
      <c r="CE204" s="366">
        <f t="shared" ref="CE204:CG204" si="1442">SUM(CE205,CE206)</f>
        <v>666</v>
      </c>
      <c r="CF204" s="366">
        <f t="shared" si="1442"/>
        <v>569</v>
      </c>
      <c r="CG204" s="366">
        <f t="shared" si="1442"/>
        <v>632</v>
      </c>
      <c r="CH204" s="366">
        <f t="shared" ref="CH204:CI204" si="1443">SUM(CH205,CH206)</f>
        <v>1298</v>
      </c>
      <c r="CI204" s="366">
        <f t="shared" si="1443"/>
        <v>1867</v>
      </c>
      <c r="CJ204" s="366">
        <v>217</v>
      </c>
      <c r="CK204" s="366">
        <f t="shared" ref="CK204:CO204" si="1444">SUM(CK205,CK206)</f>
        <v>386</v>
      </c>
      <c r="CL204" s="366">
        <f t="shared" si="1444"/>
        <v>0</v>
      </c>
      <c r="CM204" s="366">
        <f t="shared" si="1444"/>
        <v>0</v>
      </c>
      <c r="CN204" s="366">
        <f t="shared" si="1444"/>
        <v>603</v>
      </c>
      <c r="CO204" s="366">
        <f t="shared" si="1444"/>
        <v>0</v>
      </c>
    </row>
    <row r="205" spans="1:93" x14ac:dyDescent="0.25">
      <c r="A205" s="326" t="str">
        <f>Language!$G206</f>
        <v>Receitas</v>
      </c>
      <c r="B205" s="322">
        <v>539</v>
      </c>
      <c r="C205" s="322">
        <v>310</v>
      </c>
      <c r="D205" s="322">
        <v>496</v>
      </c>
      <c r="E205" s="321">
        <v>1220</v>
      </c>
      <c r="F205" s="322">
        <v>1354</v>
      </c>
      <c r="G205" s="322">
        <v>545</v>
      </c>
      <c r="H205" s="322">
        <v>755</v>
      </c>
      <c r="I205" s="321">
        <v>418</v>
      </c>
      <c r="J205" s="322">
        <v>441</v>
      </c>
      <c r="K205" s="322">
        <v>-11079</v>
      </c>
      <c r="L205" s="322">
        <v>12969</v>
      </c>
      <c r="M205" s="321">
        <v>668</v>
      </c>
      <c r="N205" s="322">
        <v>544</v>
      </c>
      <c r="O205" s="322">
        <v>601</v>
      </c>
      <c r="P205" s="322">
        <v>327</v>
      </c>
      <c r="Q205" s="321">
        <v>492</v>
      </c>
      <c r="R205" s="322">
        <v>819</v>
      </c>
      <c r="S205" s="322">
        <v>1452</v>
      </c>
      <c r="T205" s="322">
        <v>1545</v>
      </c>
      <c r="U205" s="322">
        <v>1298</v>
      </c>
      <c r="V205" s="322">
        <v>2271</v>
      </c>
      <c r="W205" s="322">
        <v>3816</v>
      </c>
      <c r="X205" s="321">
        <v>5114</v>
      </c>
      <c r="Y205" s="322">
        <v>208</v>
      </c>
      <c r="Z205" s="322">
        <f>AC205-Y205</f>
        <v>-38</v>
      </c>
      <c r="AA205" s="322">
        <f>AD205-Z205-Y205</f>
        <v>114</v>
      </c>
      <c r="AB205" s="322">
        <f t="shared" si="1365"/>
        <v>142</v>
      </c>
      <c r="AC205" s="322">
        <v>170</v>
      </c>
      <c r="AD205" s="322">
        <v>284</v>
      </c>
      <c r="AE205" s="321">
        <v>426</v>
      </c>
      <c r="AF205" s="322">
        <v>219</v>
      </c>
      <c r="AG205" s="322">
        <f>AJ205-AF205</f>
        <v>248</v>
      </c>
      <c r="AH205" s="322">
        <f>AK205-AG205-AF205</f>
        <v>388</v>
      </c>
      <c r="AI205" s="322">
        <f t="shared" ref="AI205:AI206" si="1445">AL205-AF205-AG205-AH205</f>
        <v>237</v>
      </c>
      <c r="AJ205" s="322">
        <v>467</v>
      </c>
      <c r="AK205" s="322">
        <v>855</v>
      </c>
      <c r="AL205" s="321">
        <v>1092</v>
      </c>
      <c r="AM205" s="322">
        <v>114</v>
      </c>
      <c r="AN205" s="322">
        <f t="shared" si="1270"/>
        <v>138</v>
      </c>
      <c r="AO205" s="322">
        <f t="shared" ref="AO205:AP211" si="1446">AR205-AQ205</f>
        <v>164</v>
      </c>
      <c r="AP205" s="322">
        <f t="shared" si="1446"/>
        <v>280</v>
      </c>
      <c r="AQ205" s="322">
        <v>252</v>
      </c>
      <c r="AR205" s="322">
        <v>416</v>
      </c>
      <c r="AS205" s="321">
        <v>696</v>
      </c>
      <c r="AT205" s="322">
        <v>283</v>
      </c>
      <c r="AU205" s="383">
        <f>AX205-AT205</f>
        <v>271</v>
      </c>
      <c r="AV205" s="322">
        <f>AY205-AX205</f>
        <v>90</v>
      </c>
      <c r="AW205" s="322">
        <f>AZ205-AY205</f>
        <v>271</v>
      </c>
      <c r="AX205" s="322">
        <v>554</v>
      </c>
      <c r="AY205" s="322">
        <v>644</v>
      </c>
      <c r="AZ205" s="322">
        <v>915</v>
      </c>
      <c r="BA205" s="383">
        <v>83</v>
      </c>
      <c r="BB205" s="322">
        <f>BE205-BA205</f>
        <v>81</v>
      </c>
      <c r="BC205" s="322">
        <f>BF205-BE205</f>
        <v>54</v>
      </c>
      <c r="BD205" s="322">
        <f>BG205-BF205</f>
        <v>43</v>
      </c>
      <c r="BE205" s="322">
        <v>164</v>
      </c>
      <c r="BF205" s="322">
        <v>218</v>
      </c>
      <c r="BG205" s="322">
        <v>261</v>
      </c>
      <c r="BH205" s="322">
        <v>33</v>
      </c>
      <c r="BI205" s="322">
        <f>BL205-BH205</f>
        <v>55</v>
      </c>
      <c r="BJ205" s="322">
        <f>BM205-BL205</f>
        <v>105</v>
      </c>
      <c r="BK205" s="322">
        <f>BN205-BM205</f>
        <v>135</v>
      </c>
      <c r="BL205" s="322">
        <v>88</v>
      </c>
      <c r="BM205" s="322">
        <v>193</v>
      </c>
      <c r="BN205" s="322">
        <v>328</v>
      </c>
      <c r="BO205" s="322">
        <v>171</v>
      </c>
      <c r="BP205" s="322">
        <f>BS205-BO205</f>
        <v>272</v>
      </c>
      <c r="BQ205" s="322">
        <f>BT205-BS205</f>
        <v>618</v>
      </c>
      <c r="BR205" s="322">
        <f>BU205-BT205</f>
        <v>680</v>
      </c>
      <c r="BS205" s="322">
        <v>443</v>
      </c>
      <c r="BT205" s="322">
        <v>1061</v>
      </c>
      <c r="BU205" s="322">
        <v>1741</v>
      </c>
      <c r="BV205" s="322">
        <v>682</v>
      </c>
      <c r="BW205" s="322">
        <f>BZ205-BV205</f>
        <v>534</v>
      </c>
      <c r="BX205" s="322">
        <f>CA205-BZ205</f>
        <v>686</v>
      </c>
      <c r="BY205" s="322">
        <f>CB205-CA205</f>
        <v>564</v>
      </c>
      <c r="BZ205" s="322">
        <v>1216</v>
      </c>
      <c r="CA205" s="322">
        <v>1902</v>
      </c>
      <c r="CB205" s="322">
        <v>2466</v>
      </c>
      <c r="CC205" s="322">
        <v>479</v>
      </c>
      <c r="CD205" s="322">
        <f>CG205-CC205</f>
        <v>610</v>
      </c>
      <c r="CE205" s="322">
        <f>CH205-CG205</f>
        <v>797</v>
      </c>
      <c r="CF205" s="322">
        <f>CI205-CH205</f>
        <v>793</v>
      </c>
      <c r="CG205" s="322">
        <v>1089</v>
      </c>
      <c r="CH205" s="322">
        <v>1886</v>
      </c>
      <c r="CI205" s="322">
        <v>2679</v>
      </c>
      <c r="CJ205" s="322">
        <v>490</v>
      </c>
      <c r="CK205" s="322">
        <f>CN205-CJ205</f>
        <v>500</v>
      </c>
      <c r="CL205" s="322"/>
      <c r="CM205" s="322"/>
      <c r="CN205" s="322">
        <v>990</v>
      </c>
      <c r="CO205" s="322"/>
    </row>
    <row r="206" spans="1:93" x14ac:dyDescent="0.25">
      <c r="A206" s="398" t="str">
        <f>Language!$G207</f>
        <v>Despesas</v>
      </c>
      <c r="B206" s="345">
        <v>-9344</v>
      </c>
      <c r="C206" s="345">
        <v>-8026</v>
      </c>
      <c r="D206" s="345">
        <v>-7745</v>
      </c>
      <c r="E206" s="346">
        <v>-4680</v>
      </c>
      <c r="F206" s="345">
        <v>-6411</v>
      </c>
      <c r="G206" s="345">
        <v>-6337</v>
      </c>
      <c r="H206" s="345">
        <v>-5999</v>
      </c>
      <c r="I206" s="346">
        <v>-5770</v>
      </c>
      <c r="J206" s="345">
        <v>-5441</v>
      </c>
      <c r="K206" s="345">
        <v>6429</v>
      </c>
      <c r="L206" s="345">
        <v>-16760</v>
      </c>
      <c r="M206" s="346">
        <v>-5260</v>
      </c>
      <c r="N206" s="345">
        <v>-16918</v>
      </c>
      <c r="O206" s="345">
        <v>-16727</v>
      </c>
      <c r="P206" s="345">
        <v>-15502</v>
      </c>
      <c r="Q206" s="346">
        <v>-17641</v>
      </c>
      <c r="R206" s="322">
        <v>-19266</v>
      </c>
      <c r="S206" s="322">
        <v>-21399</v>
      </c>
      <c r="T206" s="322">
        <v>-16768</v>
      </c>
      <c r="U206" s="322">
        <v>-14422</v>
      </c>
      <c r="V206" s="322">
        <v>-40665</v>
      </c>
      <c r="W206" s="322">
        <v>-57433</v>
      </c>
      <c r="X206" s="321">
        <v>-71855</v>
      </c>
      <c r="Y206" s="322">
        <v>-151</v>
      </c>
      <c r="Z206" s="322">
        <f>AC206-Y206</f>
        <v>-295</v>
      </c>
      <c r="AA206" s="322">
        <f>AD206-Z206-Y206</f>
        <v>-124</v>
      </c>
      <c r="AB206" s="322">
        <f t="shared" si="1365"/>
        <v>-93</v>
      </c>
      <c r="AC206" s="322">
        <v>-446</v>
      </c>
      <c r="AD206" s="322">
        <v>-570</v>
      </c>
      <c r="AE206" s="321">
        <v>-663</v>
      </c>
      <c r="AF206" s="322">
        <v>-126</v>
      </c>
      <c r="AG206" s="322">
        <f>AJ206-AF206</f>
        <v>-115</v>
      </c>
      <c r="AH206" s="322">
        <f>AK206-AG206-AF206</f>
        <v>-128</v>
      </c>
      <c r="AI206" s="322">
        <f t="shared" si="1445"/>
        <v>-90</v>
      </c>
      <c r="AJ206" s="322">
        <v>-241</v>
      </c>
      <c r="AK206" s="322">
        <v>-369</v>
      </c>
      <c r="AL206" s="321">
        <v>-459</v>
      </c>
      <c r="AM206" s="322">
        <v>-160</v>
      </c>
      <c r="AN206" s="322">
        <f t="shared" si="1270"/>
        <v>-87</v>
      </c>
      <c r="AO206" s="322">
        <f t="shared" si="1446"/>
        <v>-16</v>
      </c>
      <c r="AP206" s="322">
        <f t="shared" si="1446"/>
        <v>-63</v>
      </c>
      <c r="AQ206" s="322">
        <v>-247</v>
      </c>
      <c r="AR206" s="322">
        <v>-263</v>
      </c>
      <c r="AS206" s="321">
        <v>-326</v>
      </c>
      <c r="AT206" s="322">
        <v>-57</v>
      </c>
      <c r="AU206" s="383">
        <f>AX206-AT206</f>
        <v>-89</v>
      </c>
      <c r="AV206" s="322">
        <f>AY206-AX206</f>
        <v>-5</v>
      </c>
      <c r="AW206" s="322">
        <f>AZ206-AY206</f>
        <v>-154</v>
      </c>
      <c r="AX206" s="322">
        <v>-146</v>
      </c>
      <c r="AY206" s="322">
        <v>-151</v>
      </c>
      <c r="AZ206" s="322">
        <v>-305</v>
      </c>
      <c r="BA206" s="383">
        <v>-57</v>
      </c>
      <c r="BB206" s="322">
        <f>BE206-BA206</f>
        <v>-46</v>
      </c>
      <c r="BC206" s="322">
        <f>BF206-BE206</f>
        <v>-44</v>
      </c>
      <c r="BD206" s="322">
        <f>BG206-BF206</f>
        <v>-43</v>
      </c>
      <c r="BE206" s="322">
        <v>-103</v>
      </c>
      <c r="BF206" s="322">
        <v>-147</v>
      </c>
      <c r="BG206" s="322">
        <v>-190</v>
      </c>
      <c r="BH206" s="322">
        <v>-48</v>
      </c>
      <c r="BI206" s="322">
        <f>BL206-BH206</f>
        <v>-43</v>
      </c>
      <c r="BJ206" s="322">
        <f>BM206-BL206</f>
        <v>-51</v>
      </c>
      <c r="BK206" s="322">
        <f>BN206-BM206</f>
        <v>-54</v>
      </c>
      <c r="BL206" s="322">
        <v>-91</v>
      </c>
      <c r="BM206" s="322">
        <v>-142</v>
      </c>
      <c r="BN206" s="322">
        <v>-196</v>
      </c>
      <c r="BO206" s="322">
        <v>-80</v>
      </c>
      <c r="BP206" s="322">
        <f>BS206-BO206</f>
        <v>-197</v>
      </c>
      <c r="BQ206" s="322">
        <f>BT206-BS206</f>
        <v>-96</v>
      </c>
      <c r="BR206" s="322">
        <f>BU206-BT206</f>
        <v>-78</v>
      </c>
      <c r="BS206" s="322">
        <v>-277</v>
      </c>
      <c r="BT206" s="322">
        <v>-373</v>
      </c>
      <c r="BU206" s="322">
        <v>-451</v>
      </c>
      <c r="BV206" s="322">
        <v>-74</v>
      </c>
      <c r="BW206" s="322">
        <f>BZ206-BV206</f>
        <v>-612</v>
      </c>
      <c r="BX206" s="322">
        <f>CA206-BZ206</f>
        <v>-113</v>
      </c>
      <c r="BY206" s="322">
        <f>CB206-CA206</f>
        <v>-195</v>
      </c>
      <c r="BZ206" s="322">
        <v>-686</v>
      </c>
      <c r="CA206" s="322">
        <v>-799</v>
      </c>
      <c r="CB206" s="322">
        <v>-994</v>
      </c>
      <c r="CC206" s="322">
        <v>-272</v>
      </c>
      <c r="CD206" s="322">
        <f>CG206-CC206</f>
        <v>-185</v>
      </c>
      <c r="CE206" s="322">
        <f>CH206-CG206</f>
        <v>-131</v>
      </c>
      <c r="CF206" s="322">
        <f>CI206-CH206</f>
        <v>-224</v>
      </c>
      <c r="CG206" s="322">
        <v>-457</v>
      </c>
      <c r="CH206" s="322">
        <v>-588</v>
      </c>
      <c r="CI206" s="322">
        <v>-812</v>
      </c>
      <c r="CJ206" s="322">
        <v>-273</v>
      </c>
      <c r="CK206" s="322">
        <f>CN206-CJ206</f>
        <v>-114</v>
      </c>
      <c r="CL206" s="322"/>
      <c r="CM206" s="322"/>
      <c r="CN206" s="322">
        <v>-387</v>
      </c>
      <c r="CO206" s="322"/>
    </row>
    <row r="207" spans="1:93" ht="13" x14ac:dyDescent="0.3">
      <c r="A207" s="366" t="str">
        <f>Language!$G208</f>
        <v>Despesas Não Recorrentes</v>
      </c>
      <c r="B207" s="366">
        <f t="shared" ref="B207:O207" si="1447">SUM(B208,B209,B210,B211)</f>
        <v>169</v>
      </c>
      <c r="C207" s="366">
        <f t="shared" si="1447"/>
        <v>88</v>
      </c>
      <c r="D207" s="366">
        <f t="shared" si="1447"/>
        <v>151</v>
      </c>
      <c r="E207" s="367">
        <f t="shared" si="1447"/>
        <v>131</v>
      </c>
      <c r="F207" s="366">
        <f t="shared" si="1447"/>
        <v>182</v>
      </c>
      <c r="G207" s="366">
        <f t="shared" si="1447"/>
        <v>114</v>
      </c>
      <c r="H207" s="366">
        <f t="shared" si="1447"/>
        <v>187</v>
      </c>
      <c r="I207" s="367">
        <f t="shared" si="1447"/>
        <v>229</v>
      </c>
      <c r="J207" s="366">
        <f t="shared" si="1447"/>
        <v>572</v>
      </c>
      <c r="K207" s="366">
        <f t="shared" si="1447"/>
        <v>118</v>
      </c>
      <c r="L207" s="366">
        <f t="shared" si="1447"/>
        <v>108</v>
      </c>
      <c r="M207" s="367">
        <f t="shared" si="1447"/>
        <v>472</v>
      </c>
      <c r="N207" s="366">
        <f t="shared" si="1447"/>
        <v>429</v>
      </c>
      <c r="O207" s="366">
        <f t="shared" si="1447"/>
        <v>-429</v>
      </c>
      <c r="P207" s="366">
        <f>SUM(P208,P209,P210,P211)</f>
        <v>0</v>
      </c>
      <c r="Q207" s="367">
        <f t="shared" ref="Q207" si="1448">SUM(Q208,Q209,Q210,Q211)</f>
        <v>0</v>
      </c>
      <c r="R207" s="366">
        <v>0</v>
      </c>
      <c r="S207" s="366">
        <v>0</v>
      </c>
      <c r="T207" s="366">
        <v>0</v>
      </c>
      <c r="U207" s="366">
        <v>31</v>
      </c>
      <c r="V207" s="366">
        <v>0</v>
      </c>
      <c r="W207" s="366">
        <v>0</v>
      </c>
      <c r="X207" s="367">
        <v>31</v>
      </c>
      <c r="Y207" s="366">
        <f t="shared" ref="Y207:AB207" si="1449">SUM(Y208,Y209,Y210,Y211)</f>
        <v>-4</v>
      </c>
      <c r="Z207" s="366">
        <f t="shared" si="1449"/>
        <v>0</v>
      </c>
      <c r="AA207" s="366">
        <f t="shared" si="1449"/>
        <v>0</v>
      </c>
      <c r="AB207" s="366">
        <f t="shared" si="1449"/>
        <v>4</v>
      </c>
      <c r="AC207" s="366">
        <f>SUM(AC208,AC209,AC210,AC211)</f>
        <v>-4</v>
      </c>
      <c r="AD207" s="366">
        <f>SUM(AD208,AD209,AD210,AD211)</f>
        <v>-4</v>
      </c>
      <c r="AE207" s="367">
        <f>SUM(AE208,AE209,AE210,AE211)</f>
        <v>0</v>
      </c>
      <c r="AF207" s="366">
        <f>SUM(AF208,AF209,AF210,AF211)</f>
        <v>0</v>
      </c>
      <c r="AG207" s="366">
        <f t="shared" ref="AG207:AI207" si="1450">SUM(AG208,AG209,AG210,AG211)</f>
        <v>0</v>
      </c>
      <c r="AH207" s="366">
        <f t="shared" si="1450"/>
        <v>0</v>
      </c>
      <c r="AI207" s="366">
        <f t="shared" si="1450"/>
        <v>0</v>
      </c>
      <c r="AJ207" s="366">
        <f>SUM(AJ208,AJ209,AJ210,AJ211)</f>
        <v>0</v>
      </c>
      <c r="AK207" s="366">
        <f>SUM(AK208,AK209,AK210,AK211)</f>
        <v>0</v>
      </c>
      <c r="AL207" s="367">
        <f>SUM(AL208,AL209,AL210,AL211)</f>
        <v>0</v>
      </c>
      <c r="AM207" s="366">
        <f>SUM(AM208,AM209,AM210,AM211)</f>
        <v>0</v>
      </c>
      <c r="AN207" s="366">
        <f t="shared" si="1270"/>
        <v>0</v>
      </c>
      <c r="AO207" s="366">
        <f t="shared" si="1446"/>
        <v>0</v>
      </c>
      <c r="AP207" s="366">
        <f t="shared" si="1446"/>
        <v>0</v>
      </c>
      <c r="AQ207" s="366">
        <f>SUM(AQ208,AQ209,AQ210,AQ211)</f>
        <v>0</v>
      </c>
      <c r="AR207" s="366">
        <f>SUM(AR208,AR209,AR210,AR211)</f>
        <v>0</v>
      </c>
      <c r="AS207" s="367">
        <f>SUM(AS208,AS209,AS210,AS211)</f>
        <v>0</v>
      </c>
      <c r="AT207" s="366">
        <f>SUM(AT208,AT209,AT210,AT211)</f>
        <v>0</v>
      </c>
      <c r="AU207" s="366"/>
      <c r="AV207" s="366">
        <f>SUM(AV208,AV209,AV210,AV211)</f>
        <v>0</v>
      </c>
      <c r="AW207" s="366">
        <f>SUM(AW208,AW209,AW210,AW211)</f>
        <v>0</v>
      </c>
      <c r="AX207" s="366">
        <v>0</v>
      </c>
      <c r="AY207" s="366">
        <f>SUM(AY208,AY209,AY210,AY211)</f>
        <v>0</v>
      </c>
      <c r="AZ207" s="366">
        <f>SUM(AZ208,AZ209,AZ210,AZ211)</f>
        <v>0</v>
      </c>
      <c r="BA207" s="366">
        <f>SUM(BA208,BA209,BA210,BA211)</f>
        <v>0</v>
      </c>
      <c r="BB207" s="366">
        <f t="shared" ref="BB207:BD207" si="1451">SUM(BB208,BB209,BB210,BB211)</f>
        <v>0</v>
      </c>
      <c r="BC207" s="366">
        <f t="shared" si="1451"/>
        <v>0</v>
      </c>
      <c r="BD207" s="366">
        <f t="shared" si="1451"/>
        <v>0</v>
      </c>
      <c r="BE207" s="366">
        <f>SUM(BE208,BE209,BE210,BE211)</f>
        <v>0</v>
      </c>
      <c r="BF207" s="366">
        <f>SUM(BF208,BF209,BF210,BF211)</f>
        <v>0</v>
      </c>
      <c r="BG207" s="366">
        <f>SUM(BG208,BG209,BG210,BG211)</f>
        <v>0</v>
      </c>
      <c r="BH207" s="366">
        <f>SUM(BH208,BH209,BH210,BH211)</f>
        <v>0</v>
      </c>
      <c r="BI207" s="366">
        <f t="shared" ref="BI207:BL207" si="1452">SUM(BI208,BI209,BI210,BI211)</f>
        <v>0</v>
      </c>
      <c r="BJ207" s="366">
        <f t="shared" si="1452"/>
        <v>0</v>
      </c>
      <c r="BK207" s="366">
        <f t="shared" si="1452"/>
        <v>0</v>
      </c>
      <c r="BL207" s="366">
        <f t="shared" si="1452"/>
        <v>0</v>
      </c>
      <c r="BM207" s="366">
        <f t="shared" ref="BM207:BN207" si="1453">SUM(BM208,BM209,BM210,BM211)</f>
        <v>0</v>
      </c>
      <c r="BN207" s="366">
        <f t="shared" si="1453"/>
        <v>0</v>
      </c>
      <c r="BO207" s="366">
        <f t="shared" ref="BO207:BS207" si="1454">SUM(BO208,BO209,BO210,BO211)</f>
        <v>0</v>
      </c>
      <c r="BP207" s="366">
        <f t="shared" si="1454"/>
        <v>0</v>
      </c>
      <c r="BQ207" s="366">
        <f t="shared" si="1454"/>
        <v>-11</v>
      </c>
      <c r="BR207" s="366">
        <f t="shared" si="1454"/>
        <v>10</v>
      </c>
      <c r="BS207" s="366">
        <f t="shared" si="1454"/>
        <v>11</v>
      </c>
      <c r="BT207" s="366">
        <f t="shared" ref="BT207:BU207" si="1455">SUM(BT208,BT209,BT210,BT211)</f>
        <v>0</v>
      </c>
      <c r="BU207" s="366">
        <f t="shared" si="1455"/>
        <v>10</v>
      </c>
      <c r="BV207" s="366">
        <f t="shared" ref="BV207:BZ207" si="1456">SUM(BV208,BV209,BV210,BV211)</f>
        <v>0</v>
      </c>
      <c r="BW207" s="366">
        <f t="shared" si="1456"/>
        <v>0</v>
      </c>
      <c r="BX207" s="366">
        <f t="shared" si="1456"/>
        <v>0</v>
      </c>
      <c r="BY207" s="366">
        <f t="shared" si="1456"/>
        <v>0</v>
      </c>
      <c r="BZ207" s="366">
        <f t="shared" si="1456"/>
        <v>0</v>
      </c>
      <c r="CA207" s="366">
        <f t="shared" ref="CA207:CB207" si="1457">SUM(CA208,CA209,CA210,CA211)</f>
        <v>0</v>
      </c>
      <c r="CB207" s="366">
        <f t="shared" si="1457"/>
        <v>0</v>
      </c>
      <c r="CC207" s="366">
        <f t="shared" ref="CC207:CD207" si="1458">SUM(CC208,CC209,CC210,CC211)</f>
        <v>0</v>
      </c>
      <c r="CD207" s="366">
        <f t="shared" si="1458"/>
        <v>0</v>
      </c>
      <c r="CE207" s="366">
        <f t="shared" ref="CE207:CG207" si="1459">SUM(CE208,CE209,CE210,CE211)</f>
        <v>0</v>
      </c>
      <c r="CF207" s="366">
        <f t="shared" si="1459"/>
        <v>0</v>
      </c>
      <c r="CG207" s="366">
        <f t="shared" si="1459"/>
        <v>0</v>
      </c>
      <c r="CH207" s="366">
        <f t="shared" ref="CH207:CI207" si="1460">SUM(CH208,CH209,CH210,CH211)</f>
        <v>0</v>
      </c>
      <c r="CI207" s="366">
        <f t="shared" si="1460"/>
        <v>0</v>
      </c>
      <c r="CJ207" s="366">
        <v>0</v>
      </c>
      <c r="CK207" s="366">
        <f t="shared" ref="CK207:CO207" si="1461">SUM(CK208,CK209,CK210,CK211)</f>
        <v>0</v>
      </c>
      <c r="CL207" s="366">
        <f t="shared" si="1461"/>
        <v>0</v>
      </c>
      <c r="CM207" s="366">
        <f t="shared" si="1461"/>
        <v>0</v>
      </c>
      <c r="CN207" s="366">
        <f t="shared" si="1461"/>
        <v>0</v>
      </c>
      <c r="CO207" s="366">
        <f t="shared" si="1461"/>
        <v>0</v>
      </c>
    </row>
    <row r="208" spans="1:93" x14ac:dyDescent="0.25">
      <c r="A208" s="340" t="str">
        <f>Language!$G209</f>
        <v>Rio Verde</v>
      </c>
      <c r="B208" s="322">
        <v>169</v>
      </c>
      <c r="C208" s="322">
        <v>88</v>
      </c>
      <c r="D208" s="322">
        <v>151</v>
      </c>
      <c r="E208" s="321">
        <v>131</v>
      </c>
      <c r="F208" s="322">
        <v>182</v>
      </c>
      <c r="G208" s="322">
        <v>114</v>
      </c>
      <c r="H208" s="322">
        <v>187</v>
      </c>
      <c r="I208" s="321">
        <v>229</v>
      </c>
      <c r="J208" s="322">
        <v>572</v>
      </c>
      <c r="K208" s="322">
        <v>118</v>
      </c>
      <c r="L208" s="322">
        <v>108</v>
      </c>
      <c r="M208" s="321">
        <v>472</v>
      </c>
      <c r="N208" s="322">
        <v>429</v>
      </c>
      <c r="O208" s="322">
        <f>0-N208</f>
        <v>-429</v>
      </c>
      <c r="P208" s="322">
        <v>0</v>
      </c>
      <c r="Q208" s="321">
        <v>0</v>
      </c>
      <c r="R208" s="322">
        <v>0</v>
      </c>
      <c r="S208" s="322">
        <v>0</v>
      </c>
      <c r="T208" s="322">
        <v>0</v>
      </c>
      <c r="U208" s="322">
        <v>0</v>
      </c>
      <c r="V208" s="322">
        <v>0</v>
      </c>
      <c r="W208" s="322">
        <v>0</v>
      </c>
      <c r="X208" s="321">
        <v>0</v>
      </c>
      <c r="Y208" s="322">
        <v>0</v>
      </c>
      <c r="Z208" s="322">
        <f>AC208-Y208</f>
        <v>0</v>
      </c>
      <c r="AA208" s="322">
        <f t="shared" ref="AA208:AA211" si="1462">AD208-Z208-Y208</f>
        <v>0</v>
      </c>
      <c r="AB208" s="322">
        <f t="shared" si="1365"/>
        <v>0</v>
      </c>
      <c r="AC208" s="322">
        <v>0</v>
      </c>
      <c r="AD208" s="322">
        <v>0</v>
      </c>
      <c r="AE208" s="321">
        <v>0</v>
      </c>
      <c r="AF208" s="322">
        <v>0</v>
      </c>
      <c r="AG208" s="322">
        <f>AJ208-AF208</f>
        <v>0</v>
      </c>
      <c r="AH208" s="322">
        <f t="shared" ref="AH208:AH211" si="1463">AK208-AG208-AF208</f>
        <v>0</v>
      </c>
      <c r="AI208" s="322">
        <f t="shared" ref="AI208:AI211" si="1464">AL208-AF208-AG208-AH208</f>
        <v>0</v>
      </c>
      <c r="AJ208" s="322">
        <v>0</v>
      </c>
      <c r="AK208" s="322">
        <v>0</v>
      </c>
      <c r="AL208" s="321">
        <v>0</v>
      </c>
      <c r="AM208" s="322">
        <v>0</v>
      </c>
      <c r="AN208" s="322">
        <f t="shared" si="1270"/>
        <v>0</v>
      </c>
      <c r="AO208" s="322">
        <f t="shared" si="1446"/>
        <v>0</v>
      </c>
      <c r="AP208" s="322">
        <f t="shared" si="1446"/>
        <v>0</v>
      </c>
      <c r="AQ208" s="322">
        <v>0</v>
      </c>
      <c r="AR208" s="322"/>
      <c r="AS208" s="321"/>
      <c r="AT208" s="322"/>
      <c r="AU208" s="322"/>
      <c r="AV208" s="322"/>
      <c r="AW208" s="322"/>
      <c r="AX208" s="322"/>
      <c r="AY208" s="322"/>
      <c r="AZ208" s="322"/>
      <c r="BA208" s="322"/>
      <c r="BB208" s="322"/>
      <c r="BC208" s="322"/>
      <c r="BD208" s="322"/>
      <c r="BE208" s="322"/>
      <c r="BF208" s="322"/>
      <c r="BG208" s="322"/>
      <c r="BH208" s="322"/>
      <c r="BI208" s="322"/>
      <c r="BJ208" s="322"/>
      <c r="BK208" s="322"/>
      <c r="BL208" s="322"/>
      <c r="BM208" s="322"/>
      <c r="BN208" s="322"/>
      <c r="BO208" s="322"/>
      <c r="BP208" s="322"/>
      <c r="BQ208" s="322">
        <f>BT208-BS208</f>
        <v>0</v>
      </c>
      <c r="BR208" s="322">
        <f>BU208-BT208</f>
        <v>0</v>
      </c>
      <c r="BS208" s="322">
        <f t="shared" ref="BS208:BU209" si="1465">BS138</f>
        <v>0</v>
      </c>
      <c r="BT208" s="322">
        <f t="shared" si="1465"/>
        <v>0</v>
      </c>
      <c r="BU208" s="322">
        <f t="shared" si="1465"/>
        <v>0</v>
      </c>
      <c r="BV208" s="322">
        <f t="shared" ref="BV208:BZ208" si="1466">BV138</f>
        <v>0</v>
      </c>
      <c r="BW208" s="322">
        <f t="shared" si="1466"/>
        <v>0</v>
      </c>
      <c r="BX208" s="322">
        <f t="shared" si="1466"/>
        <v>0</v>
      </c>
      <c r="BY208" s="322">
        <f t="shared" si="1466"/>
        <v>0</v>
      </c>
      <c r="BZ208" s="322">
        <f t="shared" si="1466"/>
        <v>0</v>
      </c>
      <c r="CA208" s="322">
        <f t="shared" ref="CA208:CB208" si="1467">CA138</f>
        <v>0</v>
      </c>
      <c r="CB208" s="322">
        <f t="shared" si="1467"/>
        <v>0</v>
      </c>
      <c r="CC208" s="322">
        <f t="shared" ref="CC208:CD208" si="1468">CC138</f>
        <v>0</v>
      </c>
      <c r="CD208" s="322">
        <f t="shared" si="1468"/>
        <v>0</v>
      </c>
      <c r="CE208" s="322">
        <f t="shared" ref="CE208:CG208" si="1469">CE138</f>
        <v>0</v>
      </c>
      <c r="CF208" s="322">
        <f t="shared" si="1469"/>
        <v>0</v>
      </c>
      <c r="CG208" s="322">
        <f t="shared" si="1469"/>
        <v>0</v>
      </c>
      <c r="CH208" s="322">
        <f t="shared" ref="CH208:CI208" si="1470">CH138</f>
        <v>0</v>
      </c>
      <c r="CI208" s="322">
        <f t="shared" si="1470"/>
        <v>0</v>
      </c>
      <c r="CJ208" s="322">
        <v>0</v>
      </c>
      <c r="CK208" s="322">
        <f t="shared" ref="CK208:CO208" si="1471">CK138</f>
        <v>0</v>
      </c>
      <c r="CL208" s="322">
        <f t="shared" si="1471"/>
        <v>0</v>
      </c>
      <c r="CM208" s="322">
        <f t="shared" si="1471"/>
        <v>0</v>
      </c>
      <c r="CN208" s="322">
        <f t="shared" si="1471"/>
        <v>0</v>
      </c>
      <c r="CO208" s="322">
        <f t="shared" si="1471"/>
        <v>0</v>
      </c>
    </row>
    <row r="209" spans="1:93" x14ac:dyDescent="0.25">
      <c r="A209" s="340" t="str">
        <f>Language!$G210</f>
        <v>Rio Canoas</v>
      </c>
      <c r="B209" s="322">
        <v>0</v>
      </c>
      <c r="C209" s="322">
        <v>0</v>
      </c>
      <c r="D209" s="322">
        <v>0</v>
      </c>
      <c r="E209" s="321">
        <v>0</v>
      </c>
      <c r="F209" s="322">
        <v>0</v>
      </c>
      <c r="G209" s="322">
        <v>0</v>
      </c>
      <c r="H209" s="322">
        <v>0</v>
      </c>
      <c r="I209" s="321">
        <v>0</v>
      </c>
      <c r="J209" s="322">
        <v>0</v>
      </c>
      <c r="K209" s="322">
        <v>0</v>
      </c>
      <c r="L209" s="322">
        <v>0</v>
      </c>
      <c r="M209" s="321">
        <v>0</v>
      </c>
      <c r="N209" s="322">
        <v>0</v>
      </c>
      <c r="O209" s="322">
        <v>0</v>
      </c>
      <c r="P209" s="322">
        <v>0</v>
      </c>
      <c r="Q209" s="321">
        <v>0</v>
      </c>
      <c r="R209" s="322">
        <v>0</v>
      </c>
      <c r="S209" s="322">
        <v>0</v>
      </c>
      <c r="T209" s="322">
        <v>0</v>
      </c>
      <c r="U209" s="322">
        <v>31</v>
      </c>
      <c r="V209" s="322">
        <v>0</v>
      </c>
      <c r="W209" s="322">
        <v>0</v>
      </c>
      <c r="X209" s="321">
        <v>31</v>
      </c>
      <c r="Y209" s="322">
        <v>0</v>
      </c>
      <c r="Z209" s="322">
        <f>AC209-Y209</f>
        <v>0</v>
      </c>
      <c r="AA209" s="322">
        <f t="shared" si="1462"/>
        <v>0</v>
      </c>
      <c r="AB209" s="322">
        <f t="shared" si="1365"/>
        <v>0</v>
      </c>
      <c r="AC209" s="322">
        <v>0</v>
      </c>
      <c r="AD209" s="322">
        <v>0</v>
      </c>
      <c r="AE209" s="321">
        <v>0</v>
      </c>
      <c r="AF209" s="322">
        <v>0</v>
      </c>
      <c r="AG209" s="322">
        <f>AJ209-AF209</f>
        <v>0</v>
      </c>
      <c r="AH209" s="322">
        <f t="shared" si="1463"/>
        <v>0</v>
      </c>
      <c r="AI209" s="322">
        <f t="shared" si="1464"/>
        <v>0</v>
      </c>
      <c r="AJ209" s="322">
        <v>0</v>
      </c>
      <c r="AK209" s="322">
        <v>0</v>
      </c>
      <c r="AL209" s="321">
        <v>0</v>
      </c>
      <c r="AM209" s="322">
        <v>0</v>
      </c>
      <c r="AN209" s="322">
        <f t="shared" si="1270"/>
        <v>0</v>
      </c>
      <c r="AO209" s="322">
        <f t="shared" si="1446"/>
        <v>0</v>
      </c>
      <c r="AP209" s="322">
        <f t="shared" si="1446"/>
        <v>0</v>
      </c>
      <c r="AQ209" s="322">
        <v>0</v>
      </c>
      <c r="AR209" s="322"/>
      <c r="AS209" s="321"/>
      <c r="AT209" s="322"/>
      <c r="AU209" s="322"/>
      <c r="AV209" s="322"/>
      <c r="AW209" s="322"/>
      <c r="AX209" s="322"/>
      <c r="AY209" s="322"/>
      <c r="AZ209" s="322"/>
      <c r="BA209" s="322"/>
      <c r="BB209" s="322"/>
      <c r="BC209" s="322"/>
      <c r="BD209" s="322"/>
      <c r="BE209" s="322"/>
      <c r="BF209" s="322"/>
      <c r="BG209" s="322"/>
      <c r="BH209" s="322"/>
      <c r="BI209" s="322"/>
      <c r="BJ209" s="322"/>
      <c r="BK209" s="322"/>
      <c r="BL209" s="322"/>
      <c r="BM209" s="322"/>
      <c r="BN209" s="322"/>
      <c r="BO209" s="322"/>
      <c r="BP209" s="322"/>
      <c r="BQ209" s="322">
        <f t="shared" ref="BQ209:BQ211" si="1472">BT209-BS209</f>
        <v>0</v>
      </c>
      <c r="BR209" s="322">
        <f t="shared" ref="BR209:BR211" si="1473">BU209-BT209</f>
        <v>0</v>
      </c>
      <c r="BS209" s="322">
        <f t="shared" si="1465"/>
        <v>0</v>
      </c>
      <c r="BT209" s="322">
        <f t="shared" si="1465"/>
        <v>0</v>
      </c>
      <c r="BU209" s="322">
        <f t="shared" si="1465"/>
        <v>0</v>
      </c>
      <c r="BV209" s="322">
        <f t="shared" ref="BV209:BZ209" si="1474">BV139</f>
        <v>0</v>
      </c>
      <c r="BW209" s="322">
        <f t="shared" si="1474"/>
        <v>0</v>
      </c>
      <c r="BX209" s="322">
        <f t="shared" si="1474"/>
        <v>0</v>
      </c>
      <c r="BY209" s="322">
        <f t="shared" si="1474"/>
        <v>0</v>
      </c>
      <c r="BZ209" s="322">
        <f t="shared" si="1474"/>
        <v>0</v>
      </c>
      <c r="CA209" s="322">
        <f t="shared" ref="CA209:CB209" si="1475">CA139</f>
        <v>0</v>
      </c>
      <c r="CB209" s="322">
        <f t="shared" si="1475"/>
        <v>0</v>
      </c>
      <c r="CC209" s="322">
        <f t="shared" ref="CC209:CD209" si="1476">CC139</f>
        <v>0</v>
      </c>
      <c r="CD209" s="322">
        <f t="shared" si="1476"/>
        <v>0</v>
      </c>
      <c r="CE209" s="322">
        <f t="shared" ref="CE209:CG209" si="1477">CE139</f>
        <v>0</v>
      </c>
      <c r="CF209" s="322">
        <f t="shared" si="1477"/>
        <v>0</v>
      </c>
      <c r="CG209" s="322">
        <f t="shared" si="1477"/>
        <v>0</v>
      </c>
      <c r="CH209" s="322">
        <f t="shared" ref="CH209:CI209" si="1478">CH139</f>
        <v>0</v>
      </c>
      <c r="CI209" s="322">
        <f t="shared" si="1478"/>
        <v>0</v>
      </c>
      <c r="CJ209" s="322">
        <v>0</v>
      </c>
      <c r="CK209" s="322">
        <f t="shared" ref="CK209:CO209" si="1479">CK139</f>
        <v>0</v>
      </c>
      <c r="CL209" s="322">
        <f t="shared" si="1479"/>
        <v>0</v>
      </c>
      <c r="CM209" s="322">
        <f t="shared" si="1479"/>
        <v>0</v>
      </c>
      <c r="CN209" s="322">
        <f t="shared" si="1479"/>
        <v>0</v>
      </c>
      <c r="CO209" s="322">
        <f t="shared" si="1479"/>
        <v>0</v>
      </c>
    </row>
    <row r="210" spans="1:93" x14ac:dyDescent="0.25">
      <c r="A210" s="340" t="str">
        <f>Language!$G211</f>
        <v>Tijoá</v>
      </c>
      <c r="B210" s="322">
        <v>0</v>
      </c>
      <c r="C210" s="322">
        <v>0</v>
      </c>
      <c r="D210" s="322">
        <v>0</v>
      </c>
      <c r="E210" s="321">
        <v>0</v>
      </c>
      <c r="F210" s="322">
        <v>0</v>
      </c>
      <c r="G210" s="322">
        <v>0</v>
      </c>
      <c r="H210" s="322">
        <v>0</v>
      </c>
      <c r="I210" s="321">
        <v>0</v>
      </c>
      <c r="J210" s="322">
        <v>0</v>
      </c>
      <c r="K210" s="322">
        <v>0</v>
      </c>
      <c r="L210" s="322">
        <v>0</v>
      </c>
      <c r="M210" s="321">
        <v>0</v>
      </c>
      <c r="N210" s="322">
        <v>0</v>
      </c>
      <c r="O210" s="322">
        <v>0</v>
      </c>
      <c r="P210" s="322">
        <v>0</v>
      </c>
      <c r="Q210" s="321">
        <v>0</v>
      </c>
      <c r="R210" s="322">
        <v>0</v>
      </c>
      <c r="S210" s="322">
        <v>0</v>
      </c>
      <c r="T210" s="322">
        <v>0</v>
      </c>
      <c r="U210" s="322">
        <v>0</v>
      </c>
      <c r="V210" s="322">
        <v>0</v>
      </c>
      <c r="W210" s="322">
        <v>0</v>
      </c>
      <c r="X210" s="321">
        <v>0</v>
      </c>
      <c r="Y210" s="322">
        <v>-4</v>
      </c>
      <c r="Z210" s="322">
        <f>AC210-Y210</f>
        <v>0</v>
      </c>
      <c r="AA210" s="322">
        <f t="shared" si="1462"/>
        <v>0</v>
      </c>
      <c r="AB210" s="322">
        <f t="shared" si="1365"/>
        <v>4</v>
      </c>
      <c r="AC210" s="322">
        <v>-4</v>
      </c>
      <c r="AD210" s="322">
        <v>-4</v>
      </c>
      <c r="AE210" s="321">
        <v>0</v>
      </c>
      <c r="AF210" s="322">
        <v>0</v>
      </c>
      <c r="AG210" s="322">
        <f>AJ210-AF210</f>
        <v>0</v>
      </c>
      <c r="AH210" s="322">
        <f t="shared" si="1463"/>
        <v>0</v>
      </c>
      <c r="AI210" s="322">
        <f t="shared" si="1464"/>
        <v>0</v>
      </c>
      <c r="AJ210" s="322">
        <v>0</v>
      </c>
      <c r="AK210" s="322">
        <v>0</v>
      </c>
      <c r="AL210" s="321">
        <v>0</v>
      </c>
      <c r="AM210" s="322">
        <v>0</v>
      </c>
      <c r="AN210" s="322">
        <f t="shared" si="1270"/>
        <v>0</v>
      </c>
      <c r="AO210" s="322">
        <f t="shared" si="1446"/>
        <v>0</v>
      </c>
      <c r="AP210" s="322">
        <f t="shared" si="1446"/>
        <v>0</v>
      </c>
      <c r="AQ210" s="322">
        <v>0</v>
      </c>
      <c r="AR210" s="322"/>
      <c r="AS210" s="321"/>
      <c r="AT210" s="322"/>
      <c r="AU210" s="322"/>
      <c r="AV210" s="322"/>
      <c r="AW210" s="322"/>
      <c r="AX210" s="322"/>
      <c r="AY210" s="322"/>
      <c r="AZ210" s="322"/>
      <c r="BA210" s="322"/>
      <c r="BB210" s="322"/>
      <c r="BC210" s="322"/>
      <c r="BD210" s="322"/>
      <c r="BE210" s="322"/>
      <c r="BF210" s="322"/>
      <c r="BG210" s="322"/>
      <c r="BH210" s="322"/>
      <c r="BI210" s="322"/>
      <c r="BJ210" s="322"/>
      <c r="BK210" s="322"/>
      <c r="BL210" s="322"/>
      <c r="BM210" s="322"/>
      <c r="BN210" s="322"/>
      <c r="BO210" s="322"/>
      <c r="BP210" s="322"/>
      <c r="BQ210" s="322">
        <f t="shared" si="1472"/>
        <v>0</v>
      </c>
      <c r="BR210" s="322">
        <f t="shared" si="1473"/>
        <v>0</v>
      </c>
      <c r="BS210" s="322">
        <f t="shared" ref="BS210:BT211" si="1480">BS140</f>
        <v>0</v>
      </c>
      <c r="BT210" s="322">
        <f t="shared" si="1480"/>
        <v>0</v>
      </c>
      <c r="BU210" s="322">
        <f t="shared" ref="BU210:BV210" si="1481">BU140</f>
        <v>0</v>
      </c>
      <c r="BV210" s="322">
        <f t="shared" si="1481"/>
        <v>0</v>
      </c>
      <c r="BW210" s="322">
        <f t="shared" ref="BW210:BZ210" si="1482">BW140</f>
        <v>0</v>
      </c>
      <c r="BX210" s="322">
        <f t="shared" si="1482"/>
        <v>0</v>
      </c>
      <c r="BY210" s="322">
        <f t="shared" si="1482"/>
        <v>0</v>
      </c>
      <c r="BZ210" s="322">
        <f t="shared" si="1482"/>
        <v>0</v>
      </c>
      <c r="CA210" s="322">
        <f t="shared" ref="CA210:CB210" si="1483">CA140</f>
        <v>0</v>
      </c>
      <c r="CB210" s="322">
        <f t="shared" si="1483"/>
        <v>0</v>
      </c>
      <c r="CC210" s="322">
        <f t="shared" ref="CC210:CD210" si="1484">CC140</f>
        <v>0</v>
      </c>
      <c r="CD210" s="322">
        <f t="shared" si="1484"/>
        <v>0</v>
      </c>
      <c r="CE210" s="322">
        <f t="shared" ref="CE210:CG210" si="1485">CE140</f>
        <v>0</v>
      </c>
      <c r="CF210" s="322">
        <f t="shared" si="1485"/>
        <v>0</v>
      </c>
      <c r="CG210" s="322">
        <f t="shared" si="1485"/>
        <v>0</v>
      </c>
      <c r="CH210" s="322">
        <f t="shared" ref="CH210:CI210" si="1486">CH140</f>
        <v>0</v>
      </c>
      <c r="CI210" s="322">
        <f t="shared" si="1486"/>
        <v>0</v>
      </c>
      <c r="CJ210" s="322">
        <v>0</v>
      </c>
      <c r="CK210" s="322">
        <f t="shared" ref="CK210:CO210" si="1487">CK140</f>
        <v>0</v>
      </c>
      <c r="CL210" s="322">
        <f t="shared" si="1487"/>
        <v>0</v>
      </c>
      <c r="CM210" s="322">
        <f t="shared" si="1487"/>
        <v>0</v>
      </c>
      <c r="CN210" s="322">
        <f t="shared" si="1487"/>
        <v>0</v>
      </c>
      <c r="CO210" s="322">
        <f t="shared" si="1487"/>
        <v>0</v>
      </c>
    </row>
    <row r="211" spans="1:93" x14ac:dyDescent="0.25">
      <c r="A211" s="392" t="str">
        <f>Language!$G212</f>
        <v>Outros</v>
      </c>
      <c r="B211" s="345">
        <v>0</v>
      </c>
      <c r="C211" s="345">
        <v>0</v>
      </c>
      <c r="D211" s="345">
        <v>0</v>
      </c>
      <c r="E211" s="346">
        <v>0</v>
      </c>
      <c r="F211" s="345">
        <v>0</v>
      </c>
      <c r="G211" s="345">
        <v>0</v>
      </c>
      <c r="H211" s="345">
        <v>0</v>
      </c>
      <c r="I211" s="346">
        <v>0</v>
      </c>
      <c r="J211" s="345">
        <v>0</v>
      </c>
      <c r="K211" s="345">
        <v>0</v>
      </c>
      <c r="L211" s="345">
        <v>0</v>
      </c>
      <c r="M211" s="346">
        <v>0</v>
      </c>
      <c r="N211" s="345">
        <v>0</v>
      </c>
      <c r="O211" s="345">
        <v>0</v>
      </c>
      <c r="P211" s="345">
        <v>0</v>
      </c>
      <c r="Q211" s="346">
        <v>0</v>
      </c>
      <c r="R211" s="345">
        <v>0</v>
      </c>
      <c r="S211" s="345">
        <v>0</v>
      </c>
      <c r="T211" s="345">
        <v>0</v>
      </c>
      <c r="U211" s="345">
        <v>0</v>
      </c>
      <c r="V211" s="345">
        <v>0</v>
      </c>
      <c r="W211" s="345">
        <v>0</v>
      </c>
      <c r="X211" s="346">
        <v>0</v>
      </c>
      <c r="Y211" s="345">
        <v>0</v>
      </c>
      <c r="Z211" s="322">
        <f>AC211-Y211</f>
        <v>0</v>
      </c>
      <c r="AA211" s="345">
        <f t="shared" si="1462"/>
        <v>0</v>
      </c>
      <c r="AB211" s="345">
        <f t="shared" si="1365"/>
        <v>0</v>
      </c>
      <c r="AC211" s="345">
        <v>0</v>
      </c>
      <c r="AD211" s="345">
        <v>0</v>
      </c>
      <c r="AE211" s="346">
        <v>0</v>
      </c>
      <c r="AF211" s="345">
        <v>0</v>
      </c>
      <c r="AG211" s="322">
        <f>AJ211-AF211</f>
        <v>0</v>
      </c>
      <c r="AH211" s="345">
        <f t="shared" si="1463"/>
        <v>0</v>
      </c>
      <c r="AI211" s="345">
        <f t="shared" si="1464"/>
        <v>0</v>
      </c>
      <c r="AJ211" s="322">
        <v>0</v>
      </c>
      <c r="AK211" s="322">
        <v>0</v>
      </c>
      <c r="AL211" s="346">
        <v>0</v>
      </c>
      <c r="AM211" s="345">
        <v>0</v>
      </c>
      <c r="AN211" s="322">
        <f t="shared" si="1270"/>
        <v>0</v>
      </c>
      <c r="AO211" s="322">
        <f t="shared" si="1446"/>
        <v>0</v>
      </c>
      <c r="AP211" s="322">
        <f t="shared" si="1446"/>
        <v>0</v>
      </c>
      <c r="AQ211" s="322">
        <v>0</v>
      </c>
      <c r="AR211" s="322"/>
      <c r="AS211" s="346"/>
      <c r="AT211" s="345"/>
      <c r="AU211" s="345"/>
      <c r="AV211" s="345"/>
      <c r="AW211" s="345"/>
      <c r="AX211" s="345"/>
      <c r="AY211" s="345"/>
      <c r="AZ211" s="345"/>
      <c r="BA211" s="345"/>
      <c r="BB211" s="345"/>
      <c r="BC211" s="345"/>
      <c r="BD211" s="345"/>
      <c r="BE211" s="345"/>
      <c r="BF211" s="345"/>
      <c r="BG211" s="345"/>
      <c r="BH211" s="345"/>
      <c r="BI211" s="345"/>
      <c r="BJ211" s="345"/>
      <c r="BK211" s="345"/>
      <c r="BL211" s="345"/>
      <c r="BM211" s="345"/>
      <c r="BN211" s="345"/>
      <c r="BO211" s="345"/>
      <c r="BP211" s="345"/>
      <c r="BQ211" s="322">
        <f t="shared" si="1472"/>
        <v>-11</v>
      </c>
      <c r="BR211" s="322">
        <f t="shared" si="1473"/>
        <v>10</v>
      </c>
      <c r="BS211" s="322">
        <f t="shared" si="1480"/>
        <v>11</v>
      </c>
      <c r="BT211" s="322">
        <f t="shared" si="1480"/>
        <v>0</v>
      </c>
      <c r="BU211" s="322">
        <f>BU141</f>
        <v>10</v>
      </c>
      <c r="BV211" s="322">
        <f t="shared" ref="BV211" si="1488">BV141</f>
        <v>0</v>
      </c>
      <c r="BW211" s="322">
        <f t="shared" ref="BW211:BZ211" si="1489">BW141</f>
        <v>0</v>
      </c>
      <c r="BX211" s="322">
        <f t="shared" si="1489"/>
        <v>0</v>
      </c>
      <c r="BY211" s="322">
        <f t="shared" si="1489"/>
        <v>0</v>
      </c>
      <c r="BZ211" s="322">
        <f t="shared" si="1489"/>
        <v>0</v>
      </c>
      <c r="CA211" s="322">
        <f t="shared" ref="CA211:CB211" si="1490">CA141</f>
        <v>0</v>
      </c>
      <c r="CB211" s="322">
        <f t="shared" si="1490"/>
        <v>0</v>
      </c>
      <c r="CC211" s="322">
        <f t="shared" ref="CC211:CD211" si="1491">CC141</f>
        <v>0</v>
      </c>
      <c r="CD211" s="322">
        <f t="shared" si="1491"/>
        <v>0</v>
      </c>
      <c r="CE211" s="322">
        <f t="shared" ref="CE211:CG211" si="1492">CE141</f>
        <v>0</v>
      </c>
      <c r="CF211" s="322">
        <f t="shared" si="1492"/>
        <v>0</v>
      </c>
      <c r="CG211" s="322">
        <f t="shared" si="1492"/>
        <v>0</v>
      </c>
      <c r="CH211" s="322">
        <f t="shared" ref="CH211:CI211" si="1493">CH141</f>
        <v>0</v>
      </c>
      <c r="CI211" s="322">
        <f t="shared" si="1493"/>
        <v>0</v>
      </c>
      <c r="CJ211" s="322">
        <v>0</v>
      </c>
      <c r="CK211" s="322">
        <f t="shared" ref="CK211:CO211" si="1494">CK141</f>
        <v>0</v>
      </c>
      <c r="CL211" s="322">
        <f t="shared" si="1494"/>
        <v>0</v>
      </c>
      <c r="CM211" s="322">
        <f t="shared" si="1494"/>
        <v>0</v>
      </c>
      <c r="CN211" s="322">
        <f t="shared" si="1494"/>
        <v>0</v>
      </c>
      <c r="CO211" s="322">
        <f t="shared" si="1494"/>
        <v>0</v>
      </c>
    </row>
    <row r="212" spans="1:93" ht="13" x14ac:dyDescent="0.3">
      <c r="A212" s="366" t="str">
        <f>Language!$G213</f>
        <v>Dívida Líquida</v>
      </c>
      <c r="B212" s="366">
        <f t="shared" ref="B212" si="1495">SUM(B213,B214,B215,B216)</f>
        <v>458240</v>
      </c>
      <c r="C212" s="366">
        <f t="shared" ref="C212" si="1496">SUM(C213,C214,C215,C216)</f>
        <v>500722</v>
      </c>
      <c r="D212" s="366">
        <f t="shared" ref="D212" si="1497">SUM(D213,D214,D215,D216)</f>
        <v>313672</v>
      </c>
      <c r="E212" s="367">
        <f t="shared" ref="E212" si="1498">SUM(E213,E214,E215,E216)</f>
        <v>375673</v>
      </c>
      <c r="F212" s="366">
        <f t="shared" ref="F212" si="1499">SUM(F213,F214,F215,F216)</f>
        <v>458239</v>
      </c>
      <c r="G212" s="366">
        <f t="shared" ref="G212" si="1500">SUM(G213,G214,G215,G216)</f>
        <v>500721</v>
      </c>
      <c r="H212" s="366">
        <f t="shared" ref="H212" si="1501">SUM(H213,H214,H215,H216)</f>
        <v>615726</v>
      </c>
      <c r="I212" s="367">
        <f t="shared" ref="I212" si="1502">SUM(I213,I214,I215,I216)</f>
        <v>656630</v>
      </c>
      <c r="J212" s="366">
        <f t="shared" ref="J212" si="1503">SUM(J213,J214,J215,J216)</f>
        <v>732727</v>
      </c>
      <c r="K212" s="366">
        <f t="shared" ref="K212" si="1504">SUM(K213,K214,K215,K216)</f>
        <v>741351</v>
      </c>
      <c r="L212" s="366">
        <f t="shared" ref="L212" si="1505">SUM(L213,L214,L215,L216)</f>
        <v>749347</v>
      </c>
      <c r="M212" s="367">
        <f t="shared" ref="M212" si="1506">SUM(M213,M214,M215,M216)</f>
        <v>762750</v>
      </c>
      <c r="N212" s="366">
        <f t="shared" ref="N212" si="1507">SUM(N213,N214,N215,N216)</f>
        <v>765284</v>
      </c>
      <c r="O212" s="366">
        <f t="shared" ref="O212" si="1508">SUM(O213,O214,O215,O216)</f>
        <v>764782</v>
      </c>
      <c r="P212" s="366">
        <f t="shared" ref="P212" si="1509">SUM(P213,P214,P215,P216)</f>
        <v>772133</v>
      </c>
      <c r="Q212" s="367">
        <f t="shared" ref="Q212" si="1510">SUM(Q213,Q214,Q215,Q216)</f>
        <v>744408</v>
      </c>
      <c r="R212" s="366">
        <v>715367</v>
      </c>
      <c r="S212" s="366">
        <v>725270</v>
      </c>
      <c r="T212" s="366">
        <v>743628</v>
      </c>
      <c r="U212" s="366">
        <v>-6480</v>
      </c>
      <c r="V212" s="366">
        <v>725270</v>
      </c>
      <c r="W212" s="366">
        <v>743628</v>
      </c>
      <c r="X212" s="367">
        <v>-6480</v>
      </c>
      <c r="Y212" s="366">
        <f t="shared" ref="Y212:Z212" si="1511">SUM(Y213,Y214,Y215,Y216)</f>
        <v>-8659</v>
      </c>
      <c r="Z212" s="366">
        <f t="shared" si="1511"/>
        <v>-9763</v>
      </c>
      <c r="AA212" s="366">
        <f>SUM(AA213,AA214,AA215,AA216)</f>
        <v>-10453</v>
      </c>
      <c r="AB212" s="366">
        <f>AE212</f>
        <v>-11310</v>
      </c>
      <c r="AC212" s="366">
        <f>SUM(AC213,AC214,AC215,AC216)</f>
        <v>-9763</v>
      </c>
      <c r="AD212" s="366">
        <f>SUM(AD213,AD214,AD215,AD216)</f>
        <v>-10453</v>
      </c>
      <c r="AE212" s="367">
        <f>SUM(AE213,AE214,AE215,AE216)</f>
        <v>-11310</v>
      </c>
      <c r="AF212" s="366">
        <f>SUM(AF213,AF214,AF215,AF216)</f>
        <v>-12195</v>
      </c>
      <c r="AG212" s="366">
        <f t="shared" ref="AG212:AG220" si="1512">AJ212</f>
        <v>-9375</v>
      </c>
      <c r="AH212" s="366">
        <f t="shared" ref="AH212:AH220" si="1513">AK212</f>
        <v>-10870</v>
      </c>
      <c r="AI212" s="366">
        <f t="shared" ref="AI212:AI220" si="1514">AL212</f>
        <v>-9256</v>
      </c>
      <c r="AJ212" s="366">
        <f>SUM(AJ213,AJ214,AJ215,AJ216)</f>
        <v>-9375</v>
      </c>
      <c r="AK212" s="366">
        <f>SUM(AK213,AK214,AK215,AK216)</f>
        <v>-10870</v>
      </c>
      <c r="AL212" s="367">
        <f>SUM(AL213,AL214,AL215,AL216)</f>
        <v>-9256</v>
      </c>
      <c r="AM212" s="366">
        <f>SUM(AM213,AM214,AM215,AM216)</f>
        <v>-10734</v>
      </c>
      <c r="AN212" s="366">
        <f>AQ212</f>
        <v>-11807</v>
      </c>
      <c r="AO212" s="366">
        <f>AR212</f>
        <v>-17222</v>
      </c>
      <c r="AP212" s="366">
        <f>AS212</f>
        <v>-24568</v>
      </c>
      <c r="AQ212" s="366">
        <f t="shared" ref="AQ212:BA212" si="1515">SUM(AQ213,AQ214,AQ215,AQ216)</f>
        <v>-11807</v>
      </c>
      <c r="AR212" s="366">
        <f t="shared" si="1515"/>
        <v>-17222</v>
      </c>
      <c r="AS212" s="367">
        <f t="shared" si="1515"/>
        <v>-24568</v>
      </c>
      <c r="AT212" s="366">
        <f t="shared" si="1515"/>
        <v>-19106</v>
      </c>
      <c r="AU212" s="366">
        <f t="shared" si="1515"/>
        <v>-20197</v>
      </c>
      <c r="AV212" s="366">
        <f t="shared" si="1515"/>
        <v>-20993</v>
      </c>
      <c r="AW212" s="366">
        <f t="shared" si="1515"/>
        <v>-12130</v>
      </c>
      <c r="AX212" s="366">
        <f t="shared" si="1515"/>
        <v>-20197</v>
      </c>
      <c r="AY212" s="366">
        <f t="shared" si="1515"/>
        <v>-20993</v>
      </c>
      <c r="AZ212" s="366">
        <f t="shared" si="1515"/>
        <v>-12130</v>
      </c>
      <c r="BA212" s="366">
        <f t="shared" si="1515"/>
        <v>-17526</v>
      </c>
      <c r="BB212" s="366">
        <f t="shared" ref="BB212:BD212" si="1516">SUM(BB213,BB214,BB215,BB216)</f>
        <v>-18654</v>
      </c>
      <c r="BC212" s="366">
        <f t="shared" si="1516"/>
        <v>-15322</v>
      </c>
      <c r="BD212" s="366">
        <f t="shared" si="1516"/>
        <v>-12703</v>
      </c>
      <c r="BE212" s="366">
        <f>SUM(BE213,BE214,BE215,BE216)</f>
        <v>-18654</v>
      </c>
      <c r="BF212" s="366">
        <f>SUM(BF213,BF214,BF215,BF216)</f>
        <v>-13046</v>
      </c>
      <c r="BG212" s="366">
        <f>SUM(BG213,BG214,BG215,BG216)</f>
        <v>-12703</v>
      </c>
      <c r="BH212" s="366">
        <f>SUM(BH213,BH214,BH215,BH216)</f>
        <v>-13185</v>
      </c>
      <c r="BI212" s="366">
        <f t="shared" ref="BI212:BL212" si="1517">SUM(BI213,BI214,BI215,BI216)</f>
        <v>-7391</v>
      </c>
      <c r="BJ212" s="366">
        <f t="shared" si="1517"/>
        <v>-12321</v>
      </c>
      <c r="BK212" s="366">
        <f t="shared" si="1517"/>
        <v>-10240</v>
      </c>
      <c r="BL212" s="366">
        <f t="shared" si="1517"/>
        <v>-7391</v>
      </c>
      <c r="BM212" s="366">
        <f t="shared" ref="BM212:BN212" si="1518">SUM(BM213,BM214,BM215,BM216)</f>
        <v>-12321</v>
      </c>
      <c r="BN212" s="366">
        <f t="shared" si="1518"/>
        <v>-10240</v>
      </c>
      <c r="BO212" s="366">
        <f t="shared" ref="BO212:BS212" si="1519">SUM(BO213,BO214,BO215,BO216)</f>
        <v>-16011</v>
      </c>
      <c r="BP212" s="366">
        <f t="shared" si="1519"/>
        <v>-20732</v>
      </c>
      <c r="BQ212" s="366">
        <f t="shared" si="1519"/>
        <v>-26417</v>
      </c>
      <c r="BR212" s="366">
        <f t="shared" si="1519"/>
        <v>-19254</v>
      </c>
      <c r="BS212" s="366">
        <f t="shared" si="1519"/>
        <v>-20732</v>
      </c>
      <c r="BT212" s="366">
        <f t="shared" ref="BT212:BU212" si="1520">SUM(BT213,BT214,BT215,BT216)</f>
        <v>-26417</v>
      </c>
      <c r="BU212" s="366">
        <f t="shared" si="1520"/>
        <v>-19254</v>
      </c>
      <c r="BV212" s="366">
        <f t="shared" ref="BV212:BZ212" si="1521">SUM(BV213,BV214,BV215,BV216)</f>
        <v>-21056</v>
      </c>
      <c r="BW212" s="366">
        <f t="shared" si="1521"/>
        <v>-21170</v>
      </c>
      <c r="BX212" s="366">
        <f t="shared" si="1521"/>
        <v>-21898</v>
      </c>
      <c r="BY212" s="366">
        <f t="shared" si="1521"/>
        <v>7124</v>
      </c>
      <c r="BZ212" s="366">
        <f t="shared" si="1521"/>
        <v>-21170</v>
      </c>
      <c r="CA212" s="366">
        <f t="shared" ref="CA212:CB212" si="1522">SUM(CA213,CA214,CA215,CA216)</f>
        <v>-21898</v>
      </c>
      <c r="CB212" s="366">
        <f t="shared" si="1522"/>
        <v>-14774</v>
      </c>
      <c r="CC212" s="366">
        <f t="shared" ref="CC212:CD212" si="1523">SUM(CC213,CC214,CC215,CC216)</f>
        <v>-22777</v>
      </c>
      <c r="CD212" s="366">
        <f t="shared" si="1523"/>
        <v>-29344</v>
      </c>
      <c r="CE212" s="366">
        <f t="shared" ref="CE212:CG212" si="1524">SUM(CE213,CE214,CE215,CE216)</f>
        <v>-32298</v>
      </c>
      <c r="CF212" s="366">
        <f t="shared" si="1524"/>
        <v>-17240</v>
      </c>
      <c r="CG212" s="366">
        <f t="shared" si="1524"/>
        <v>-29344</v>
      </c>
      <c r="CH212" s="366">
        <f t="shared" ref="CH212:CI212" si="1525">SUM(CH213,CH214,CH215,CH216)</f>
        <v>-32298</v>
      </c>
      <c r="CI212" s="366">
        <f t="shared" si="1525"/>
        <v>-17240</v>
      </c>
      <c r="CJ212" s="366">
        <v>-23007</v>
      </c>
      <c r="CK212" s="366">
        <f t="shared" ref="CK212:CO212" si="1526">SUM(CK213,CK214,CK215,CK216)</f>
        <v>-17327</v>
      </c>
      <c r="CL212" s="366">
        <f t="shared" si="1526"/>
        <v>0</v>
      </c>
      <c r="CM212" s="366">
        <f t="shared" si="1526"/>
        <v>0</v>
      </c>
      <c r="CN212" s="366">
        <f t="shared" si="1526"/>
        <v>-17327</v>
      </c>
      <c r="CO212" s="366">
        <f t="shared" si="1526"/>
        <v>0</v>
      </c>
    </row>
    <row r="213" spans="1:93" x14ac:dyDescent="0.25">
      <c r="A213" s="340" t="str">
        <f>Language!$G214</f>
        <v>Rio Verde</v>
      </c>
      <c r="B213" s="322">
        <v>294436</v>
      </c>
      <c r="C213" s="322">
        <v>296372</v>
      </c>
      <c r="D213" s="322">
        <v>316286</v>
      </c>
      <c r="E213" s="321">
        <v>308442</v>
      </c>
      <c r="F213" s="322">
        <v>294436</v>
      </c>
      <c r="G213" s="322">
        <v>296372</v>
      </c>
      <c r="H213" s="322">
        <v>282940</v>
      </c>
      <c r="I213" s="321">
        <v>286662</v>
      </c>
      <c r="J213" s="322">
        <v>282362</v>
      </c>
      <c r="K213" s="322">
        <v>273164</v>
      </c>
      <c r="L213" s="322">
        <v>268188</v>
      </c>
      <c r="M213" s="321">
        <v>265135</v>
      </c>
      <c r="N213" s="322">
        <v>257270</v>
      </c>
      <c r="O213" s="322">
        <v>251455</v>
      </c>
      <c r="P213" s="322">
        <v>243626</v>
      </c>
      <c r="Q213" s="321">
        <v>240879</v>
      </c>
      <c r="R213" s="322">
        <v>233107</v>
      </c>
      <c r="S213" s="322">
        <v>229005</v>
      </c>
      <c r="T213" s="322">
        <v>223262</v>
      </c>
      <c r="U213" s="322">
        <v>0</v>
      </c>
      <c r="V213" s="322">
        <v>229005</v>
      </c>
      <c r="W213" s="322">
        <v>223262</v>
      </c>
      <c r="X213" s="321">
        <v>0</v>
      </c>
      <c r="Y213" s="322">
        <v>0</v>
      </c>
      <c r="Z213" s="322">
        <v>0</v>
      </c>
      <c r="AA213" s="322">
        <f>AD213</f>
        <v>0</v>
      </c>
      <c r="AB213" s="322">
        <f>AE213</f>
        <v>0</v>
      </c>
      <c r="AC213" s="322">
        <v>0</v>
      </c>
      <c r="AD213" s="322">
        <v>0</v>
      </c>
      <c r="AE213" s="321">
        <v>0</v>
      </c>
      <c r="AF213" s="322">
        <v>0</v>
      </c>
      <c r="AG213" s="322">
        <f t="shared" si="1512"/>
        <v>0</v>
      </c>
      <c r="AH213" s="322">
        <f t="shared" si="1513"/>
        <v>0</v>
      </c>
      <c r="AI213" s="322">
        <f t="shared" si="1514"/>
        <v>0</v>
      </c>
      <c r="AJ213" s="322">
        <v>0</v>
      </c>
      <c r="AK213" s="322">
        <v>0</v>
      </c>
      <c r="AL213" s="321">
        <v>0</v>
      </c>
      <c r="AM213" s="322">
        <v>0</v>
      </c>
      <c r="AN213" s="322">
        <f t="shared" ref="AN213:AN220" si="1527">AQ213</f>
        <v>0</v>
      </c>
      <c r="AO213" s="322">
        <f t="shared" ref="AO213:AP220" si="1528">AR213</f>
        <v>0</v>
      </c>
      <c r="AP213" s="322">
        <f t="shared" si="1528"/>
        <v>0</v>
      </c>
      <c r="AQ213" s="322">
        <v>0</v>
      </c>
      <c r="AR213" s="322"/>
      <c r="AS213" s="321"/>
      <c r="AT213" s="322"/>
      <c r="AU213" s="322"/>
      <c r="AV213" s="322"/>
      <c r="AW213" s="322"/>
      <c r="AX213" s="322"/>
      <c r="AY213" s="322"/>
      <c r="AZ213" s="322"/>
      <c r="BA213" s="322"/>
      <c r="BB213" s="322"/>
      <c r="BC213" s="322"/>
      <c r="BD213" s="322"/>
      <c r="BE213" s="322"/>
      <c r="BF213" s="322"/>
      <c r="BG213" s="322"/>
      <c r="BH213" s="322"/>
      <c r="BI213" s="322"/>
      <c r="BJ213" s="322"/>
      <c r="BK213" s="322"/>
      <c r="BL213" s="322"/>
      <c r="BM213" s="322"/>
      <c r="BN213" s="322"/>
      <c r="BO213" s="322"/>
      <c r="BP213" s="322"/>
      <c r="BQ213" s="322"/>
      <c r="BR213" s="322"/>
      <c r="BS213" s="322"/>
      <c r="BT213" s="322"/>
      <c r="BU213" s="322"/>
      <c r="BV213" s="322"/>
      <c r="BW213" s="322"/>
      <c r="BX213" s="322"/>
      <c r="BY213" s="322"/>
      <c r="BZ213" s="322"/>
      <c r="CA213" s="322"/>
      <c r="CB213" s="322"/>
      <c r="CC213" s="322"/>
      <c r="CD213" s="322"/>
      <c r="CE213" s="322"/>
      <c r="CF213" s="322"/>
      <c r="CG213" s="322"/>
      <c r="CH213" s="322"/>
      <c r="CI213" s="322"/>
      <c r="CJ213" s="322"/>
      <c r="CK213" s="322"/>
      <c r="CL213" s="322"/>
      <c r="CM213" s="322"/>
      <c r="CN213" s="322"/>
      <c r="CO213" s="322"/>
    </row>
    <row r="214" spans="1:93" x14ac:dyDescent="0.25">
      <c r="A214" s="340" t="str">
        <f>Language!$G215</f>
        <v>Rio Canoas</v>
      </c>
      <c r="B214" s="322">
        <v>163804</v>
      </c>
      <c r="C214" s="322">
        <v>204350</v>
      </c>
      <c r="D214" s="322">
        <v>-2613</v>
      </c>
      <c r="E214" s="321">
        <v>67231</v>
      </c>
      <c r="F214" s="322">
        <v>163804</v>
      </c>
      <c r="G214" s="322">
        <v>204350</v>
      </c>
      <c r="H214" s="322">
        <v>332787</v>
      </c>
      <c r="I214" s="321">
        <v>370816</v>
      </c>
      <c r="J214" s="322">
        <v>452134</v>
      </c>
      <c r="K214" s="322">
        <v>468206</v>
      </c>
      <c r="L214" s="322">
        <v>481203</v>
      </c>
      <c r="M214" s="321">
        <v>497672</v>
      </c>
      <c r="N214" s="322">
        <v>508653</v>
      </c>
      <c r="O214" s="322">
        <v>520636</v>
      </c>
      <c r="P214" s="322">
        <v>529927</v>
      </c>
      <c r="Q214" s="321">
        <v>508035</v>
      </c>
      <c r="R214" s="322">
        <v>503829</v>
      </c>
      <c r="S214" s="322">
        <v>506816</v>
      </c>
      <c r="T214" s="322">
        <v>491510</v>
      </c>
      <c r="U214" s="322">
        <v>0</v>
      </c>
      <c r="V214" s="322">
        <v>506816</v>
      </c>
      <c r="W214" s="322">
        <v>491510</v>
      </c>
      <c r="X214" s="321">
        <v>0</v>
      </c>
      <c r="Y214" s="322">
        <v>0</v>
      </c>
      <c r="Z214" s="322">
        <v>0</v>
      </c>
      <c r="AA214" s="322">
        <f>AD214</f>
        <v>0</v>
      </c>
      <c r="AB214" s="322">
        <f t="shared" ref="AB214:AB220" si="1529">AE214</f>
        <v>0</v>
      </c>
      <c r="AC214" s="322">
        <v>0</v>
      </c>
      <c r="AD214" s="322">
        <v>0</v>
      </c>
      <c r="AE214" s="321">
        <v>0</v>
      </c>
      <c r="AF214" s="322">
        <v>0</v>
      </c>
      <c r="AG214" s="322">
        <f t="shared" si="1512"/>
        <v>0</v>
      </c>
      <c r="AH214" s="322">
        <f t="shared" si="1513"/>
        <v>0</v>
      </c>
      <c r="AI214" s="322">
        <f t="shared" si="1514"/>
        <v>0</v>
      </c>
      <c r="AJ214" s="322">
        <v>0</v>
      </c>
      <c r="AK214" s="322">
        <v>0</v>
      </c>
      <c r="AL214" s="321">
        <v>0</v>
      </c>
      <c r="AM214" s="322">
        <v>0</v>
      </c>
      <c r="AN214" s="322">
        <f t="shared" si="1527"/>
        <v>0</v>
      </c>
      <c r="AO214" s="322">
        <f t="shared" si="1528"/>
        <v>0</v>
      </c>
      <c r="AP214" s="322">
        <f t="shared" si="1528"/>
        <v>0</v>
      </c>
      <c r="AQ214" s="322">
        <v>0</v>
      </c>
      <c r="AR214" s="322"/>
      <c r="AS214" s="321"/>
      <c r="AT214" s="322"/>
      <c r="AU214" s="322"/>
      <c r="AV214" s="322"/>
      <c r="AW214" s="322"/>
      <c r="AX214" s="322"/>
      <c r="AY214" s="322"/>
      <c r="AZ214" s="322"/>
      <c r="BA214" s="322"/>
      <c r="BB214" s="322"/>
      <c r="BC214" s="322"/>
      <c r="BD214" s="322"/>
      <c r="BE214" s="322"/>
      <c r="BF214" s="322"/>
      <c r="BG214" s="322"/>
      <c r="BH214" s="322"/>
      <c r="BI214" s="322"/>
      <c r="BJ214" s="322"/>
      <c r="BK214" s="322"/>
      <c r="BL214" s="322"/>
      <c r="BM214" s="322"/>
      <c r="BN214" s="322"/>
      <c r="BO214" s="322"/>
      <c r="BP214" s="322"/>
      <c r="BQ214" s="322"/>
      <c r="BR214" s="322"/>
      <c r="BS214" s="322"/>
      <c r="BT214" s="322"/>
      <c r="BU214" s="322"/>
      <c r="BV214" s="322"/>
      <c r="BW214" s="322"/>
      <c r="BX214" s="322"/>
      <c r="BY214" s="322"/>
      <c r="BZ214" s="322"/>
      <c r="CA214" s="322"/>
      <c r="CB214" s="322"/>
      <c r="CC214" s="322"/>
      <c r="CD214" s="322"/>
      <c r="CE214" s="322"/>
      <c r="CF214" s="322"/>
      <c r="CG214" s="322"/>
      <c r="CH214" s="322"/>
      <c r="CI214" s="322"/>
      <c r="CJ214" s="322"/>
      <c r="CK214" s="322"/>
      <c r="CL214" s="322"/>
      <c r="CM214" s="322"/>
      <c r="CN214" s="322"/>
      <c r="CO214" s="322"/>
    </row>
    <row r="215" spans="1:93" x14ac:dyDescent="0.25">
      <c r="A215" s="340" t="str">
        <f>Language!$G216</f>
        <v>Tijoá</v>
      </c>
      <c r="B215" s="322">
        <v>0</v>
      </c>
      <c r="C215" s="322">
        <v>0</v>
      </c>
      <c r="D215" s="322">
        <v>0</v>
      </c>
      <c r="E215" s="321">
        <v>0</v>
      </c>
      <c r="F215" s="322">
        <v>0</v>
      </c>
      <c r="G215" s="322">
        <v>0</v>
      </c>
      <c r="H215" s="322">
        <v>0</v>
      </c>
      <c r="I215" s="321">
        <v>0</v>
      </c>
      <c r="J215" s="322">
        <v>0</v>
      </c>
      <c r="K215" s="322">
        <v>0</v>
      </c>
      <c r="L215" s="322">
        <v>0</v>
      </c>
      <c r="M215" s="321">
        <v>0</v>
      </c>
      <c r="N215" s="322">
        <v>0</v>
      </c>
      <c r="O215" s="322">
        <v>0</v>
      </c>
      <c r="P215" s="322">
        <v>0</v>
      </c>
      <c r="Q215" s="321">
        <v>0</v>
      </c>
      <c r="R215" s="322">
        <v>-9459</v>
      </c>
      <c r="S215" s="322">
        <v>-6857</v>
      </c>
      <c r="T215" s="322">
        <v>-13294</v>
      </c>
      <c r="U215" s="322">
        <v>-6480</v>
      </c>
      <c r="V215" s="322">
        <v>-6857</v>
      </c>
      <c r="W215" s="322">
        <v>-13294</v>
      </c>
      <c r="X215" s="321">
        <v>-6480</v>
      </c>
      <c r="Y215" s="322">
        <v>-8659</v>
      </c>
      <c r="Z215" s="322">
        <f>AC215</f>
        <v>-9763</v>
      </c>
      <c r="AA215" s="322">
        <f>AD215</f>
        <v>-10453</v>
      </c>
      <c r="AB215" s="322">
        <f t="shared" si="1529"/>
        <v>-11310</v>
      </c>
      <c r="AC215" s="322">
        <v>-9763</v>
      </c>
      <c r="AD215" s="322">
        <v>-10453</v>
      </c>
      <c r="AE215" s="321">
        <v>-11310</v>
      </c>
      <c r="AF215" s="322">
        <v>-12195</v>
      </c>
      <c r="AG215" s="322">
        <f t="shared" si="1512"/>
        <v>-9375</v>
      </c>
      <c r="AH215" s="322">
        <f t="shared" si="1513"/>
        <v>-10870</v>
      </c>
      <c r="AI215" s="322">
        <f t="shared" si="1514"/>
        <v>-7004</v>
      </c>
      <c r="AJ215" s="322">
        <v>-9375</v>
      </c>
      <c r="AK215" s="322">
        <v>-10870</v>
      </c>
      <c r="AL215" s="321">
        <v>-7004</v>
      </c>
      <c r="AM215" s="322">
        <v>-7928</v>
      </c>
      <c r="AN215" s="322">
        <f t="shared" si="1527"/>
        <v>-8921</v>
      </c>
      <c r="AO215" s="322">
        <f t="shared" si="1528"/>
        <v>-13970</v>
      </c>
      <c r="AP215" s="322">
        <f t="shared" si="1528"/>
        <v>-21236</v>
      </c>
      <c r="AQ215" s="322">
        <v>-8921</v>
      </c>
      <c r="AR215" s="322">
        <v>-13970</v>
      </c>
      <c r="AS215" s="321">
        <v>-21236</v>
      </c>
      <c r="AT215" s="322">
        <v>-16172</v>
      </c>
      <c r="AU215" s="322">
        <f t="shared" ref="AU215:AW216" si="1530">AX215</f>
        <v>-16468</v>
      </c>
      <c r="AV215" s="322">
        <f t="shared" si="1530"/>
        <v>-17163</v>
      </c>
      <c r="AW215" s="322">
        <f t="shared" si="1530"/>
        <v>-7526</v>
      </c>
      <c r="AX215" s="322">
        <v>-16468</v>
      </c>
      <c r="AY215" s="322">
        <v>-17163</v>
      </c>
      <c r="AZ215" s="383">
        <f>Consolidated!AZ187</f>
        <v>-7526</v>
      </c>
      <c r="BA215" s="383">
        <f>Consolidated!BA187</f>
        <v>-14638</v>
      </c>
      <c r="BB215" s="322">
        <f>Consolidated!BB187</f>
        <v>-16302</v>
      </c>
      <c r="BC215" s="322">
        <f>Consolidated!BC187</f>
        <v>-10718</v>
      </c>
      <c r="BD215" s="322">
        <f>BG215</f>
        <v>-10413</v>
      </c>
      <c r="BE215" s="322">
        <f>Consolidated!BE187</f>
        <v>-16302</v>
      </c>
      <c r="BF215" s="322">
        <f>Consolidated!BF187</f>
        <v>-10718</v>
      </c>
      <c r="BG215" s="383">
        <f>Consolidated!BG187</f>
        <v>-10413</v>
      </c>
      <c r="BH215" s="383">
        <f>Consolidated!BH187</f>
        <v>-12625</v>
      </c>
      <c r="BI215" s="383">
        <f>Consolidated!BI187</f>
        <v>-6857</v>
      </c>
      <c r="BJ215" s="383">
        <f>Consolidated!BJ187</f>
        <v>-10669</v>
      </c>
      <c r="BK215" s="383">
        <f>Consolidated!BK187</f>
        <v>-6533</v>
      </c>
      <c r="BL215" s="383">
        <f>Consolidated!BL187</f>
        <v>-6857</v>
      </c>
      <c r="BM215" s="383">
        <f>Consolidated!BM187</f>
        <v>-10669</v>
      </c>
      <c r="BN215" s="383">
        <f>Consolidated!BN187</f>
        <v>-6533</v>
      </c>
      <c r="BO215" s="383">
        <f>Consolidated!BO187</f>
        <v>-15965</v>
      </c>
      <c r="BP215" s="383">
        <f>Consolidated!BP187</f>
        <v>-17397</v>
      </c>
      <c r="BQ215" s="383">
        <f>Consolidated!BQ187</f>
        <v>-17928</v>
      </c>
      <c r="BR215" s="383">
        <f>Consolidated!BR187</f>
        <v>-5897</v>
      </c>
      <c r="BS215" s="383">
        <f>Consolidated!BS187</f>
        <v>-17397</v>
      </c>
      <c r="BT215" s="383">
        <f>Consolidated!BT187</f>
        <v>-17928</v>
      </c>
      <c r="BU215" s="383">
        <f>Consolidated!BU187</f>
        <v>-5897</v>
      </c>
      <c r="BV215" s="383">
        <f>Consolidated!BV187</f>
        <v>-17150</v>
      </c>
      <c r="BW215" s="383">
        <f>Consolidated!BW187</f>
        <v>-8794</v>
      </c>
      <c r="BX215" s="383">
        <f>Consolidated!BX187</f>
        <v>-10979</v>
      </c>
      <c r="BY215" s="383">
        <f>CB215-CA215</f>
        <v>3406</v>
      </c>
      <c r="BZ215" s="383">
        <f>Consolidated!BZ187</f>
        <v>-8794</v>
      </c>
      <c r="CA215" s="383">
        <f>Consolidated!CA187</f>
        <v>-10979</v>
      </c>
      <c r="CB215" s="383">
        <f>Consolidated!CB187</f>
        <v>-7573</v>
      </c>
      <c r="CC215" s="383">
        <f>Consolidated!CC187</f>
        <v>-15232</v>
      </c>
      <c r="CD215" s="383">
        <f>Consolidated!CD187</f>
        <v>-5919</v>
      </c>
      <c r="CE215" s="383">
        <f>Consolidated!CE187</f>
        <v>-10067</v>
      </c>
      <c r="CF215" s="383">
        <f>Consolidated!CF187</f>
        <v>-10542</v>
      </c>
      <c r="CG215" s="383">
        <f>Consolidated!CG187</f>
        <v>-5919</v>
      </c>
      <c r="CH215" s="383">
        <f>Consolidated!CH187</f>
        <v>-10067</v>
      </c>
      <c r="CI215" s="383">
        <f>Consolidated!CI187</f>
        <v>-10542</v>
      </c>
      <c r="CJ215" s="383">
        <v>-22677</v>
      </c>
      <c r="CK215" s="383">
        <f>Consolidated!CK187</f>
        <v>-17322</v>
      </c>
      <c r="CL215" s="383">
        <f>Consolidated!CL187</f>
        <v>0</v>
      </c>
      <c r="CM215" s="383">
        <f>Consolidated!CM187</f>
        <v>0</v>
      </c>
      <c r="CN215" s="383">
        <f>Consolidated!CN187</f>
        <v>-17322</v>
      </c>
      <c r="CO215" s="383">
        <f>Consolidated!CO187</f>
        <v>0</v>
      </c>
    </row>
    <row r="216" spans="1:93" x14ac:dyDescent="0.25">
      <c r="A216" s="392" t="str">
        <f>Language!$G217</f>
        <v>Outros</v>
      </c>
      <c r="B216" s="345">
        <v>0</v>
      </c>
      <c r="C216" s="345">
        <v>0</v>
      </c>
      <c r="D216" s="345">
        <v>-1</v>
      </c>
      <c r="E216" s="346">
        <v>0</v>
      </c>
      <c r="F216" s="345">
        <v>-1</v>
      </c>
      <c r="G216" s="345">
        <v>-1</v>
      </c>
      <c r="H216" s="345">
        <v>-1</v>
      </c>
      <c r="I216" s="346">
        <v>-848</v>
      </c>
      <c r="J216" s="345">
        <v>-1769</v>
      </c>
      <c r="K216" s="345">
        <v>-19</v>
      </c>
      <c r="L216" s="345">
        <v>-44</v>
      </c>
      <c r="M216" s="346">
        <v>-57</v>
      </c>
      <c r="N216" s="345">
        <v>-639</v>
      </c>
      <c r="O216" s="345">
        <v>-7309</v>
      </c>
      <c r="P216" s="345">
        <v>-1420</v>
      </c>
      <c r="Q216" s="346">
        <v>-4506</v>
      </c>
      <c r="R216" s="345">
        <v>-12110</v>
      </c>
      <c r="S216" s="345">
        <v>-3694</v>
      </c>
      <c r="T216" s="322">
        <v>42150</v>
      </c>
      <c r="U216" s="322">
        <v>0</v>
      </c>
      <c r="V216" s="322">
        <v>-3694</v>
      </c>
      <c r="W216" s="345">
        <v>42150</v>
      </c>
      <c r="X216" s="346">
        <v>0</v>
      </c>
      <c r="Y216" s="345">
        <v>0</v>
      </c>
      <c r="Z216" s="345">
        <v>0</v>
      </c>
      <c r="AA216" s="322">
        <f>AD216</f>
        <v>0</v>
      </c>
      <c r="AB216" s="322">
        <f t="shared" si="1529"/>
        <v>0</v>
      </c>
      <c r="AC216" s="345">
        <v>0</v>
      </c>
      <c r="AD216" s="345">
        <v>0</v>
      </c>
      <c r="AE216" s="346">
        <v>0</v>
      </c>
      <c r="AF216" s="345">
        <v>0</v>
      </c>
      <c r="AG216" s="345">
        <f t="shared" si="1512"/>
        <v>0</v>
      </c>
      <c r="AH216" s="322">
        <f t="shared" si="1513"/>
        <v>0</v>
      </c>
      <c r="AI216" s="322">
        <f t="shared" si="1514"/>
        <v>-2252</v>
      </c>
      <c r="AJ216" s="345">
        <v>0</v>
      </c>
      <c r="AK216" s="345">
        <v>0</v>
      </c>
      <c r="AL216" s="346">
        <v>-2252</v>
      </c>
      <c r="AM216" s="345">
        <v>-2806</v>
      </c>
      <c r="AN216" s="322">
        <f t="shared" si="1527"/>
        <v>-2886</v>
      </c>
      <c r="AO216" s="322">
        <f t="shared" si="1528"/>
        <v>-3252</v>
      </c>
      <c r="AP216" s="322">
        <f t="shared" si="1528"/>
        <v>-3332</v>
      </c>
      <c r="AQ216" s="322">
        <v>-2886</v>
      </c>
      <c r="AR216" s="322">
        <v>-3252</v>
      </c>
      <c r="AS216" s="346">
        <v>-3332</v>
      </c>
      <c r="AT216" s="345">
        <v>-2934</v>
      </c>
      <c r="AU216" s="322">
        <f t="shared" si="1530"/>
        <v>-3729</v>
      </c>
      <c r="AV216" s="322">
        <f t="shared" si="1530"/>
        <v>-3830</v>
      </c>
      <c r="AW216" s="322">
        <f t="shared" si="1530"/>
        <v>-4604</v>
      </c>
      <c r="AX216" s="345">
        <v>-3729</v>
      </c>
      <c r="AY216" s="345">
        <v>-3830</v>
      </c>
      <c r="AZ216" s="345">
        <v>-4604</v>
      </c>
      <c r="BA216" s="345">
        <v>-2888</v>
      </c>
      <c r="BB216" s="345">
        <f>BE216</f>
        <v>-2352</v>
      </c>
      <c r="BC216" s="345">
        <v>-4604</v>
      </c>
      <c r="BD216" s="322">
        <f>BG216</f>
        <v>-2290</v>
      </c>
      <c r="BE216" s="345">
        <v>-2352</v>
      </c>
      <c r="BF216" s="345">
        <v>-2328</v>
      </c>
      <c r="BG216" s="383">
        <f>Consolidated!BG188</f>
        <v>-2290</v>
      </c>
      <c r="BH216" s="383">
        <f>Consolidated!BH188</f>
        <v>-560</v>
      </c>
      <c r="BI216" s="383">
        <f>Consolidated!BI188</f>
        <v>-534</v>
      </c>
      <c r="BJ216" s="383">
        <f>Consolidated!BJ188</f>
        <v>-1652</v>
      </c>
      <c r="BK216" s="383">
        <f>Consolidated!BK188</f>
        <v>-3707</v>
      </c>
      <c r="BL216" s="383">
        <f>Consolidated!BL188</f>
        <v>-534</v>
      </c>
      <c r="BM216" s="383">
        <f>Consolidated!BM188</f>
        <v>-1652</v>
      </c>
      <c r="BN216" s="383">
        <f>Consolidated!BN188</f>
        <v>-3707</v>
      </c>
      <c r="BO216" s="383">
        <f>Consolidated!BO188</f>
        <v>-46</v>
      </c>
      <c r="BP216" s="383">
        <f>Consolidated!BP188</f>
        <v>-3335</v>
      </c>
      <c r="BQ216" s="383">
        <f>Consolidated!BQ188</f>
        <v>-8489</v>
      </c>
      <c r="BR216" s="383">
        <f>Consolidated!BR188</f>
        <v>-13357</v>
      </c>
      <c r="BS216" s="383">
        <f>Consolidated!BS188</f>
        <v>-3335</v>
      </c>
      <c r="BT216" s="383">
        <f>Consolidated!BT188</f>
        <v>-8489</v>
      </c>
      <c r="BU216" s="383">
        <f>Consolidated!BU188</f>
        <v>-13357</v>
      </c>
      <c r="BV216" s="383">
        <f>Consolidated!BV188</f>
        <v>-3906</v>
      </c>
      <c r="BW216" s="383">
        <f>Consolidated!BW188</f>
        <v>-12376</v>
      </c>
      <c r="BX216" s="383">
        <f>Consolidated!BX188</f>
        <v>-10919</v>
      </c>
      <c r="BY216" s="383">
        <f>CB216-CA216</f>
        <v>3718</v>
      </c>
      <c r="BZ216" s="383">
        <f>Consolidated!BZ188</f>
        <v>-12376</v>
      </c>
      <c r="CA216" s="383">
        <f>Consolidated!CA188</f>
        <v>-10919</v>
      </c>
      <c r="CB216" s="383">
        <f>Consolidated!CB188</f>
        <v>-7201</v>
      </c>
      <c r="CC216" s="383">
        <f>Consolidated!CC188</f>
        <v>-7545</v>
      </c>
      <c r="CD216" s="383">
        <f>Consolidated!CD188</f>
        <v>-23425</v>
      </c>
      <c r="CE216" s="383">
        <f>Consolidated!CE188</f>
        <v>-22231</v>
      </c>
      <c r="CF216" s="383">
        <f>Consolidated!CF188</f>
        <v>-6698</v>
      </c>
      <c r="CG216" s="383">
        <f>Consolidated!CG188</f>
        <v>-23425</v>
      </c>
      <c r="CH216" s="383">
        <f>Consolidated!CH188</f>
        <v>-22231</v>
      </c>
      <c r="CI216" s="383">
        <f>Consolidated!CI188</f>
        <v>-6698</v>
      </c>
      <c r="CJ216" s="383">
        <v>-330</v>
      </c>
      <c r="CK216" s="383">
        <f>Consolidated!CK188</f>
        <v>-5</v>
      </c>
      <c r="CL216" s="383">
        <f>Consolidated!CL188</f>
        <v>0</v>
      </c>
      <c r="CM216" s="383">
        <f>Consolidated!CM188</f>
        <v>0</v>
      </c>
      <c r="CN216" s="383">
        <f>Consolidated!CN188</f>
        <v>-5</v>
      </c>
      <c r="CO216" s="383">
        <f>Consolidated!CO188</f>
        <v>0</v>
      </c>
    </row>
    <row r="217" spans="1:93" ht="13" x14ac:dyDescent="0.3">
      <c r="A217" s="366" t="str">
        <f>Language!$G218</f>
        <v>Patrimônio Líquido Ajustado</v>
      </c>
      <c r="B217" s="366">
        <f>SUM(B218,-B219,-B220)</f>
        <v>235238</v>
      </c>
      <c r="C217" s="366">
        <f t="shared" ref="C217:K217" si="1531">SUM(C218,-C219,-C220)</f>
        <v>307590</v>
      </c>
      <c r="D217" s="366">
        <f t="shared" si="1531"/>
        <v>354745</v>
      </c>
      <c r="E217" s="367">
        <f t="shared" si="1531"/>
        <v>354958</v>
      </c>
      <c r="F217" s="366">
        <f t="shared" si="1531"/>
        <v>360332</v>
      </c>
      <c r="G217" s="366">
        <f t="shared" si="1531"/>
        <v>419365</v>
      </c>
      <c r="H217" s="366">
        <f t="shared" si="1531"/>
        <v>511882</v>
      </c>
      <c r="I217" s="367">
        <f t="shared" si="1531"/>
        <v>490110</v>
      </c>
      <c r="J217" s="366">
        <f t="shared" si="1531"/>
        <v>540144</v>
      </c>
      <c r="K217" s="366">
        <f t="shared" si="1531"/>
        <v>636555</v>
      </c>
      <c r="L217" s="366">
        <f t="shared" ref="L217:M217" si="1532">SUM(L218,-L219,-L220)</f>
        <v>729569</v>
      </c>
      <c r="M217" s="367">
        <f t="shared" si="1532"/>
        <v>759334</v>
      </c>
      <c r="N217" s="366">
        <f t="shared" ref="N217:O217" si="1533">SUM(N218,-N219,-N220)</f>
        <v>816279</v>
      </c>
      <c r="O217" s="366">
        <f t="shared" si="1533"/>
        <v>738184</v>
      </c>
      <c r="P217" s="366">
        <f t="shared" ref="P217:Q217" si="1534">SUM(P218,-P219,-P220)</f>
        <v>713094</v>
      </c>
      <c r="Q217" s="367">
        <f t="shared" si="1534"/>
        <v>629858</v>
      </c>
      <c r="R217" s="366">
        <v>583737</v>
      </c>
      <c r="S217" s="366">
        <v>584883</v>
      </c>
      <c r="T217" s="366">
        <v>708717</v>
      </c>
      <c r="U217" s="366">
        <v>20939</v>
      </c>
      <c r="V217" s="366">
        <v>23580</v>
      </c>
      <c r="W217" s="366">
        <v>708717</v>
      </c>
      <c r="X217" s="367">
        <v>20939</v>
      </c>
      <c r="Y217" s="366">
        <f t="shared" ref="Y217:Z217" si="1535">SUM(Y218,-Y219,-Y220)</f>
        <v>23580</v>
      </c>
      <c r="Z217" s="367">
        <f t="shared" si="1535"/>
        <v>6685</v>
      </c>
      <c r="AA217" s="366">
        <f>SUM(AA218,-AA219,-AA220)</f>
        <v>7094</v>
      </c>
      <c r="AB217" s="366">
        <f t="shared" si="1529"/>
        <v>-2465</v>
      </c>
      <c r="AC217" s="366">
        <f>SUM(AC218,-AC219,-AC220)</f>
        <v>6685</v>
      </c>
      <c r="AD217" s="366">
        <f>SUM(AD218,-AD219,-AD220)</f>
        <v>7094</v>
      </c>
      <c r="AE217" s="367">
        <f>SUM(AE218,-AE219,-AE220)</f>
        <v>-2465</v>
      </c>
      <c r="AF217" s="366">
        <f>SUM(AF218,-AF219,-AF220)</f>
        <v>-967</v>
      </c>
      <c r="AG217" s="367">
        <f t="shared" si="1512"/>
        <v>1207</v>
      </c>
      <c r="AH217" s="366">
        <f t="shared" si="1513"/>
        <v>3002</v>
      </c>
      <c r="AI217" s="366">
        <f t="shared" si="1514"/>
        <v>4537</v>
      </c>
      <c r="AJ217" s="367">
        <f>SUM(AJ218,-AJ219,-AJ220)</f>
        <v>1207</v>
      </c>
      <c r="AK217" s="367">
        <f>SUM(AK218,-AK219,-AK220)</f>
        <v>3002</v>
      </c>
      <c r="AL217" s="367">
        <f>SUM(AL218,-AL219,-AL220)</f>
        <v>4537</v>
      </c>
      <c r="AM217" s="366">
        <f>SUM(AM218,-AM219,-AM220)</f>
        <v>6347</v>
      </c>
      <c r="AN217" s="367">
        <f t="shared" si="1527"/>
        <v>7793</v>
      </c>
      <c r="AO217" s="367">
        <f t="shared" si="1528"/>
        <v>15415</v>
      </c>
      <c r="AP217" s="367">
        <f t="shared" si="1528"/>
        <v>17442</v>
      </c>
      <c r="AQ217" s="367">
        <f t="shared" ref="AQ217:BA217" si="1536">SUM(AQ218,-AQ219,-AQ220)</f>
        <v>7793</v>
      </c>
      <c r="AR217" s="366">
        <f t="shared" si="1536"/>
        <v>15415</v>
      </c>
      <c r="AS217" s="367">
        <f t="shared" si="1536"/>
        <v>17442</v>
      </c>
      <c r="AT217" s="366">
        <f t="shared" si="1536"/>
        <v>24600</v>
      </c>
      <c r="AU217" s="366">
        <f t="shared" si="1536"/>
        <v>64113</v>
      </c>
      <c r="AV217" s="366">
        <f t="shared" si="1536"/>
        <v>25851</v>
      </c>
      <c r="AW217" s="366">
        <f t="shared" si="1536"/>
        <v>25261</v>
      </c>
      <c r="AX217" s="366">
        <f t="shared" si="1536"/>
        <v>64113</v>
      </c>
      <c r="AY217" s="366">
        <f t="shared" si="1536"/>
        <v>25851</v>
      </c>
      <c r="AZ217" s="366">
        <f t="shared" si="1536"/>
        <v>25261</v>
      </c>
      <c r="BA217" s="366">
        <f t="shared" si="1536"/>
        <v>32863</v>
      </c>
      <c r="BB217" s="366">
        <f t="shared" ref="BB217:BD217" si="1537">SUM(BB218,-BB219,-BB220)</f>
        <v>33098</v>
      </c>
      <c r="BC217" s="366">
        <f t="shared" si="1537"/>
        <v>29720</v>
      </c>
      <c r="BD217" s="366">
        <f t="shared" si="1537"/>
        <v>31668</v>
      </c>
      <c r="BE217" s="366">
        <f>SUM(BE218,-BE219,-BE220)</f>
        <v>33098</v>
      </c>
      <c r="BF217" s="366">
        <f>SUM(BF218,-BF219,-BF220)</f>
        <v>29720</v>
      </c>
      <c r="BG217" s="366">
        <f>SUM(BG218,-BG219,-BG220)</f>
        <v>31668</v>
      </c>
      <c r="BH217" s="366">
        <f>SUM(BH218,-BH219,-BH220)</f>
        <v>33240</v>
      </c>
      <c r="BI217" s="366">
        <f t="shared" ref="BI217:BL217" si="1538">SUM(BI218,-BI219,-BI220)</f>
        <v>29073</v>
      </c>
      <c r="BJ217" s="366">
        <f t="shared" si="1538"/>
        <v>35239</v>
      </c>
      <c r="BK217" s="366">
        <f t="shared" si="1538"/>
        <v>26472</v>
      </c>
      <c r="BL217" s="366">
        <f t="shared" si="1538"/>
        <v>29073</v>
      </c>
      <c r="BM217" s="366">
        <f t="shared" ref="BM217:BN217" si="1539">SUM(BM218,-BM219,-BM220)</f>
        <v>35239</v>
      </c>
      <c r="BN217" s="366">
        <f t="shared" si="1539"/>
        <v>26539</v>
      </c>
      <c r="BO217" s="366">
        <f t="shared" ref="BO217:BS217" si="1540">SUM(BO218,-BO219,-BO220)</f>
        <v>35990</v>
      </c>
      <c r="BP217" s="366">
        <f t="shared" si="1540"/>
        <v>45383</v>
      </c>
      <c r="BQ217" s="366">
        <f t="shared" si="1540"/>
        <v>30755</v>
      </c>
      <c r="BR217" s="366">
        <f t="shared" si="1540"/>
        <v>30153</v>
      </c>
      <c r="BS217" s="366">
        <f t="shared" si="1540"/>
        <v>45383</v>
      </c>
      <c r="BT217" s="366">
        <f t="shared" ref="BT217:BU217" si="1541">SUM(BT218,-BT219,-BT220)</f>
        <v>30755</v>
      </c>
      <c r="BU217" s="366">
        <f t="shared" si="1541"/>
        <v>30153</v>
      </c>
      <c r="BV217" s="366">
        <f t="shared" ref="BV217:BZ217" si="1542">SUM(BV218,-BV219,-BV220)</f>
        <v>41809</v>
      </c>
      <c r="BW217" s="366">
        <f t="shared" si="1542"/>
        <v>22724</v>
      </c>
      <c r="BX217" s="366">
        <f t="shared" si="1542"/>
        <v>34388</v>
      </c>
      <c r="BY217" s="366">
        <f t="shared" si="1542"/>
        <v>33392</v>
      </c>
      <c r="BZ217" s="366">
        <f t="shared" si="1542"/>
        <v>22724</v>
      </c>
      <c r="CA217" s="366">
        <f t="shared" ref="CA217:CB217" si="1543">SUM(CA218,-CA219,-CA220)</f>
        <v>34388</v>
      </c>
      <c r="CB217" s="366">
        <f t="shared" si="1543"/>
        <v>33392</v>
      </c>
      <c r="CC217" s="366">
        <f t="shared" ref="CC217:CD217" si="1544">SUM(CC218,-CC219,-CC220)</f>
        <v>44098</v>
      </c>
      <c r="CD217" s="366">
        <f t="shared" si="1544"/>
        <v>54951</v>
      </c>
      <c r="CE217" s="366">
        <f t="shared" ref="CE217:CG217" si="1545">SUM(CE218,-CE219,-CE220)</f>
        <v>33096</v>
      </c>
      <c r="CF217" s="366">
        <f t="shared" si="1545"/>
        <v>32948</v>
      </c>
      <c r="CG217" s="366">
        <f t="shared" si="1545"/>
        <v>54951</v>
      </c>
      <c r="CH217" s="366">
        <f t="shared" ref="CH217:CI217" si="1546">SUM(CH218,-CH219,-CH220)</f>
        <v>33096</v>
      </c>
      <c r="CI217" s="366">
        <f t="shared" si="1546"/>
        <v>32948</v>
      </c>
      <c r="CJ217" s="366">
        <v>44588</v>
      </c>
      <c r="CK217" s="366">
        <f t="shared" ref="CK217:CO217" si="1547">SUM(CK218,-CK219,-CK220)</f>
        <v>22842</v>
      </c>
      <c r="CL217" s="366">
        <f t="shared" si="1547"/>
        <v>0</v>
      </c>
      <c r="CM217" s="366">
        <f t="shared" si="1547"/>
        <v>0</v>
      </c>
      <c r="CN217" s="366">
        <f t="shared" si="1547"/>
        <v>22842</v>
      </c>
      <c r="CO217" s="366">
        <f t="shared" si="1547"/>
        <v>0</v>
      </c>
    </row>
    <row r="218" spans="1:93" x14ac:dyDescent="0.25">
      <c r="A218" s="326" t="str">
        <f>Language!$G219</f>
        <v>(+) Patrimônio Líquido</v>
      </c>
      <c r="B218" s="310">
        <f t="shared" ref="B218:Q218" si="1548">B56</f>
        <v>327565</v>
      </c>
      <c r="C218" s="310">
        <f t="shared" si="1548"/>
        <v>399042</v>
      </c>
      <c r="D218" s="310">
        <f t="shared" si="1548"/>
        <v>445321</v>
      </c>
      <c r="E218" s="325">
        <f t="shared" si="1548"/>
        <v>444659</v>
      </c>
      <c r="F218" s="310">
        <f t="shared" si="1548"/>
        <v>449158</v>
      </c>
      <c r="G218" s="310">
        <f t="shared" si="1548"/>
        <v>507316</v>
      </c>
      <c r="H218" s="310">
        <f t="shared" si="1548"/>
        <v>511882</v>
      </c>
      <c r="I218" s="325">
        <f t="shared" si="1548"/>
        <v>576311</v>
      </c>
      <c r="J218" s="310">
        <f t="shared" si="1548"/>
        <v>625470</v>
      </c>
      <c r="K218" s="310">
        <f t="shared" si="1548"/>
        <v>721006</v>
      </c>
      <c r="L218" s="310">
        <f t="shared" si="1548"/>
        <v>813144</v>
      </c>
      <c r="M218" s="325">
        <f t="shared" si="1548"/>
        <v>842035</v>
      </c>
      <c r="N218" s="310">
        <f t="shared" si="1548"/>
        <v>898105</v>
      </c>
      <c r="O218" s="310">
        <f t="shared" si="1548"/>
        <v>819134</v>
      </c>
      <c r="P218" s="310">
        <f t="shared" si="1548"/>
        <v>793169</v>
      </c>
      <c r="Q218" s="325">
        <f t="shared" si="1548"/>
        <v>709059</v>
      </c>
      <c r="R218" s="310">
        <v>662062</v>
      </c>
      <c r="S218" s="310">
        <v>662333</v>
      </c>
      <c r="T218" s="310">
        <v>785292</v>
      </c>
      <c r="U218" s="310">
        <v>20939</v>
      </c>
      <c r="V218" s="310">
        <v>23580</v>
      </c>
      <c r="W218" s="310">
        <v>785292</v>
      </c>
      <c r="X218" s="325">
        <v>20939</v>
      </c>
      <c r="Y218" s="310">
        <f>Y56</f>
        <v>23580</v>
      </c>
      <c r="Z218" s="325">
        <f>Z56</f>
        <v>6685</v>
      </c>
      <c r="AA218" s="310">
        <f>AA56</f>
        <v>7094</v>
      </c>
      <c r="AB218" s="310">
        <f t="shared" si="1529"/>
        <v>-2465</v>
      </c>
      <c r="AC218" s="310">
        <f>AC56</f>
        <v>6685</v>
      </c>
      <c r="AD218" s="310">
        <f>AD56</f>
        <v>7094</v>
      </c>
      <c r="AE218" s="325">
        <f>AE56</f>
        <v>-2465</v>
      </c>
      <c r="AF218" s="310">
        <f>AF56</f>
        <v>-967</v>
      </c>
      <c r="AG218" s="325">
        <f t="shared" si="1512"/>
        <v>1207</v>
      </c>
      <c r="AH218" s="310">
        <f t="shared" si="1513"/>
        <v>3002</v>
      </c>
      <c r="AI218" s="310">
        <f t="shared" si="1514"/>
        <v>4537</v>
      </c>
      <c r="AJ218" s="325">
        <f>AJ56</f>
        <v>1207</v>
      </c>
      <c r="AK218" s="325">
        <f>AK56</f>
        <v>3002</v>
      </c>
      <c r="AL218" s="325">
        <f>AL56</f>
        <v>4537</v>
      </c>
      <c r="AM218" s="310">
        <f>AM56</f>
        <v>6347</v>
      </c>
      <c r="AN218" s="325">
        <f t="shared" si="1527"/>
        <v>7793</v>
      </c>
      <c r="AO218" s="325">
        <f t="shared" si="1528"/>
        <v>15415</v>
      </c>
      <c r="AP218" s="325">
        <f t="shared" si="1528"/>
        <v>17442</v>
      </c>
      <c r="AQ218" s="325">
        <f t="shared" ref="AQ218:BS218" si="1549">AQ56</f>
        <v>7793</v>
      </c>
      <c r="AR218" s="310">
        <f t="shared" si="1549"/>
        <v>15415</v>
      </c>
      <c r="AS218" s="325">
        <f t="shared" si="1549"/>
        <v>17442</v>
      </c>
      <c r="AT218" s="310">
        <f t="shared" si="1549"/>
        <v>24600</v>
      </c>
      <c r="AU218" s="310">
        <f t="shared" si="1549"/>
        <v>64113</v>
      </c>
      <c r="AV218" s="310">
        <f t="shared" si="1549"/>
        <v>25851</v>
      </c>
      <c r="AW218" s="310">
        <f t="shared" si="1549"/>
        <v>25261</v>
      </c>
      <c r="AX218" s="310">
        <f t="shared" si="1549"/>
        <v>64113</v>
      </c>
      <c r="AY218" s="310">
        <f t="shared" si="1549"/>
        <v>25851</v>
      </c>
      <c r="AZ218" s="310">
        <f t="shared" si="1549"/>
        <v>25261</v>
      </c>
      <c r="BA218" s="310">
        <f t="shared" si="1549"/>
        <v>32863</v>
      </c>
      <c r="BB218" s="310">
        <f t="shared" si="1549"/>
        <v>33098</v>
      </c>
      <c r="BC218" s="310">
        <f t="shared" si="1549"/>
        <v>29720</v>
      </c>
      <c r="BD218" s="310">
        <f t="shared" si="1549"/>
        <v>31668</v>
      </c>
      <c r="BE218" s="310">
        <f t="shared" si="1549"/>
        <v>33098</v>
      </c>
      <c r="BF218" s="310">
        <f t="shared" si="1549"/>
        <v>29720</v>
      </c>
      <c r="BG218" s="310">
        <f t="shared" si="1549"/>
        <v>31668</v>
      </c>
      <c r="BH218" s="310">
        <f t="shared" si="1549"/>
        <v>33240</v>
      </c>
      <c r="BI218" s="310">
        <f t="shared" si="1549"/>
        <v>29073</v>
      </c>
      <c r="BJ218" s="310">
        <f t="shared" si="1549"/>
        <v>35239</v>
      </c>
      <c r="BK218" s="310">
        <f t="shared" si="1549"/>
        <v>26472</v>
      </c>
      <c r="BL218" s="310">
        <f t="shared" si="1549"/>
        <v>29073</v>
      </c>
      <c r="BM218" s="310">
        <f t="shared" si="1549"/>
        <v>35239</v>
      </c>
      <c r="BN218" s="310">
        <f t="shared" si="1549"/>
        <v>26539</v>
      </c>
      <c r="BO218" s="310">
        <f t="shared" si="1549"/>
        <v>35990</v>
      </c>
      <c r="BP218" s="310">
        <f t="shared" si="1549"/>
        <v>45383</v>
      </c>
      <c r="BQ218" s="310">
        <f t="shared" si="1549"/>
        <v>30755</v>
      </c>
      <c r="BR218" s="310">
        <f t="shared" si="1549"/>
        <v>30153</v>
      </c>
      <c r="BS218" s="310">
        <f t="shared" si="1549"/>
        <v>45383</v>
      </c>
      <c r="BT218" s="310">
        <f t="shared" ref="BT218:BU218" si="1550">BT56</f>
        <v>30755</v>
      </c>
      <c r="BU218" s="310">
        <f t="shared" si="1550"/>
        <v>30153</v>
      </c>
      <c r="BV218" s="310">
        <f t="shared" ref="BV218:BZ218" si="1551">BV56</f>
        <v>41809</v>
      </c>
      <c r="BW218" s="310">
        <f t="shared" si="1551"/>
        <v>22724</v>
      </c>
      <c r="BX218" s="310">
        <f t="shared" si="1551"/>
        <v>34388</v>
      </c>
      <c r="BY218" s="310">
        <f t="shared" si="1551"/>
        <v>33392</v>
      </c>
      <c r="BZ218" s="310">
        <f t="shared" si="1551"/>
        <v>22724</v>
      </c>
      <c r="CA218" s="310">
        <f t="shared" ref="CA218:CB218" si="1552">CA56</f>
        <v>34388</v>
      </c>
      <c r="CB218" s="310">
        <f t="shared" si="1552"/>
        <v>33392</v>
      </c>
      <c r="CC218" s="310">
        <f t="shared" ref="CC218:CD218" si="1553">CC56</f>
        <v>44098</v>
      </c>
      <c r="CD218" s="310">
        <f t="shared" si="1553"/>
        <v>54951</v>
      </c>
      <c r="CE218" s="310">
        <f>CE56</f>
        <v>33096</v>
      </c>
      <c r="CF218" s="310">
        <f t="shared" ref="CF218:CG218" si="1554">CF56</f>
        <v>32948</v>
      </c>
      <c r="CG218" s="310">
        <f t="shared" si="1554"/>
        <v>54951</v>
      </c>
      <c r="CH218" s="310">
        <f t="shared" ref="CH218:CI218" si="1555">CH56</f>
        <v>33096</v>
      </c>
      <c r="CI218" s="310">
        <f t="shared" si="1555"/>
        <v>32948</v>
      </c>
      <c r="CJ218" s="310">
        <v>44588</v>
      </c>
      <c r="CK218" s="310">
        <f t="shared" ref="CK218:CO218" si="1556">CK56</f>
        <v>22842</v>
      </c>
      <c r="CL218" s="310">
        <f t="shared" si="1556"/>
        <v>0</v>
      </c>
      <c r="CM218" s="310">
        <f t="shared" si="1556"/>
        <v>0</v>
      </c>
      <c r="CN218" s="310">
        <f t="shared" si="1556"/>
        <v>22842</v>
      </c>
      <c r="CO218" s="310">
        <f t="shared" si="1556"/>
        <v>0</v>
      </c>
    </row>
    <row r="219" spans="1:93" x14ac:dyDescent="0.25">
      <c r="A219" s="326" t="str">
        <f>Language!$G220</f>
        <v>(-) Reserva de Reavaliação Líquida</v>
      </c>
      <c r="B219" s="310">
        <f t="shared" ref="B219:Q219" si="1557">B60</f>
        <v>0</v>
      </c>
      <c r="C219" s="310">
        <f t="shared" si="1557"/>
        <v>0</v>
      </c>
      <c r="D219" s="310">
        <f t="shared" si="1557"/>
        <v>0</v>
      </c>
      <c r="E219" s="325">
        <f t="shared" si="1557"/>
        <v>0</v>
      </c>
      <c r="F219" s="310">
        <f t="shared" si="1557"/>
        <v>0</v>
      </c>
      <c r="G219" s="310">
        <f t="shared" si="1557"/>
        <v>0</v>
      </c>
      <c r="H219" s="310">
        <f t="shared" si="1557"/>
        <v>0</v>
      </c>
      <c r="I219" s="325">
        <f t="shared" si="1557"/>
        <v>0</v>
      </c>
      <c r="J219" s="310">
        <f t="shared" si="1557"/>
        <v>0</v>
      </c>
      <c r="K219" s="310">
        <f t="shared" si="1557"/>
        <v>0</v>
      </c>
      <c r="L219" s="310">
        <f t="shared" si="1557"/>
        <v>0</v>
      </c>
      <c r="M219" s="325">
        <f t="shared" si="1557"/>
        <v>0</v>
      </c>
      <c r="N219" s="310">
        <f t="shared" si="1557"/>
        <v>0</v>
      </c>
      <c r="O219" s="310">
        <f t="shared" si="1557"/>
        <v>0</v>
      </c>
      <c r="P219" s="310">
        <f t="shared" si="1557"/>
        <v>0</v>
      </c>
      <c r="Q219" s="325">
        <f t="shared" si="1557"/>
        <v>0</v>
      </c>
      <c r="R219" s="310">
        <v>0</v>
      </c>
      <c r="S219" s="310">
        <v>0</v>
      </c>
      <c r="T219" s="310">
        <v>0</v>
      </c>
      <c r="U219" s="310">
        <v>0</v>
      </c>
      <c r="V219" s="310">
        <v>0</v>
      </c>
      <c r="W219" s="310">
        <v>0</v>
      </c>
      <c r="X219" s="325">
        <v>0</v>
      </c>
      <c r="Y219" s="310">
        <f t="shared" ref="Y219:AA220" si="1558">Y60</f>
        <v>0</v>
      </c>
      <c r="Z219" s="325">
        <f t="shared" si="1558"/>
        <v>0</v>
      </c>
      <c r="AA219" s="310">
        <f t="shared" si="1558"/>
        <v>0</v>
      </c>
      <c r="AB219" s="310">
        <f t="shared" si="1529"/>
        <v>0</v>
      </c>
      <c r="AC219" s="310">
        <f t="shared" ref="AC219:AF220" si="1559">AC60</f>
        <v>0</v>
      </c>
      <c r="AD219" s="310">
        <f t="shared" si="1559"/>
        <v>0</v>
      </c>
      <c r="AE219" s="325">
        <f t="shared" si="1559"/>
        <v>0</v>
      </c>
      <c r="AF219" s="310">
        <f t="shared" si="1559"/>
        <v>0</v>
      </c>
      <c r="AG219" s="325">
        <f t="shared" si="1512"/>
        <v>0</v>
      </c>
      <c r="AH219" s="310">
        <f t="shared" si="1513"/>
        <v>0</v>
      </c>
      <c r="AI219" s="310">
        <f t="shared" si="1514"/>
        <v>0</v>
      </c>
      <c r="AJ219" s="325">
        <f t="shared" ref="AJ219:AM220" si="1560">AJ60</f>
        <v>0</v>
      </c>
      <c r="AK219" s="325">
        <f t="shared" si="1560"/>
        <v>0</v>
      </c>
      <c r="AL219" s="325">
        <f t="shared" si="1560"/>
        <v>0</v>
      </c>
      <c r="AM219" s="310">
        <f t="shared" si="1560"/>
        <v>0</v>
      </c>
      <c r="AN219" s="325">
        <f t="shared" si="1527"/>
        <v>0</v>
      </c>
      <c r="AO219" s="325">
        <f t="shared" si="1528"/>
        <v>0</v>
      </c>
      <c r="AP219" s="325">
        <f t="shared" si="1528"/>
        <v>0</v>
      </c>
      <c r="AQ219" s="325">
        <f t="shared" ref="AQ219:BS219" si="1561">AQ60</f>
        <v>0</v>
      </c>
      <c r="AR219" s="310">
        <f t="shared" si="1561"/>
        <v>0</v>
      </c>
      <c r="AS219" s="325">
        <f t="shared" si="1561"/>
        <v>0</v>
      </c>
      <c r="AT219" s="310">
        <f t="shared" si="1561"/>
        <v>0</v>
      </c>
      <c r="AU219" s="310">
        <f t="shared" si="1561"/>
        <v>0</v>
      </c>
      <c r="AV219" s="310">
        <f t="shared" si="1561"/>
        <v>0</v>
      </c>
      <c r="AW219" s="310">
        <f t="shared" si="1561"/>
        <v>0</v>
      </c>
      <c r="AX219" s="310">
        <f t="shared" si="1561"/>
        <v>0</v>
      </c>
      <c r="AY219" s="310">
        <f t="shared" si="1561"/>
        <v>0</v>
      </c>
      <c r="AZ219" s="310">
        <f t="shared" si="1561"/>
        <v>0</v>
      </c>
      <c r="BA219" s="310">
        <f t="shared" si="1561"/>
        <v>0</v>
      </c>
      <c r="BB219" s="310">
        <f t="shared" si="1561"/>
        <v>0</v>
      </c>
      <c r="BC219" s="310">
        <f t="shared" si="1561"/>
        <v>0</v>
      </c>
      <c r="BD219" s="310">
        <f t="shared" si="1561"/>
        <v>0</v>
      </c>
      <c r="BE219" s="310">
        <f t="shared" si="1561"/>
        <v>0</v>
      </c>
      <c r="BF219" s="310">
        <f t="shared" si="1561"/>
        <v>0</v>
      </c>
      <c r="BG219" s="310">
        <f t="shared" si="1561"/>
        <v>0</v>
      </c>
      <c r="BH219" s="310">
        <f t="shared" si="1561"/>
        <v>0</v>
      </c>
      <c r="BI219" s="310">
        <f t="shared" si="1561"/>
        <v>0</v>
      </c>
      <c r="BJ219" s="310">
        <f t="shared" si="1561"/>
        <v>0</v>
      </c>
      <c r="BK219" s="310">
        <f t="shared" si="1561"/>
        <v>0</v>
      </c>
      <c r="BL219" s="310">
        <f t="shared" si="1561"/>
        <v>0</v>
      </c>
      <c r="BM219" s="310">
        <f t="shared" si="1561"/>
        <v>0</v>
      </c>
      <c r="BN219" s="310">
        <f t="shared" si="1561"/>
        <v>0</v>
      </c>
      <c r="BO219" s="310">
        <f t="shared" si="1561"/>
        <v>0</v>
      </c>
      <c r="BP219" s="310">
        <f t="shared" si="1561"/>
        <v>0</v>
      </c>
      <c r="BQ219" s="310">
        <f t="shared" si="1561"/>
        <v>0</v>
      </c>
      <c r="BR219" s="310">
        <f t="shared" si="1561"/>
        <v>0</v>
      </c>
      <c r="BS219" s="310">
        <f t="shared" si="1561"/>
        <v>0</v>
      </c>
      <c r="BT219" s="310">
        <f t="shared" ref="BT219:BU219" si="1562">BT60</f>
        <v>0</v>
      </c>
      <c r="BU219" s="310">
        <f t="shared" si="1562"/>
        <v>0</v>
      </c>
      <c r="BV219" s="310">
        <f t="shared" ref="BV219:BZ219" si="1563">BV60</f>
        <v>0</v>
      </c>
      <c r="BW219" s="310">
        <f t="shared" si="1563"/>
        <v>0</v>
      </c>
      <c r="BX219" s="310">
        <f t="shared" si="1563"/>
        <v>0</v>
      </c>
      <c r="BY219" s="310">
        <f t="shared" si="1563"/>
        <v>0</v>
      </c>
      <c r="BZ219" s="310">
        <f t="shared" si="1563"/>
        <v>0</v>
      </c>
      <c r="CA219" s="310">
        <f t="shared" ref="CA219:CB219" si="1564">CA60</f>
        <v>0</v>
      </c>
      <c r="CB219" s="310">
        <f t="shared" si="1564"/>
        <v>0</v>
      </c>
      <c r="CC219" s="310">
        <f t="shared" ref="CC219:CD219" si="1565">CC60</f>
        <v>0</v>
      </c>
      <c r="CD219" s="310">
        <f t="shared" si="1565"/>
        <v>0</v>
      </c>
      <c r="CE219" s="310">
        <f t="shared" ref="CE219:CG219" si="1566">CE60</f>
        <v>0</v>
      </c>
      <c r="CF219" s="310">
        <f t="shared" si="1566"/>
        <v>0</v>
      </c>
      <c r="CG219" s="310">
        <f t="shared" si="1566"/>
        <v>0</v>
      </c>
      <c r="CH219" s="310">
        <f t="shared" ref="CH219:CI219" si="1567">CH60</f>
        <v>0</v>
      </c>
      <c r="CI219" s="310">
        <f t="shared" si="1567"/>
        <v>0</v>
      </c>
      <c r="CJ219" s="310">
        <v>0</v>
      </c>
      <c r="CK219" s="310">
        <f t="shared" ref="CK219:CO219" si="1568">CK60</f>
        <v>0</v>
      </c>
      <c r="CL219" s="310">
        <f t="shared" si="1568"/>
        <v>0</v>
      </c>
      <c r="CM219" s="310">
        <f t="shared" si="1568"/>
        <v>0</v>
      </c>
      <c r="CN219" s="310">
        <f t="shared" si="1568"/>
        <v>0</v>
      </c>
      <c r="CO219" s="310">
        <f t="shared" si="1568"/>
        <v>0</v>
      </c>
    </row>
    <row r="220" spans="1:93" x14ac:dyDescent="0.25">
      <c r="A220" s="398" t="str">
        <f>Language!$G221</f>
        <v>(-) Ajuste de Avaliação Patrimonial Líquida</v>
      </c>
      <c r="B220" s="399">
        <f t="shared" ref="B220:Q220" si="1569">B61</f>
        <v>92327</v>
      </c>
      <c r="C220" s="399">
        <f t="shared" si="1569"/>
        <v>91452</v>
      </c>
      <c r="D220" s="399">
        <f t="shared" si="1569"/>
        <v>90576</v>
      </c>
      <c r="E220" s="400">
        <f t="shared" si="1569"/>
        <v>89701</v>
      </c>
      <c r="F220" s="399">
        <f t="shared" si="1569"/>
        <v>88826</v>
      </c>
      <c r="G220" s="399">
        <f t="shared" si="1569"/>
        <v>87951</v>
      </c>
      <c r="H220" s="399">
        <f t="shared" si="1569"/>
        <v>0</v>
      </c>
      <c r="I220" s="400">
        <f t="shared" si="1569"/>
        <v>86201</v>
      </c>
      <c r="J220" s="399">
        <f t="shared" si="1569"/>
        <v>85326</v>
      </c>
      <c r="K220" s="399">
        <f t="shared" si="1569"/>
        <v>84451</v>
      </c>
      <c r="L220" s="399">
        <f t="shared" si="1569"/>
        <v>83575</v>
      </c>
      <c r="M220" s="400">
        <f t="shared" si="1569"/>
        <v>82701</v>
      </c>
      <c r="N220" s="399">
        <f t="shared" si="1569"/>
        <v>81826</v>
      </c>
      <c r="O220" s="399">
        <f t="shared" si="1569"/>
        <v>80950</v>
      </c>
      <c r="P220" s="399">
        <f t="shared" si="1569"/>
        <v>80075</v>
      </c>
      <c r="Q220" s="400">
        <f t="shared" si="1569"/>
        <v>79201</v>
      </c>
      <c r="R220" s="399">
        <v>78325</v>
      </c>
      <c r="S220" s="399">
        <v>77450</v>
      </c>
      <c r="T220" s="399">
        <v>76575</v>
      </c>
      <c r="U220" s="399">
        <v>0</v>
      </c>
      <c r="V220" s="399">
        <v>0</v>
      </c>
      <c r="W220" s="399">
        <v>76575</v>
      </c>
      <c r="X220" s="400">
        <v>0</v>
      </c>
      <c r="Y220" s="399">
        <f t="shared" si="1558"/>
        <v>0</v>
      </c>
      <c r="Z220" s="400">
        <f t="shared" si="1558"/>
        <v>0</v>
      </c>
      <c r="AA220" s="399">
        <f t="shared" si="1558"/>
        <v>0</v>
      </c>
      <c r="AB220" s="399">
        <f t="shared" si="1529"/>
        <v>0</v>
      </c>
      <c r="AC220" s="399">
        <f t="shared" si="1559"/>
        <v>0</v>
      </c>
      <c r="AD220" s="399">
        <f t="shared" si="1559"/>
        <v>0</v>
      </c>
      <c r="AE220" s="400">
        <f t="shared" si="1559"/>
        <v>0</v>
      </c>
      <c r="AF220" s="399">
        <f t="shared" si="1559"/>
        <v>0</v>
      </c>
      <c r="AG220" s="400">
        <f t="shared" si="1512"/>
        <v>0</v>
      </c>
      <c r="AH220" s="399">
        <f t="shared" si="1513"/>
        <v>0</v>
      </c>
      <c r="AI220" s="399">
        <f t="shared" si="1514"/>
        <v>0</v>
      </c>
      <c r="AJ220" s="400">
        <f t="shared" si="1560"/>
        <v>0</v>
      </c>
      <c r="AK220" s="400">
        <f t="shared" si="1560"/>
        <v>0</v>
      </c>
      <c r="AL220" s="400">
        <f t="shared" si="1560"/>
        <v>0</v>
      </c>
      <c r="AM220" s="399">
        <f t="shared" si="1560"/>
        <v>0</v>
      </c>
      <c r="AN220" s="400">
        <f t="shared" si="1527"/>
        <v>0</v>
      </c>
      <c r="AO220" s="400">
        <f t="shared" si="1528"/>
        <v>0</v>
      </c>
      <c r="AP220" s="400">
        <f t="shared" si="1528"/>
        <v>0</v>
      </c>
      <c r="AQ220" s="400">
        <f t="shared" ref="AQ220:BS220" si="1570">AQ61</f>
        <v>0</v>
      </c>
      <c r="AR220" s="399">
        <f t="shared" si="1570"/>
        <v>0</v>
      </c>
      <c r="AS220" s="400">
        <f t="shared" si="1570"/>
        <v>0</v>
      </c>
      <c r="AT220" s="399">
        <f t="shared" si="1570"/>
        <v>0</v>
      </c>
      <c r="AU220" s="399">
        <f t="shared" si="1570"/>
        <v>0</v>
      </c>
      <c r="AV220" s="399">
        <f t="shared" si="1570"/>
        <v>0</v>
      </c>
      <c r="AW220" s="399">
        <f t="shared" si="1570"/>
        <v>0</v>
      </c>
      <c r="AX220" s="399">
        <f t="shared" si="1570"/>
        <v>0</v>
      </c>
      <c r="AY220" s="399">
        <f t="shared" si="1570"/>
        <v>0</v>
      </c>
      <c r="AZ220" s="399">
        <f t="shared" si="1570"/>
        <v>0</v>
      </c>
      <c r="BA220" s="399">
        <f t="shared" si="1570"/>
        <v>0</v>
      </c>
      <c r="BB220" s="399">
        <f t="shared" si="1570"/>
        <v>0</v>
      </c>
      <c r="BC220" s="399">
        <f t="shared" si="1570"/>
        <v>0</v>
      </c>
      <c r="BD220" s="399">
        <f t="shared" si="1570"/>
        <v>0</v>
      </c>
      <c r="BE220" s="399">
        <f t="shared" si="1570"/>
        <v>0</v>
      </c>
      <c r="BF220" s="399">
        <f t="shared" si="1570"/>
        <v>0</v>
      </c>
      <c r="BG220" s="399">
        <f t="shared" si="1570"/>
        <v>0</v>
      </c>
      <c r="BH220" s="399">
        <f t="shared" si="1570"/>
        <v>0</v>
      </c>
      <c r="BI220" s="399">
        <f t="shared" si="1570"/>
        <v>0</v>
      </c>
      <c r="BJ220" s="399">
        <f t="shared" si="1570"/>
        <v>0</v>
      </c>
      <c r="BK220" s="399">
        <f t="shared" si="1570"/>
        <v>0</v>
      </c>
      <c r="BL220" s="399">
        <f t="shared" si="1570"/>
        <v>0</v>
      </c>
      <c r="BM220" s="399">
        <f t="shared" si="1570"/>
        <v>0</v>
      </c>
      <c r="BN220" s="399">
        <f t="shared" si="1570"/>
        <v>0</v>
      </c>
      <c r="BO220" s="399">
        <f t="shared" si="1570"/>
        <v>0</v>
      </c>
      <c r="BP220" s="399">
        <f t="shared" si="1570"/>
        <v>0</v>
      </c>
      <c r="BQ220" s="399">
        <f t="shared" si="1570"/>
        <v>0</v>
      </c>
      <c r="BR220" s="399">
        <f t="shared" si="1570"/>
        <v>0</v>
      </c>
      <c r="BS220" s="399">
        <f t="shared" si="1570"/>
        <v>0</v>
      </c>
      <c r="BT220" s="399">
        <f t="shared" ref="BT220:BU220" si="1571">BT61</f>
        <v>0</v>
      </c>
      <c r="BU220" s="399">
        <f t="shared" si="1571"/>
        <v>0</v>
      </c>
      <c r="BV220" s="399">
        <f t="shared" ref="BV220:BZ220" si="1572">BV61</f>
        <v>0</v>
      </c>
      <c r="BW220" s="399">
        <f t="shared" si="1572"/>
        <v>0</v>
      </c>
      <c r="BX220" s="399">
        <f t="shared" si="1572"/>
        <v>0</v>
      </c>
      <c r="BY220" s="399">
        <f t="shared" si="1572"/>
        <v>0</v>
      </c>
      <c r="BZ220" s="399">
        <f t="shared" si="1572"/>
        <v>0</v>
      </c>
      <c r="CA220" s="399">
        <f t="shared" ref="CA220:CB220" si="1573">CA61</f>
        <v>0</v>
      </c>
      <c r="CB220" s="399">
        <f t="shared" si="1573"/>
        <v>0</v>
      </c>
      <c r="CC220" s="399">
        <f t="shared" ref="CC220:CD220" si="1574">CC61</f>
        <v>0</v>
      </c>
      <c r="CD220" s="399">
        <f t="shared" si="1574"/>
        <v>0</v>
      </c>
      <c r="CE220" s="399">
        <f t="shared" ref="CE220:CG220" si="1575">CE61</f>
        <v>0</v>
      </c>
      <c r="CF220" s="399">
        <f t="shared" si="1575"/>
        <v>0</v>
      </c>
      <c r="CG220" s="399">
        <f t="shared" si="1575"/>
        <v>0</v>
      </c>
      <c r="CH220" s="399">
        <f t="shared" ref="CH220:CI220" si="1576">CH61</f>
        <v>0</v>
      </c>
      <c r="CI220" s="399">
        <f t="shared" si="1576"/>
        <v>0</v>
      </c>
      <c r="CJ220" s="399">
        <v>0</v>
      </c>
      <c r="CK220" s="399">
        <f t="shared" ref="CK220:CO220" si="1577">CK61</f>
        <v>0</v>
      </c>
      <c r="CL220" s="399">
        <f t="shared" si="1577"/>
        <v>0</v>
      </c>
      <c r="CM220" s="399">
        <f t="shared" si="1577"/>
        <v>0</v>
      </c>
      <c r="CN220" s="399">
        <f t="shared" si="1577"/>
        <v>0</v>
      </c>
      <c r="CO220" s="399">
        <f t="shared" si="1577"/>
        <v>0</v>
      </c>
    </row>
    <row r="221" spans="1:93" ht="13" x14ac:dyDescent="0.3">
      <c r="A221" s="366" t="str">
        <f>Language!$G222</f>
        <v>EBITDA Ajustado</v>
      </c>
      <c r="B221" s="366">
        <f t="shared" ref="B221:M221" si="1578">SUM(B222,B223,B224)</f>
        <v>15308</v>
      </c>
      <c r="C221" s="366">
        <f t="shared" si="1578"/>
        <v>14494</v>
      </c>
      <c r="D221" s="366">
        <f t="shared" si="1578"/>
        <v>15310</v>
      </c>
      <c r="E221" s="367">
        <f t="shared" si="1578"/>
        <v>18395</v>
      </c>
      <c r="F221" s="366">
        <f t="shared" si="1578"/>
        <v>18691</v>
      </c>
      <c r="G221" s="366">
        <f t="shared" si="1578"/>
        <v>18498</v>
      </c>
      <c r="H221" s="366">
        <f t="shared" si="1578"/>
        <v>18233</v>
      </c>
      <c r="I221" s="367">
        <f t="shared" si="1578"/>
        <v>14683</v>
      </c>
      <c r="J221" s="366">
        <f t="shared" si="1578"/>
        <v>25266</v>
      </c>
      <c r="K221" s="366">
        <f t="shared" si="1578"/>
        <v>18183</v>
      </c>
      <c r="L221" s="366">
        <f t="shared" si="1578"/>
        <v>14230</v>
      </c>
      <c r="M221" s="367">
        <f t="shared" si="1578"/>
        <v>46428.997943999988</v>
      </c>
      <c r="N221" s="366">
        <f t="shared" ref="N221" si="1579">SUM(N222,N223,N224)</f>
        <v>223006</v>
      </c>
      <c r="O221" s="366">
        <f t="shared" ref="O221:Q221" si="1580">SUM(O222,O223,O224)</f>
        <v>19723.974330000001</v>
      </c>
      <c r="P221" s="366">
        <f t="shared" si="1580"/>
        <v>7306.0792345479931</v>
      </c>
      <c r="Q221" s="367">
        <f t="shared" si="1580"/>
        <v>15892.946435452006</v>
      </c>
      <c r="R221" s="366">
        <v>65822</v>
      </c>
      <c r="S221" s="366">
        <v>19973</v>
      </c>
      <c r="T221" s="366">
        <v>25741</v>
      </c>
      <c r="U221" s="366">
        <v>13874</v>
      </c>
      <c r="V221" s="366">
        <v>-57406</v>
      </c>
      <c r="W221" s="366">
        <v>105689</v>
      </c>
      <c r="X221" s="367">
        <v>125410</v>
      </c>
      <c r="Y221" s="366">
        <f t="shared" ref="Y221:Z221" si="1581">SUM(Y222,Y223,Y224)</f>
        <v>2182</v>
      </c>
      <c r="Z221" s="367">
        <f t="shared" si="1581"/>
        <v>2012</v>
      </c>
      <c r="AA221" s="366">
        <f>SUM(AA222,AA223,AA224)</f>
        <v>1280</v>
      </c>
      <c r="AB221" s="366">
        <f t="shared" si="1365"/>
        <v>2447</v>
      </c>
      <c r="AC221" s="366">
        <f>SUM(AC222,AC223,AC224)</f>
        <v>4194</v>
      </c>
      <c r="AD221" s="366">
        <f>SUM(AD222,AD223,AD224)</f>
        <v>5474</v>
      </c>
      <c r="AE221" s="367">
        <f>SUM(AE222,AE223,AE224)</f>
        <v>7921</v>
      </c>
      <c r="AF221" s="366">
        <f>SUM(AF222,AF223,AF224)</f>
        <v>2453</v>
      </c>
      <c r="AG221" s="367">
        <f t="shared" ref="AG221" si="1582">SUM(AG222,AG223,AG224)</f>
        <v>3059</v>
      </c>
      <c r="AH221" s="366">
        <f>SUM(AH222,AH223,AH224)</f>
        <v>2688</v>
      </c>
      <c r="AI221" s="366">
        <f t="shared" ref="AI221:AI224" si="1583">AL221-AF221-AG221-AH221</f>
        <v>7574</v>
      </c>
      <c r="AJ221" s="367">
        <f>SUM(AJ222,AJ223,AJ224)</f>
        <v>5512</v>
      </c>
      <c r="AK221" s="367">
        <f>SUM(AK222,AK223,AK224)</f>
        <v>8200</v>
      </c>
      <c r="AL221" s="367">
        <f>SUM(AL222,AL223,AL224)</f>
        <v>15774</v>
      </c>
      <c r="AM221" s="366">
        <f>SUM(AM222,AM223,AM224)</f>
        <v>2851</v>
      </c>
      <c r="AN221" s="367">
        <f>AQ221-AM221</f>
        <v>2494</v>
      </c>
      <c r="AO221" s="367">
        <f>AR221-AQ221</f>
        <v>11580</v>
      </c>
      <c r="AP221" s="367">
        <f>AS221-AR221</f>
        <v>9311</v>
      </c>
      <c r="AQ221" s="367">
        <f t="shared" ref="AQ221:BA221" si="1584">SUM(AQ222,AQ223,AQ224)</f>
        <v>5345</v>
      </c>
      <c r="AR221" s="366">
        <f t="shared" si="1584"/>
        <v>16925</v>
      </c>
      <c r="AS221" s="367">
        <f t="shared" si="1584"/>
        <v>26236</v>
      </c>
      <c r="AT221" s="366">
        <f t="shared" si="1584"/>
        <v>10805</v>
      </c>
      <c r="AU221" s="366">
        <f t="shared" si="1584"/>
        <v>11341</v>
      </c>
      <c r="AV221" s="366">
        <f t="shared" si="1584"/>
        <v>12568.999999999998</v>
      </c>
      <c r="AW221" s="366">
        <f t="shared" si="1584"/>
        <v>10584</v>
      </c>
      <c r="AX221" s="366">
        <f t="shared" si="1584"/>
        <v>22146</v>
      </c>
      <c r="AY221" s="366">
        <f t="shared" si="1584"/>
        <v>34715</v>
      </c>
      <c r="AZ221" s="366">
        <f t="shared" si="1584"/>
        <v>45299</v>
      </c>
      <c r="BA221" s="366">
        <f t="shared" si="1584"/>
        <v>11779</v>
      </c>
      <c r="BB221" s="366">
        <f t="shared" ref="BB221:BD221" si="1585">SUM(BB222,BB223,BB224)</f>
        <v>12387</v>
      </c>
      <c r="BC221" s="366">
        <f t="shared" si="1585"/>
        <v>13866</v>
      </c>
      <c r="BD221" s="366">
        <f t="shared" si="1585"/>
        <v>12169</v>
      </c>
      <c r="BE221" s="366">
        <f>SUM(BE222,BE223,BE224)</f>
        <v>24166</v>
      </c>
      <c r="BF221" s="366">
        <f>SUM(BF222,BF223,BF224)</f>
        <v>38032</v>
      </c>
      <c r="BG221" s="366">
        <f>SUM(BG222,BG223,BG224)</f>
        <v>50201</v>
      </c>
      <c r="BH221" s="366">
        <f>SUM(BH222,BH223,BH224)</f>
        <v>13148</v>
      </c>
      <c r="BI221" s="366">
        <f t="shared" ref="BI221:BL221" si="1586">SUM(BI222,BI223,BI224)</f>
        <v>12303</v>
      </c>
      <c r="BJ221" s="366">
        <f t="shared" si="1586"/>
        <v>15156</v>
      </c>
      <c r="BK221" s="366">
        <f t="shared" si="1586"/>
        <v>13149</v>
      </c>
      <c r="BL221" s="366">
        <f t="shared" si="1586"/>
        <v>25451</v>
      </c>
      <c r="BM221" s="366">
        <f t="shared" ref="BM221:BN221" si="1587">SUM(BM222,BM223,BM224)</f>
        <v>40607</v>
      </c>
      <c r="BN221" s="366">
        <f t="shared" si="1587"/>
        <v>54065</v>
      </c>
      <c r="BO221" s="366">
        <f t="shared" ref="BO221:BS221" si="1588">SUM(BO222,BO223,BO224)</f>
        <v>14143</v>
      </c>
      <c r="BP221" s="366">
        <f t="shared" si="1588"/>
        <v>14328</v>
      </c>
      <c r="BQ221" s="366">
        <f t="shared" si="1588"/>
        <v>17429</v>
      </c>
      <c r="BR221" s="366">
        <f t="shared" si="1588"/>
        <v>15765</v>
      </c>
      <c r="BS221" s="366">
        <f t="shared" si="1588"/>
        <v>29274</v>
      </c>
      <c r="BT221" s="366">
        <f t="shared" ref="BT221:BU221" si="1589">SUM(BT222,BT223,BT224)</f>
        <v>46714</v>
      </c>
      <c r="BU221" s="366">
        <f t="shared" si="1589"/>
        <v>62479</v>
      </c>
      <c r="BV221" s="366">
        <f t="shared" ref="BV221:BZ221" si="1590">SUM(BV222,BV223,BV224)</f>
        <v>17762</v>
      </c>
      <c r="BW221" s="366">
        <f t="shared" si="1590"/>
        <v>17300</v>
      </c>
      <c r="BX221" s="366">
        <f t="shared" si="1590"/>
        <v>17748</v>
      </c>
      <c r="BY221" s="366">
        <f t="shared" si="1590"/>
        <v>15851</v>
      </c>
      <c r="BZ221" s="366">
        <f t="shared" si="1590"/>
        <v>35062</v>
      </c>
      <c r="CA221" s="366">
        <f t="shared" ref="CA221:CB221" si="1591">SUM(CA222,CA223,CA224)</f>
        <v>52810</v>
      </c>
      <c r="CB221" s="366">
        <f t="shared" si="1591"/>
        <v>68661</v>
      </c>
      <c r="CC221" s="366">
        <f t="shared" ref="CC221:CD221" si="1592">SUM(CC222,CC223,CC224)</f>
        <v>16839</v>
      </c>
      <c r="CD221" s="366">
        <f t="shared" si="1592"/>
        <v>16813</v>
      </c>
      <c r="CE221" s="366">
        <f t="shared" ref="CE221:CG221" si="1593">SUM(CE222,CE223,CE224)</f>
        <v>17473</v>
      </c>
      <c r="CF221" s="366">
        <f t="shared" si="1593"/>
        <v>16380</v>
      </c>
      <c r="CG221" s="366">
        <f t="shared" si="1593"/>
        <v>33652</v>
      </c>
      <c r="CH221" s="366">
        <f t="shared" ref="CH221:CI221" si="1594">SUM(CH222,CH223,CH224)</f>
        <v>51125</v>
      </c>
      <c r="CI221" s="366">
        <f t="shared" si="1594"/>
        <v>67505</v>
      </c>
      <c r="CJ221" s="366">
        <v>16154</v>
      </c>
      <c r="CK221" s="366">
        <f t="shared" ref="CK221:CO221" si="1595">SUM(CK222,CK223,CK224)</f>
        <v>16925</v>
      </c>
      <c r="CL221" s="366">
        <f t="shared" si="1595"/>
        <v>0</v>
      </c>
      <c r="CM221" s="366">
        <f t="shared" si="1595"/>
        <v>0</v>
      </c>
      <c r="CN221" s="366">
        <f t="shared" si="1595"/>
        <v>33079</v>
      </c>
      <c r="CO221" s="366">
        <f t="shared" si="1595"/>
        <v>0</v>
      </c>
    </row>
    <row r="222" spans="1:93" x14ac:dyDescent="0.25">
      <c r="A222" s="326" t="str">
        <f>Language!$G223</f>
        <v>(+) EBIT</v>
      </c>
      <c r="B222" s="310">
        <f t="shared" ref="B222:Q222" si="1596">B142</f>
        <v>9345</v>
      </c>
      <c r="C222" s="310">
        <f t="shared" si="1596"/>
        <v>8755</v>
      </c>
      <c r="D222" s="310">
        <f t="shared" si="1596"/>
        <v>9331</v>
      </c>
      <c r="E222" s="325">
        <f t="shared" si="1596"/>
        <v>12801</v>
      </c>
      <c r="F222" s="310">
        <f t="shared" si="1596"/>
        <v>12687</v>
      </c>
      <c r="G222" s="310">
        <f t="shared" si="1596"/>
        <v>12551</v>
      </c>
      <c r="H222" s="310">
        <f t="shared" si="1596"/>
        <v>12219</v>
      </c>
      <c r="I222" s="325">
        <f t="shared" si="1596"/>
        <v>9017</v>
      </c>
      <c r="J222" s="310">
        <f t="shared" si="1596"/>
        <v>18898</v>
      </c>
      <c r="K222" s="310">
        <f t="shared" si="1596"/>
        <v>12271</v>
      </c>
      <c r="L222" s="310">
        <f t="shared" si="1596"/>
        <v>8325</v>
      </c>
      <c r="M222" s="325">
        <f t="shared" si="1596"/>
        <v>36706.997943999988</v>
      </c>
      <c r="N222" s="310">
        <f t="shared" si="1596"/>
        <v>212072</v>
      </c>
      <c r="O222" s="310">
        <f t="shared" si="1596"/>
        <v>9668.9743300000009</v>
      </c>
      <c r="P222" s="310">
        <f t="shared" si="1596"/>
        <v>-3173.9207654520069</v>
      </c>
      <c r="Q222" s="325">
        <f t="shared" si="1596"/>
        <v>-469.05356454799403</v>
      </c>
      <c r="R222" s="310">
        <v>51207</v>
      </c>
      <c r="S222" s="310">
        <v>5056</v>
      </c>
      <c r="T222" s="310">
        <v>10074</v>
      </c>
      <c r="U222" s="310">
        <v>4107</v>
      </c>
      <c r="V222" s="310">
        <v>-17275</v>
      </c>
      <c r="W222" s="310">
        <v>60490</v>
      </c>
      <c r="X222" s="325">
        <v>70444</v>
      </c>
      <c r="Y222" s="310">
        <f>Y142</f>
        <v>1962</v>
      </c>
      <c r="Z222" s="325">
        <f>Z142</f>
        <v>1767</v>
      </c>
      <c r="AA222" s="310">
        <f>AA142</f>
        <v>1037</v>
      </c>
      <c r="AB222" s="310">
        <f t="shared" si="1365"/>
        <v>2710</v>
      </c>
      <c r="AC222" s="310">
        <f t="shared" ref="AC222:AH222" si="1597">AC142</f>
        <v>3729</v>
      </c>
      <c r="AD222" s="310">
        <f t="shared" si="1597"/>
        <v>4766</v>
      </c>
      <c r="AE222" s="325">
        <f t="shared" si="1597"/>
        <v>7476</v>
      </c>
      <c r="AF222" s="310">
        <f t="shared" si="1597"/>
        <v>2301</v>
      </c>
      <c r="AG222" s="325">
        <f t="shared" si="1597"/>
        <v>2928</v>
      </c>
      <c r="AH222" s="310">
        <f t="shared" si="1597"/>
        <v>2728</v>
      </c>
      <c r="AI222" s="310">
        <f t="shared" si="1583"/>
        <v>7568</v>
      </c>
      <c r="AJ222" s="325">
        <f>AJ142</f>
        <v>5229</v>
      </c>
      <c r="AK222" s="325">
        <f>AK142</f>
        <v>7957</v>
      </c>
      <c r="AL222" s="325">
        <f>AL142</f>
        <v>15525</v>
      </c>
      <c r="AM222" s="310">
        <f>AM142</f>
        <v>2732</v>
      </c>
      <c r="AN222" s="325">
        <f t="shared" ref="AN222:AN224" si="1598">AQ222-AM222</f>
        <v>2373</v>
      </c>
      <c r="AO222" s="325">
        <f t="shared" ref="AO222:AP224" si="1599">AR222-AQ222</f>
        <v>11458</v>
      </c>
      <c r="AP222" s="325">
        <f t="shared" si="1599"/>
        <v>9372</v>
      </c>
      <c r="AQ222" s="325">
        <f t="shared" ref="AQ222:BA222" si="1600">AQ142</f>
        <v>5105</v>
      </c>
      <c r="AR222" s="310">
        <f t="shared" si="1600"/>
        <v>16563</v>
      </c>
      <c r="AS222" s="325">
        <f t="shared" si="1600"/>
        <v>25935</v>
      </c>
      <c r="AT222" s="310">
        <f t="shared" si="1600"/>
        <v>10649</v>
      </c>
      <c r="AU222" s="310">
        <f t="shared" si="1600"/>
        <v>11175</v>
      </c>
      <c r="AV222" s="310">
        <f t="shared" si="1600"/>
        <v>12404.999999999998</v>
      </c>
      <c r="AW222" s="310">
        <f t="shared" si="1600"/>
        <v>10419</v>
      </c>
      <c r="AX222" s="310">
        <f t="shared" si="1600"/>
        <v>21824</v>
      </c>
      <c r="AY222" s="310">
        <f t="shared" si="1600"/>
        <v>34229</v>
      </c>
      <c r="AZ222" s="310">
        <f t="shared" si="1600"/>
        <v>44648</v>
      </c>
      <c r="BA222" s="310">
        <f t="shared" si="1600"/>
        <v>11627</v>
      </c>
      <c r="BB222" s="310">
        <f t="shared" ref="BB222:BD222" si="1601">BB142</f>
        <v>12275</v>
      </c>
      <c r="BC222" s="310">
        <f t="shared" si="1601"/>
        <v>13755</v>
      </c>
      <c r="BD222" s="310">
        <f t="shared" si="1601"/>
        <v>11967</v>
      </c>
      <c r="BE222" s="310">
        <f>BE142</f>
        <v>23902</v>
      </c>
      <c r="BF222" s="310">
        <f>BF142</f>
        <v>37657</v>
      </c>
      <c r="BG222" s="310">
        <f>BG142</f>
        <v>49624</v>
      </c>
      <c r="BH222" s="310">
        <f>BH142</f>
        <v>12923</v>
      </c>
      <c r="BI222" s="310">
        <f t="shared" ref="BI222:BL222" si="1602">BI142</f>
        <v>12148</v>
      </c>
      <c r="BJ222" s="310">
        <f t="shared" si="1602"/>
        <v>14965</v>
      </c>
      <c r="BK222" s="310">
        <f t="shared" si="1602"/>
        <v>13215</v>
      </c>
      <c r="BL222" s="310">
        <f t="shared" si="1602"/>
        <v>25071</v>
      </c>
      <c r="BM222" s="310">
        <f t="shared" ref="BM222:BN222" si="1603">BM142</f>
        <v>40036</v>
      </c>
      <c r="BN222" s="310">
        <f t="shared" si="1603"/>
        <v>53251</v>
      </c>
      <c r="BO222" s="310">
        <f t="shared" ref="BO222:BS222" si="1604">BO142</f>
        <v>14309</v>
      </c>
      <c r="BP222" s="310">
        <f t="shared" si="1604"/>
        <v>14328</v>
      </c>
      <c r="BQ222" s="310">
        <f t="shared" si="1604"/>
        <v>17179</v>
      </c>
      <c r="BR222" s="310">
        <f t="shared" si="1604"/>
        <v>13665</v>
      </c>
      <c r="BS222" s="310">
        <f t="shared" si="1604"/>
        <v>28637</v>
      </c>
      <c r="BT222" s="310">
        <f t="shared" ref="BT222:BU222" si="1605">BT142</f>
        <v>45805</v>
      </c>
      <c r="BU222" s="310">
        <f t="shared" si="1605"/>
        <v>59470</v>
      </c>
      <c r="BV222" s="310">
        <f t="shared" ref="BV222:BZ222" si="1606">BV142</f>
        <v>17034</v>
      </c>
      <c r="BW222" s="310">
        <f t="shared" si="1606"/>
        <v>16543</v>
      </c>
      <c r="BX222" s="310">
        <f t="shared" si="1606"/>
        <v>16991</v>
      </c>
      <c r="BY222" s="310">
        <f t="shared" si="1606"/>
        <v>15099</v>
      </c>
      <c r="BZ222" s="310">
        <f t="shared" si="1606"/>
        <v>33577</v>
      </c>
      <c r="CA222" s="310">
        <f t="shared" ref="CA222:CB222" si="1607">CA142</f>
        <v>50568</v>
      </c>
      <c r="CB222" s="310">
        <f t="shared" si="1607"/>
        <v>65667</v>
      </c>
      <c r="CC222" s="310">
        <f t="shared" ref="CC222:CD222" si="1608">CC142</f>
        <v>16044</v>
      </c>
      <c r="CD222" s="310">
        <f t="shared" si="1608"/>
        <v>16017</v>
      </c>
      <c r="CE222" s="310">
        <f t="shared" ref="CE222:CG222" si="1609">CE142</f>
        <v>16676</v>
      </c>
      <c r="CF222" s="310">
        <f t="shared" si="1609"/>
        <v>15583</v>
      </c>
      <c r="CG222" s="310">
        <f t="shared" si="1609"/>
        <v>32061</v>
      </c>
      <c r="CH222" s="310">
        <f t="shared" ref="CH222:CI222" si="1610">CH142</f>
        <v>48737</v>
      </c>
      <c r="CI222" s="310">
        <f t="shared" si="1610"/>
        <v>64320</v>
      </c>
      <c r="CJ222" s="310">
        <v>15342</v>
      </c>
      <c r="CK222" s="310">
        <f t="shared" ref="CK222:CO222" si="1611">CK142</f>
        <v>16117</v>
      </c>
      <c r="CL222" s="310">
        <f t="shared" si="1611"/>
        <v>0</v>
      </c>
      <c r="CM222" s="310">
        <f t="shared" si="1611"/>
        <v>0</v>
      </c>
      <c r="CN222" s="310">
        <f t="shared" si="1611"/>
        <v>31459</v>
      </c>
      <c r="CO222" s="310">
        <f t="shared" si="1611"/>
        <v>0</v>
      </c>
    </row>
    <row r="223" spans="1:93" x14ac:dyDescent="0.25">
      <c r="A223" s="326" t="str">
        <f>Language!$G224</f>
        <v>(+) Depreciação e Amortização</v>
      </c>
      <c r="B223" s="310">
        <f t="shared" ref="B223:M223" si="1612">-B189</f>
        <v>5794</v>
      </c>
      <c r="C223" s="310">
        <f t="shared" si="1612"/>
        <v>5651</v>
      </c>
      <c r="D223" s="310">
        <f t="shared" si="1612"/>
        <v>5828</v>
      </c>
      <c r="E223" s="325">
        <f t="shared" si="1612"/>
        <v>5463</v>
      </c>
      <c r="F223" s="310">
        <f t="shared" si="1612"/>
        <v>5822</v>
      </c>
      <c r="G223" s="310">
        <f t="shared" si="1612"/>
        <v>5833</v>
      </c>
      <c r="H223" s="310">
        <f t="shared" si="1612"/>
        <v>5827</v>
      </c>
      <c r="I223" s="325">
        <f t="shared" si="1612"/>
        <v>5437</v>
      </c>
      <c r="J223" s="310">
        <f t="shared" si="1612"/>
        <v>5796</v>
      </c>
      <c r="K223" s="310">
        <f t="shared" si="1612"/>
        <v>5794</v>
      </c>
      <c r="L223" s="310">
        <f t="shared" si="1612"/>
        <v>5797</v>
      </c>
      <c r="M223" s="325">
        <f t="shared" si="1612"/>
        <v>9250</v>
      </c>
      <c r="N223" s="310">
        <f t="shared" ref="N223" si="1613">-N189</f>
        <v>10505</v>
      </c>
      <c r="O223" s="310">
        <f t="shared" ref="O223:Q223" si="1614">-O189</f>
        <v>10484</v>
      </c>
      <c r="P223" s="310">
        <f t="shared" si="1614"/>
        <v>10480</v>
      </c>
      <c r="Q223" s="325">
        <f t="shared" si="1614"/>
        <v>16362</v>
      </c>
      <c r="R223" s="310">
        <v>14615</v>
      </c>
      <c r="S223" s="310">
        <v>14917</v>
      </c>
      <c r="T223" s="310">
        <v>15667</v>
      </c>
      <c r="U223" s="310">
        <v>9736</v>
      </c>
      <c r="V223" s="310">
        <v>-40096</v>
      </c>
      <c r="W223" s="310">
        <v>45199</v>
      </c>
      <c r="X223" s="325">
        <v>54935</v>
      </c>
      <c r="Y223" s="310">
        <f t="shared" ref="Y223:Z223" si="1615">-Y189</f>
        <v>224</v>
      </c>
      <c r="Z223" s="325">
        <f t="shared" si="1615"/>
        <v>245</v>
      </c>
      <c r="AA223" s="310">
        <f>-AA189</f>
        <v>243</v>
      </c>
      <c r="AB223" s="310">
        <f t="shared" si="1365"/>
        <v>-267</v>
      </c>
      <c r="AC223" s="310">
        <f t="shared" ref="AC223" si="1616">-AC189</f>
        <v>469</v>
      </c>
      <c r="AD223" s="310">
        <f>-AD189</f>
        <v>712</v>
      </c>
      <c r="AE223" s="325">
        <f>-AE189</f>
        <v>445</v>
      </c>
      <c r="AF223" s="310">
        <f>-AF189</f>
        <v>152</v>
      </c>
      <c r="AG223" s="325">
        <f t="shared" ref="AG223:AJ223" si="1617">-AG189</f>
        <v>131</v>
      </c>
      <c r="AH223" s="310">
        <f>-AH189</f>
        <v>-40</v>
      </c>
      <c r="AI223" s="310">
        <f t="shared" si="1583"/>
        <v>6</v>
      </c>
      <c r="AJ223" s="325">
        <f t="shared" si="1617"/>
        <v>283</v>
      </c>
      <c r="AK223" s="325">
        <f t="shared" ref="AK223:AL223" si="1618">-AK189</f>
        <v>243</v>
      </c>
      <c r="AL223" s="325">
        <f t="shared" si="1618"/>
        <v>249</v>
      </c>
      <c r="AM223" s="310">
        <f t="shared" ref="AM223:AQ223" si="1619">-AM189</f>
        <v>119</v>
      </c>
      <c r="AN223" s="325">
        <f t="shared" si="1598"/>
        <v>121</v>
      </c>
      <c r="AO223" s="325">
        <f t="shared" si="1599"/>
        <v>122</v>
      </c>
      <c r="AP223" s="325">
        <f t="shared" si="1599"/>
        <v>-61</v>
      </c>
      <c r="AQ223" s="325">
        <f t="shared" si="1619"/>
        <v>240</v>
      </c>
      <c r="AR223" s="310">
        <f t="shared" ref="AR223:AS223" si="1620">-AR189</f>
        <v>362</v>
      </c>
      <c r="AS223" s="325">
        <f t="shared" si="1620"/>
        <v>301</v>
      </c>
      <c r="AT223" s="310">
        <f t="shared" ref="AT223:AU223" si="1621">-AT189</f>
        <v>156</v>
      </c>
      <c r="AU223" s="310">
        <f t="shared" si="1621"/>
        <v>166</v>
      </c>
      <c r="AV223" s="310">
        <f t="shared" ref="AV223:AX223" si="1622">-AV189</f>
        <v>164</v>
      </c>
      <c r="AW223" s="310">
        <f t="shared" si="1622"/>
        <v>165</v>
      </c>
      <c r="AX223" s="310">
        <f t="shared" si="1622"/>
        <v>322</v>
      </c>
      <c r="AY223" s="310">
        <f t="shared" ref="AY223:AZ223" si="1623">-AY189</f>
        <v>486</v>
      </c>
      <c r="AZ223" s="310">
        <f t="shared" si="1623"/>
        <v>651</v>
      </c>
      <c r="BA223" s="310">
        <f t="shared" ref="BA223:BD223" si="1624">-BA189</f>
        <v>152</v>
      </c>
      <c r="BB223" s="310">
        <f t="shared" si="1624"/>
        <v>112</v>
      </c>
      <c r="BC223" s="310">
        <f t="shared" si="1624"/>
        <v>111</v>
      </c>
      <c r="BD223" s="310">
        <f t="shared" si="1624"/>
        <v>202</v>
      </c>
      <c r="BE223" s="310">
        <f t="shared" ref="BE223:BF223" si="1625">-BE189</f>
        <v>264</v>
      </c>
      <c r="BF223" s="310">
        <f t="shared" si="1625"/>
        <v>375</v>
      </c>
      <c r="BG223" s="310">
        <f t="shared" ref="BG223:BH223" si="1626">-BG189</f>
        <v>577</v>
      </c>
      <c r="BH223" s="310">
        <f t="shared" si="1626"/>
        <v>225</v>
      </c>
      <c r="BI223" s="310">
        <f t="shared" ref="BI223:BL223" si="1627">-BI189</f>
        <v>155</v>
      </c>
      <c r="BJ223" s="310">
        <f t="shared" si="1627"/>
        <v>191</v>
      </c>
      <c r="BK223" s="310">
        <f t="shared" si="1627"/>
        <v>-66</v>
      </c>
      <c r="BL223" s="310">
        <f t="shared" si="1627"/>
        <v>380</v>
      </c>
      <c r="BM223" s="310">
        <f t="shared" ref="BM223:BN223" si="1628">-BM189</f>
        <v>571</v>
      </c>
      <c r="BN223" s="310">
        <f t="shared" si="1628"/>
        <v>814</v>
      </c>
      <c r="BO223" s="310">
        <f t="shared" ref="BO223:BS223" si="1629">-BO189</f>
        <v>-166</v>
      </c>
      <c r="BP223" s="310">
        <f t="shared" si="1629"/>
        <v>0</v>
      </c>
      <c r="BQ223" s="310">
        <f t="shared" si="1629"/>
        <v>261</v>
      </c>
      <c r="BR223" s="310">
        <f t="shared" si="1629"/>
        <v>2110</v>
      </c>
      <c r="BS223" s="310">
        <f t="shared" si="1629"/>
        <v>648</v>
      </c>
      <c r="BT223" s="310">
        <f t="shared" ref="BT223:BU223" si="1630">-BT189</f>
        <v>909</v>
      </c>
      <c r="BU223" s="310">
        <f t="shared" si="1630"/>
        <v>3019</v>
      </c>
      <c r="BV223" s="310">
        <f t="shared" ref="BV223:BZ223" si="1631">-BV189</f>
        <v>728</v>
      </c>
      <c r="BW223" s="310">
        <f t="shared" si="1631"/>
        <v>757</v>
      </c>
      <c r="BX223" s="310">
        <f t="shared" si="1631"/>
        <v>757</v>
      </c>
      <c r="BY223" s="310">
        <f t="shared" si="1631"/>
        <v>752</v>
      </c>
      <c r="BZ223" s="310">
        <f t="shared" si="1631"/>
        <v>1485</v>
      </c>
      <c r="CA223" s="310">
        <f t="shared" ref="CA223:CB223" si="1632">-CA189</f>
        <v>2242</v>
      </c>
      <c r="CB223" s="310">
        <f t="shared" si="1632"/>
        <v>2994</v>
      </c>
      <c r="CC223" s="310">
        <f t="shared" ref="CC223:CD223" si="1633">-CC189</f>
        <v>795</v>
      </c>
      <c r="CD223" s="310">
        <f t="shared" si="1633"/>
        <v>796</v>
      </c>
      <c r="CE223" s="310">
        <f t="shared" ref="CE223:CG223" si="1634">-CE189</f>
        <v>797</v>
      </c>
      <c r="CF223" s="310">
        <f t="shared" si="1634"/>
        <v>797</v>
      </c>
      <c r="CG223" s="310">
        <f t="shared" si="1634"/>
        <v>1591</v>
      </c>
      <c r="CH223" s="310">
        <f t="shared" ref="CH223:CI223" si="1635">-CH189</f>
        <v>2388</v>
      </c>
      <c r="CI223" s="310">
        <f t="shared" si="1635"/>
        <v>3185</v>
      </c>
      <c r="CJ223" s="310">
        <v>812</v>
      </c>
      <c r="CK223" s="310">
        <f t="shared" ref="CK223:CO223" si="1636">-CK189</f>
        <v>808</v>
      </c>
      <c r="CL223" s="310">
        <f t="shared" si="1636"/>
        <v>0</v>
      </c>
      <c r="CM223" s="310">
        <f t="shared" si="1636"/>
        <v>0</v>
      </c>
      <c r="CN223" s="310">
        <f t="shared" si="1636"/>
        <v>1620</v>
      </c>
      <c r="CO223" s="310">
        <f t="shared" si="1636"/>
        <v>0</v>
      </c>
    </row>
    <row r="224" spans="1:93" x14ac:dyDescent="0.25">
      <c r="A224" s="398" t="str">
        <f>Language!$G225</f>
        <v>(+) Despesas Não Recorrentes</v>
      </c>
      <c r="B224" s="399">
        <f t="shared" ref="B224:M224" si="1637">B207</f>
        <v>169</v>
      </c>
      <c r="C224" s="399">
        <f t="shared" si="1637"/>
        <v>88</v>
      </c>
      <c r="D224" s="399">
        <f t="shared" si="1637"/>
        <v>151</v>
      </c>
      <c r="E224" s="400">
        <f t="shared" si="1637"/>
        <v>131</v>
      </c>
      <c r="F224" s="399">
        <f t="shared" si="1637"/>
        <v>182</v>
      </c>
      <c r="G224" s="399">
        <f t="shared" si="1637"/>
        <v>114</v>
      </c>
      <c r="H224" s="399">
        <f t="shared" si="1637"/>
        <v>187</v>
      </c>
      <c r="I224" s="400">
        <f t="shared" si="1637"/>
        <v>229</v>
      </c>
      <c r="J224" s="399">
        <f t="shared" si="1637"/>
        <v>572</v>
      </c>
      <c r="K224" s="399">
        <f t="shared" si="1637"/>
        <v>118</v>
      </c>
      <c r="L224" s="399">
        <f t="shared" si="1637"/>
        <v>108</v>
      </c>
      <c r="M224" s="400">
        <f t="shared" si="1637"/>
        <v>472</v>
      </c>
      <c r="N224" s="399">
        <f t="shared" ref="N224" si="1638">N207</f>
        <v>429</v>
      </c>
      <c r="O224" s="399">
        <f t="shared" ref="O224:Q224" si="1639">O207</f>
        <v>-429</v>
      </c>
      <c r="P224" s="399">
        <f t="shared" si="1639"/>
        <v>0</v>
      </c>
      <c r="Q224" s="400">
        <f t="shared" si="1639"/>
        <v>0</v>
      </c>
      <c r="R224" s="399">
        <v>0</v>
      </c>
      <c r="S224" s="399">
        <v>0</v>
      </c>
      <c r="T224" s="399">
        <v>0</v>
      </c>
      <c r="U224" s="399">
        <v>31</v>
      </c>
      <c r="V224" s="399">
        <v>-35</v>
      </c>
      <c r="W224" s="399">
        <v>0</v>
      </c>
      <c r="X224" s="400">
        <v>31</v>
      </c>
      <c r="Y224" s="399">
        <f t="shared" ref="Y224:Z224" si="1640">Y207</f>
        <v>-4</v>
      </c>
      <c r="Z224" s="400">
        <f t="shared" si="1640"/>
        <v>0</v>
      </c>
      <c r="AA224" s="399">
        <f>AA207</f>
        <v>0</v>
      </c>
      <c r="AB224" s="399">
        <f t="shared" si="1365"/>
        <v>4</v>
      </c>
      <c r="AC224" s="399">
        <f t="shared" ref="AC224" si="1641">AC207</f>
        <v>-4</v>
      </c>
      <c r="AD224" s="399">
        <f>AD207</f>
        <v>-4</v>
      </c>
      <c r="AE224" s="400">
        <f>AE207</f>
        <v>0</v>
      </c>
      <c r="AF224" s="399">
        <f>AF207</f>
        <v>0</v>
      </c>
      <c r="AG224" s="400">
        <f t="shared" ref="AG224:AJ224" si="1642">AG207</f>
        <v>0</v>
      </c>
      <c r="AH224" s="399">
        <f>AH207</f>
        <v>0</v>
      </c>
      <c r="AI224" s="399">
        <f t="shared" si="1583"/>
        <v>0</v>
      </c>
      <c r="AJ224" s="400">
        <f t="shared" si="1642"/>
        <v>0</v>
      </c>
      <c r="AK224" s="400">
        <f t="shared" ref="AK224:AL224" si="1643">AK207</f>
        <v>0</v>
      </c>
      <c r="AL224" s="400">
        <f t="shared" si="1643"/>
        <v>0</v>
      </c>
      <c r="AM224" s="399">
        <f t="shared" ref="AM224:AQ224" si="1644">AM207</f>
        <v>0</v>
      </c>
      <c r="AN224" s="400">
        <f t="shared" si="1598"/>
        <v>0</v>
      </c>
      <c r="AO224" s="400">
        <f t="shared" si="1599"/>
        <v>0</v>
      </c>
      <c r="AP224" s="400">
        <f t="shared" si="1599"/>
        <v>0</v>
      </c>
      <c r="AQ224" s="400">
        <f t="shared" si="1644"/>
        <v>0</v>
      </c>
      <c r="AR224" s="399">
        <f t="shared" ref="AR224:AS224" si="1645">AR207</f>
        <v>0</v>
      </c>
      <c r="AS224" s="400">
        <f t="shared" si="1645"/>
        <v>0</v>
      </c>
      <c r="AT224" s="399">
        <f t="shared" ref="AT224:AU224" si="1646">AT207</f>
        <v>0</v>
      </c>
      <c r="AU224" s="399">
        <f t="shared" si="1646"/>
        <v>0</v>
      </c>
      <c r="AV224" s="399">
        <f t="shared" ref="AV224:AX224" si="1647">AV207</f>
        <v>0</v>
      </c>
      <c r="AW224" s="399">
        <f t="shared" si="1647"/>
        <v>0</v>
      </c>
      <c r="AX224" s="399">
        <f t="shared" si="1647"/>
        <v>0</v>
      </c>
      <c r="AY224" s="399">
        <f t="shared" ref="AY224:AZ224" si="1648">AY207</f>
        <v>0</v>
      </c>
      <c r="AZ224" s="399">
        <f t="shared" si="1648"/>
        <v>0</v>
      </c>
      <c r="BA224" s="399">
        <f t="shared" ref="BA224:BD224" si="1649">BA207</f>
        <v>0</v>
      </c>
      <c r="BB224" s="399">
        <f t="shared" si="1649"/>
        <v>0</v>
      </c>
      <c r="BC224" s="399">
        <f t="shared" si="1649"/>
        <v>0</v>
      </c>
      <c r="BD224" s="399">
        <f t="shared" si="1649"/>
        <v>0</v>
      </c>
      <c r="BE224" s="399">
        <f t="shared" ref="BE224:BF224" si="1650">BE207</f>
        <v>0</v>
      </c>
      <c r="BF224" s="399">
        <f t="shared" si="1650"/>
        <v>0</v>
      </c>
      <c r="BG224" s="399">
        <f t="shared" ref="BG224:BH224" si="1651">BG207</f>
        <v>0</v>
      </c>
      <c r="BH224" s="399">
        <f t="shared" si="1651"/>
        <v>0</v>
      </c>
      <c r="BI224" s="399">
        <f t="shared" ref="BI224:BL224" si="1652">BI207</f>
        <v>0</v>
      </c>
      <c r="BJ224" s="399">
        <f t="shared" si="1652"/>
        <v>0</v>
      </c>
      <c r="BK224" s="399">
        <f t="shared" si="1652"/>
        <v>0</v>
      </c>
      <c r="BL224" s="399">
        <f t="shared" si="1652"/>
        <v>0</v>
      </c>
      <c r="BM224" s="399">
        <f t="shared" ref="BM224:BN224" si="1653">BM207</f>
        <v>0</v>
      </c>
      <c r="BN224" s="399">
        <f t="shared" si="1653"/>
        <v>0</v>
      </c>
      <c r="BO224" s="399">
        <f t="shared" ref="BO224:BQ224" si="1654">BO207</f>
        <v>0</v>
      </c>
      <c r="BP224" s="399">
        <f t="shared" si="1654"/>
        <v>0</v>
      </c>
      <c r="BQ224" s="399">
        <f t="shared" si="1654"/>
        <v>-11</v>
      </c>
      <c r="BR224" s="399">
        <f>-BR207</f>
        <v>-10</v>
      </c>
      <c r="BS224" s="399">
        <f>-BS207</f>
        <v>-11</v>
      </c>
      <c r="BT224" s="399">
        <f>-BT207</f>
        <v>0</v>
      </c>
      <c r="BU224" s="399">
        <f>-BU207</f>
        <v>-10</v>
      </c>
      <c r="BV224" s="399">
        <f>-BV207</f>
        <v>0</v>
      </c>
      <c r="BW224" s="399">
        <f t="shared" ref="BW224:BZ224" si="1655">-BW207</f>
        <v>0</v>
      </c>
      <c r="BX224" s="399">
        <f t="shared" si="1655"/>
        <v>0</v>
      </c>
      <c r="BY224" s="399">
        <f t="shared" si="1655"/>
        <v>0</v>
      </c>
      <c r="BZ224" s="399">
        <f t="shared" si="1655"/>
        <v>0</v>
      </c>
      <c r="CA224" s="399">
        <f t="shared" ref="CA224:CB224" si="1656">-CA207</f>
        <v>0</v>
      </c>
      <c r="CB224" s="399">
        <f t="shared" si="1656"/>
        <v>0</v>
      </c>
      <c r="CC224" s="399">
        <f t="shared" ref="CC224:CD224" si="1657">-CC207</f>
        <v>0</v>
      </c>
      <c r="CD224" s="399">
        <f t="shared" si="1657"/>
        <v>0</v>
      </c>
      <c r="CE224" s="399">
        <f t="shared" ref="CE224:CG224" si="1658">-CE207</f>
        <v>0</v>
      </c>
      <c r="CF224" s="399">
        <f t="shared" si="1658"/>
        <v>0</v>
      </c>
      <c r="CG224" s="399">
        <f t="shared" si="1658"/>
        <v>0</v>
      </c>
      <c r="CH224" s="399">
        <f t="shared" ref="CH224:CI224" si="1659">-CH207</f>
        <v>0</v>
      </c>
      <c r="CI224" s="399">
        <f t="shared" si="1659"/>
        <v>0</v>
      </c>
      <c r="CJ224" s="399">
        <v>0</v>
      </c>
      <c r="CK224" s="399">
        <f t="shared" ref="CK224:CO224" si="1660">-CK207</f>
        <v>0</v>
      </c>
      <c r="CL224" s="399">
        <f t="shared" si="1660"/>
        <v>0</v>
      </c>
      <c r="CM224" s="399">
        <f t="shared" si="1660"/>
        <v>0</v>
      </c>
      <c r="CN224" s="399">
        <f t="shared" si="1660"/>
        <v>0</v>
      </c>
      <c r="CO224" s="399">
        <f t="shared" si="1660"/>
        <v>0</v>
      </c>
    </row>
    <row r="225" spans="1:93" ht="13" x14ac:dyDescent="0.3">
      <c r="A225" s="366" t="str">
        <f>Language!$G226</f>
        <v>NCG: Necessidade de Capital de Giro</v>
      </c>
      <c r="B225" s="366">
        <f t="shared" ref="B225:M225" si="1661">SUM(B226,-B227)</f>
        <v>5260</v>
      </c>
      <c r="C225" s="366">
        <f t="shared" si="1661"/>
        <v>4777</v>
      </c>
      <c r="D225" s="366">
        <f t="shared" si="1661"/>
        <v>12480</v>
      </c>
      <c r="E225" s="367">
        <f t="shared" si="1661"/>
        <v>-4357</v>
      </c>
      <c r="F225" s="366">
        <f t="shared" si="1661"/>
        <v>-5056</v>
      </c>
      <c r="G225" s="366">
        <f t="shared" si="1661"/>
        <v>13809</v>
      </c>
      <c r="H225" s="366">
        <f t="shared" si="1661"/>
        <v>11830</v>
      </c>
      <c r="I225" s="367">
        <f t="shared" si="1661"/>
        <v>-29891</v>
      </c>
      <c r="J225" s="366">
        <f t="shared" si="1661"/>
        <v>-45660</v>
      </c>
      <c r="K225" s="366">
        <f t="shared" si="1661"/>
        <v>-110353</v>
      </c>
      <c r="L225" s="366">
        <f t="shared" si="1661"/>
        <v>-17193</v>
      </c>
      <c r="M225" s="367">
        <f t="shared" si="1661"/>
        <v>-5647</v>
      </c>
      <c r="N225" s="366">
        <f t="shared" ref="N225" si="1662">SUM(N226,-N227)</f>
        <v>55281</v>
      </c>
      <c r="O225" s="366">
        <f t="shared" ref="O225:Q225" si="1663">SUM(O226,-O227)</f>
        <v>-18405</v>
      </c>
      <c r="P225" s="366">
        <f t="shared" si="1663"/>
        <v>-31392</v>
      </c>
      <c r="Q225" s="367">
        <f t="shared" si="1663"/>
        <v>-132218</v>
      </c>
      <c r="R225" s="366">
        <v>-82527</v>
      </c>
      <c r="S225" s="366">
        <v>-49569</v>
      </c>
      <c r="T225" s="366">
        <v>-45532</v>
      </c>
      <c r="U225" s="366">
        <v>1456</v>
      </c>
      <c r="V225" s="366">
        <v>1744</v>
      </c>
      <c r="W225" s="366">
        <v>-45532</v>
      </c>
      <c r="X225" s="367">
        <v>1456</v>
      </c>
      <c r="Y225" s="366">
        <f t="shared" ref="Y225:Z225" si="1664">SUM(Y226,-Y227)</f>
        <v>1744</v>
      </c>
      <c r="Z225" s="367">
        <f t="shared" si="1664"/>
        <v>-19970</v>
      </c>
      <c r="AA225" s="366">
        <f>SUM(AA226,-AA227)</f>
        <v>-20458</v>
      </c>
      <c r="AB225" s="366">
        <f t="shared" ref="AB225:AB231" si="1665">AE225</f>
        <v>-14677</v>
      </c>
      <c r="AC225" s="366">
        <f>SUM(AC226,-AC227)</f>
        <v>-19970</v>
      </c>
      <c r="AD225" s="366">
        <f>SUM(AD226,-AD227)</f>
        <v>-20458</v>
      </c>
      <c r="AE225" s="367">
        <f>SUM(AE226,-AE227)</f>
        <v>-14677</v>
      </c>
      <c r="AF225" s="366">
        <f>SUM(AF226,-AF227)</f>
        <v>-24707</v>
      </c>
      <c r="AG225" s="367">
        <f t="shared" ref="AG225:AG231" si="1666">AJ225</f>
        <v>-20377</v>
      </c>
      <c r="AH225" s="366">
        <f t="shared" ref="AH225:AH231" si="1667">AK225</f>
        <v>-20049</v>
      </c>
      <c r="AI225" s="366">
        <f t="shared" ref="AI225:AI231" si="1668">AL225</f>
        <v>-15114</v>
      </c>
      <c r="AJ225" s="367">
        <f>SUM(AJ226,-AJ227)</f>
        <v>-20377</v>
      </c>
      <c r="AK225" s="367">
        <f>SUM(AK226,-AK227)</f>
        <v>-20049</v>
      </c>
      <c r="AL225" s="367">
        <f>SUM(AL226,-AL227)</f>
        <v>-15114</v>
      </c>
      <c r="AM225" s="366">
        <f>SUM(AM226,-AM227)</f>
        <v>-15966</v>
      </c>
      <c r="AN225" s="367">
        <f t="shared" ref="AN225:AN231" si="1669">AQ225</f>
        <v>-15472</v>
      </c>
      <c r="AO225" s="367">
        <f>AR225</f>
        <v>-13248</v>
      </c>
      <c r="AP225" s="367">
        <f>AS225</f>
        <v>-17333</v>
      </c>
      <c r="AQ225" s="367">
        <f t="shared" ref="AQ225:BA225" si="1670">SUM(AQ226,-AQ227)</f>
        <v>-15472</v>
      </c>
      <c r="AR225" s="366">
        <f t="shared" si="1670"/>
        <v>-13248</v>
      </c>
      <c r="AS225" s="367">
        <f t="shared" si="1670"/>
        <v>-17333</v>
      </c>
      <c r="AT225" s="366">
        <f t="shared" si="1670"/>
        <v>-5366</v>
      </c>
      <c r="AU225" s="366">
        <f t="shared" si="1670"/>
        <v>31868</v>
      </c>
      <c r="AV225" s="366">
        <f t="shared" si="1670"/>
        <v>-7245</v>
      </c>
      <c r="AW225" s="366">
        <f t="shared" si="1670"/>
        <v>-875</v>
      </c>
      <c r="AX225" s="366">
        <f t="shared" si="1670"/>
        <v>31868</v>
      </c>
      <c r="AY225" s="366">
        <f t="shared" si="1670"/>
        <v>-7245</v>
      </c>
      <c r="AZ225" s="366">
        <f t="shared" si="1670"/>
        <v>-875</v>
      </c>
      <c r="BA225" s="366">
        <f t="shared" si="1670"/>
        <v>469</v>
      </c>
      <c r="BB225" s="366">
        <f t="shared" ref="BB225:BD225" si="1671">SUM(BB226,-BB227)</f>
        <v>-943</v>
      </c>
      <c r="BC225" s="366">
        <f t="shared" si="1671"/>
        <v>765</v>
      </c>
      <c r="BD225" s="366">
        <f t="shared" si="1671"/>
        <v>4247</v>
      </c>
      <c r="BE225" s="366">
        <f>SUM(BE226,-BE227)</f>
        <v>-943</v>
      </c>
      <c r="BF225" s="366">
        <f>SUM(BF226,-BF227)</f>
        <v>765</v>
      </c>
      <c r="BG225" s="366">
        <f>SUM(BG226,-BG227)</f>
        <v>4247</v>
      </c>
      <c r="BH225" s="366">
        <f>SUM(BH226,-BH227)</f>
        <v>2034</v>
      </c>
      <c r="BI225" s="366">
        <f t="shared" ref="BI225:BL225" si="1672">SUM(BI226,-BI227)</f>
        <v>1617</v>
      </c>
      <c r="BJ225" s="366">
        <f t="shared" si="1672"/>
        <v>2466</v>
      </c>
      <c r="BK225" s="366">
        <f t="shared" si="1672"/>
        <v>-5585</v>
      </c>
      <c r="BL225" s="366">
        <f t="shared" si="1672"/>
        <v>1617</v>
      </c>
      <c r="BM225" s="366">
        <f t="shared" ref="BM225:BN225" si="1673">SUM(BM226,-BM227)</f>
        <v>2466</v>
      </c>
      <c r="BN225" s="366">
        <f t="shared" si="1673"/>
        <v>-5585</v>
      </c>
      <c r="BO225" s="366">
        <f t="shared" ref="BO225:BS225" si="1674">SUM(BO226,-BO227)</f>
        <v>-1826</v>
      </c>
      <c r="BP225" s="366">
        <f t="shared" si="1674"/>
        <v>2074</v>
      </c>
      <c r="BQ225" s="366">
        <f t="shared" si="1674"/>
        <v>-19421</v>
      </c>
      <c r="BR225" s="366">
        <f t="shared" si="1674"/>
        <v>-19454</v>
      </c>
      <c r="BS225" s="366">
        <f t="shared" si="1674"/>
        <v>2074</v>
      </c>
      <c r="BT225" s="366">
        <f t="shared" ref="BT225:BU225" si="1675">SUM(BT226,-BT227)</f>
        <v>-19421</v>
      </c>
      <c r="BU225" s="366">
        <f t="shared" si="1675"/>
        <v>-19454</v>
      </c>
      <c r="BV225" s="366">
        <f t="shared" ref="BV225:BZ225" si="1676">SUM(BV226,-BV227)</f>
        <v>-9421</v>
      </c>
      <c r="BW225" s="366">
        <f t="shared" si="1676"/>
        <v>-29228</v>
      </c>
      <c r="BX225" s="366">
        <f t="shared" si="1676"/>
        <v>-16998</v>
      </c>
      <c r="BY225" s="366">
        <f t="shared" si="1676"/>
        <v>-14627</v>
      </c>
      <c r="BZ225" s="366">
        <f t="shared" si="1676"/>
        <v>-29228</v>
      </c>
      <c r="CA225" s="366">
        <f t="shared" ref="CA225:CB225" si="1677">SUM(CA226,-CA227)</f>
        <v>-16998</v>
      </c>
      <c r="CB225" s="366">
        <f t="shared" si="1677"/>
        <v>-14627</v>
      </c>
      <c r="CC225" s="366">
        <f t="shared" ref="CC225:CD225" si="1678">SUM(CC226,-CC227)</f>
        <v>-11044</v>
      </c>
      <c r="CD225" s="366">
        <f t="shared" si="1678"/>
        <v>-6427</v>
      </c>
      <c r="CE225" s="366">
        <f t="shared" ref="CE225:CG225" si="1679">SUM(CE226,-CE227)</f>
        <v>-31414</v>
      </c>
      <c r="CF225" s="366">
        <f t="shared" si="1679"/>
        <v>-22028</v>
      </c>
      <c r="CG225" s="366">
        <f t="shared" si="1679"/>
        <v>-6427</v>
      </c>
      <c r="CH225" s="366">
        <f t="shared" ref="CH225:CI225" si="1680">SUM(CH226,-CH227)</f>
        <v>-31414</v>
      </c>
      <c r="CI225" s="366">
        <f t="shared" si="1680"/>
        <v>-22028</v>
      </c>
      <c r="CJ225" s="366">
        <v>-16336</v>
      </c>
      <c r="CK225" s="366">
        <f t="shared" ref="CK225:CO225" si="1681">SUM(CK226,-CK227)</f>
        <v>-49850</v>
      </c>
      <c r="CL225" s="366">
        <f t="shared" si="1681"/>
        <v>0</v>
      </c>
      <c r="CM225" s="366">
        <f t="shared" si="1681"/>
        <v>0</v>
      </c>
      <c r="CN225" s="366">
        <f t="shared" si="1681"/>
        <v>-49850</v>
      </c>
      <c r="CO225" s="366">
        <f t="shared" si="1681"/>
        <v>0</v>
      </c>
    </row>
    <row r="226" spans="1:93" x14ac:dyDescent="0.25">
      <c r="A226" s="326" t="str">
        <f>Language!$G227</f>
        <v>(+) Ativo Operacional Circulante</v>
      </c>
      <c r="B226" s="310">
        <f t="shared" ref="B226:Q226" si="1682">B7-SUM(B8,B9)</f>
        <v>22040</v>
      </c>
      <c r="C226" s="310">
        <f t="shared" si="1682"/>
        <v>26346</v>
      </c>
      <c r="D226" s="310">
        <f t="shared" si="1682"/>
        <v>33469</v>
      </c>
      <c r="E226" s="325">
        <f t="shared" si="1682"/>
        <v>43630</v>
      </c>
      <c r="F226" s="310">
        <f t="shared" si="1682"/>
        <v>50041</v>
      </c>
      <c r="G226" s="310">
        <f t="shared" si="1682"/>
        <v>64342</v>
      </c>
      <c r="H226" s="310">
        <f t="shared" si="1682"/>
        <v>66669</v>
      </c>
      <c r="I226" s="325">
        <f t="shared" si="1682"/>
        <v>43018</v>
      </c>
      <c r="J226" s="310">
        <f t="shared" si="1682"/>
        <v>41559</v>
      </c>
      <c r="K226" s="310">
        <f t="shared" si="1682"/>
        <v>33493</v>
      </c>
      <c r="L226" s="310">
        <f t="shared" si="1682"/>
        <v>30730</v>
      </c>
      <c r="M226" s="325">
        <f t="shared" si="1682"/>
        <v>44514</v>
      </c>
      <c r="N226" s="310">
        <f t="shared" si="1682"/>
        <v>117299</v>
      </c>
      <c r="O226" s="310">
        <f t="shared" si="1682"/>
        <v>33897</v>
      </c>
      <c r="P226" s="310">
        <f t="shared" si="1682"/>
        <v>28334</v>
      </c>
      <c r="Q226" s="325">
        <f t="shared" si="1682"/>
        <v>27004</v>
      </c>
      <c r="R226" s="310">
        <v>57456</v>
      </c>
      <c r="S226" s="310">
        <v>33956</v>
      </c>
      <c r="T226" s="310">
        <v>-9065</v>
      </c>
      <c r="U226" s="310">
        <v>7582</v>
      </c>
      <c r="V226" s="310">
        <v>9403</v>
      </c>
      <c r="W226" s="310">
        <v>-9065</v>
      </c>
      <c r="X226" s="325">
        <v>7582</v>
      </c>
      <c r="Y226" s="310">
        <f>Y7-SUM(Y8,Y9)</f>
        <v>9403</v>
      </c>
      <c r="Z226" s="325">
        <f>Z7-SUM(Z8,Z9)</f>
        <v>12209</v>
      </c>
      <c r="AA226" s="310">
        <f>AA7-SUM(AA8,AA9)</f>
        <v>13047</v>
      </c>
      <c r="AB226" s="310">
        <f t="shared" si="1665"/>
        <v>16780</v>
      </c>
      <c r="AC226" s="310">
        <f>AC7-SUM(AC8,AC9)</f>
        <v>12209</v>
      </c>
      <c r="AD226" s="310">
        <f>AD7-SUM(AD8,AD9)</f>
        <v>13047</v>
      </c>
      <c r="AE226" s="325">
        <f>AE7-SUM(AE8,AE9)</f>
        <v>16780</v>
      </c>
      <c r="AF226" s="310">
        <f>AF7-SUM(AF8,AF9)</f>
        <v>8189</v>
      </c>
      <c r="AG226" s="325">
        <f t="shared" si="1666"/>
        <v>9139</v>
      </c>
      <c r="AH226" s="310">
        <f t="shared" si="1667"/>
        <v>11088</v>
      </c>
      <c r="AI226" s="310">
        <f t="shared" si="1668"/>
        <v>9599</v>
      </c>
      <c r="AJ226" s="325">
        <f>AJ7-SUM(AJ8,AJ9)</f>
        <v>9139</v>
      </c>
      <c r="AK226" s="325">
        <f>AK7-SUM(AK8,AK9)</f>
        <v>11088</v>
      </c>
      <c r="AL226" s="325">
        <f>AL7-SUM(AL8,AL9)</f>
        <v>9599</v>
      </c>
      <c r="AM226" s="310">
        <f>AM7-SUM(AM8,AM9)</f>
        <v>9689</v>
      </c>
      <c r="AN226" s="325">
        <f t="shared" si="1669"/>
        <v>9417</v>
      </c>
      <c r="AO226" s="325">
        <f t="shared" ref="AO226:AP231" si="1683">AR226</f>
        <v>17417</v>
      </c>
      <c r="AP226" s="325">
        <f t="shared" si="1683"/>
        <v>13264</v>
      </c>
      <c r="AQ226" s="325">
        <f t="shared" ref="AQ226:BS226" si="1684">AQ7-SUM(AQ8,AQ9)</f>
        <v>9417</v>
      </c>
      <c r="AR226" s="310">
        <f t="shared" si="1684"/>
        <v>17417</v>
      </c>
      <c r="AS226" s="325">
        <f t="shared" si="1684"/>
        <v>13264</v>
      </c>
      <c r="AT226" s="310">
        <f t="shared" si="1684"/>
        <v>15064</v>
      </c>
      <c r="AU226" s="310">
        <f t="shared" si="1684"/>
        <v>49608</v>
      </c>
      <c r="AV226" s="310">
        <f t="shared" si="1684"/>
        <v>22600</v>
      </c>
      <c r="AW226" s="310">
        <f t="shared" si="1684"/>
        <v>12266</v>
      </c>
      <c r="AX226" s="310">
        <f t="shared" si="1684"/>
        <v>49608</v>
      </c>
      <c r="AY226" s="310">
        <f t="shared" si="1684"/>
        <v>22600</v>
      </c>
      <c r="AZ226" s="310">
        <f t="shared" si="1684"/>
        <v>12266</v>
      </c>
      <c r="BA226" s="310">
        <f t="shared" si="1684"/>
        <v>15072</v>
      </c>
      <c r="BB226" s="310">
        <f t="shared" si="1684"/>
        <v>17717</v>
      </c>
      <c r="BC226" s="310">
        <f t="shared" si="1684"/>
        <v>24664</v>
      </c>
      <c r="BD226" s="310">
        <f t="shared" si="1684"/>
        <v>14950</v>
      </c>
      <c r="BE226" s="310">
        <f t="shared" si="1684"/>
        <v>17717</v>
      </c>
      <c r="BF226" s="310">
        <f t="shared" si="1684"/>
        <v>24664</v>
      </c>
      <c r="BG226" s="310">
        <f t="shared" si="1684"/>
        <v>14950</v>
      </c>
      <c r="BH226" s="310">
        <f t="shared" si="1684"/>
        <v>16112</v>
      </c>
      <c r="BI226" s="310">
        <f t="shared" si="1684"/>
        <v>19725</v>
      </c>
      <c r="BJ226" s="310">
        <f t="shared" si="1684"/>
        <v>25543</v>
      </c>
      <c r="BK226" s="310">
        <f t="shared" si="1684"/>
        <v>14338</v>
      </c>
      <c r="BL226" s="310">
        <f t="shared" si="1684"/>
        <v>19725</v>
      </c>
      <c r="BM226" s="310">
        <f t="shared" si="1684"/>
        <v>25543</v>
      </c>
      <c r="BN226" s="310">
        <f t="shared" si="1684"/>
        <v>14338</v>
      </c>
      <c r="BO226" s="310">
        <f t="shared" si="1684"/>
        <v>17500</v>
      </c>
      <c r="BP226" s="310">
        <f t="shared" si="1684"/>
        <v>22152</v>
      </c>
      <c r="BQ226" s="310">
        <f t="shared" si="1684"/>
        <v>28921</v>
      </c>
      <c r="BR226" s="310">
        <f t="shared" si="1684"/>
        <v>16265</v>
      </c>
      <c r="BS226" s="310">
        <f t="shared" si="1684"/>
        <v>22152</v>
      </c>
      <c r="BT226" s="310">
        <f t="shared" ref="BT226:BU226" si="1685">BT7-SUM(BT8,BT9)</f>
        <v>28921</v>
      </c>
      <c r="BU226" s="310">
        <f t="shared" si="1685"/>
        <v>16265</v>
      </c>
      <c r="BV226" s="310">
        <f t="shared" ref="BV226:BZ226" si="1686">BV7-SUM(BV8,BV9)</f>
        <v>21653</v>
      </c>
      <c r="BW226" s="310">
        <f t="shared" si="1686"/>
        <v>25543</v>
      </c>
      <c r="BX226" s="310">
        <f t="shared" si="1686"/>
        <v>30600</v>
      </c>
      <c r="BY226" s="310">
        <f t="shared" si="1686"/>
        <v>21635</v>
      </c>
      <c r="BZ226" s="310">
        <f t="shared" si="1686"/>
        <v>25543</v>
      </c>
      <c r="CA226" s="310">
        <f t="shared" ref="CA226:CB226" si="1687">CA7-SUM(CA8,CA9)</f>
        <v>30600</v>
      </c>
      <c r="CB226" s="310">
        <f t="shared" si="1687"/>
        <v>21635</v>
      </c>
      <c r="CC226" s="310">
        <f t="shared" ref="CC226:CD226" si="1688">CC7-SUM(CC8,CC9)</f>
        <v>33099</v>
      </c>
      <c r="CD226" s="310">
        <f t="shared" si="1688"/>
        <v>24919</v>
      </c>
      <c r="CE226" s="310">
        <f t="shared" ref="CE226:CG226" si="1689">CE7-SUM(CE8,CE9)</f>
        <v>30644</v>
      </c>
      <c r="CF226" s="310">
        <f t="shared" si="1689"/>
        <v>17635</v>
      </c>
      <c r="CG226" s="310">
        <f t="shared" si="1689"/>
        <v>24919</v>
      </c>
      <c r="CH226" s="310">
        <f t="shared" ref="CH226:CI226" si="1690">CH7-SUM(CH8,CH9)</f>
        <v>30644</v>
      </c>
      <c r="CI226" s="310">
        <f t="shared" si="1690"/>
        <v>17635</v>
      </c>
      <c r="CJ226" s="310">
        <v>22222</v>
      </c>
      <c r="CK226" s="310">
        <f t="shared" ref="CK226:CO226" si="1691">CK7-SUM(CK8,CK9)</f>
        <v>44703</v>
      </c>
      <c r="CL226" s="310">
        <f t="shared" si="1691"/>
        <v>0</v>
      </c>
      <c r="CM226" s="310">
        <f t="shared" si="1691"/>
        <v>0</v>
      </c>
      <c r="CN226" s="310">
        <f t="shared" si="1691"/>
        <v>44703</v>
      </c>
      <c r="CO226" s="310">
        <f t="shared" si="1691"/>
        <v>0</v>
      </c>
    </row>
    <row r="227" spans="1:93" x14ac:dyDescent="0.25">
      <c r="A227" s="398" t="str">
        <f>Language!$G228</f>
        <v>(-) Passivo Operacional Circulante</v>
      </c>
      <c r="B227" s="399">
        <f t="shared" ref="B227:Q227" si="1692">B26-SUM(B28,B29,B30)</f>
        <v>16780</v>
      </c>
      <c r="C227" s="399">
        <f t="shared" si="1692"/>
        <v>21569</v>
      </c>
      <c r="D227" s="399">
        <f t="shared" si="1692"/>
        <v>20989</v>
      </c>
      <c r="E227" s="400">
        <f t="shared" si="1692"/>
        <v>47987</v>
      </c>
      <c r="F227" s="399">
        <f t="shared" si="1692"/>
        <v>55097</v>
      </c>
      <c r="G227" s="399">
        <f t="shared" si="1692"/>
        <v>50533</v>
      </c>
      <c r="H227" s="399">
        <f t="shared" si="1692"/>
        <v>54839</v>
      </c>
      <c r="I227" s="400">
        <f t="shared" si="1692"/>
        <v>72909</v>
      </c>
      <c r="J227" s="399">
        <f t="shared" si="1692"/>
        <v>87219</v>
      </c>
      <c r="K227" s="399">
        <f t="shared" si="1692"/>
        <v>143846</v>
      </c>
      <c r="L227" s="399">
        <f t="shared" si="1692"/>
        <v>47923</v>
      </c>
      <c r="M227" s="400">
        <f t="shared" si="1692"/>
        <v>50161</v>
      </c>
      <c r="N227" s="399">
        <f t="shared" si="1692"/>
        <v>62018</v>
      </c>
      <c r="O227" s="399">
        <f t="shared" si="1692"/>
        <v>52302</v>
      </c>
      <c r="P227" s="399">
        <f t="shared" si="1692"/>
        <v>59726</v>
      </c>
      <c r="Q227" s="400">
        <f t="shared" si="1692"/>
        <v>159222</v>
      </c>
      <c r="R227" s="399">
        <v>139983</v>
      </c>
      <c r="S227" s="399">
        <v>83525</v>
      </c>
      <c r="T227" s="399">
        <v>36467</v>
      </c>
      <c r="U227" s="399">
        <v>6126</v>
      </c>
      <c r="V227" s="399">
        <v>7659</v>
      </c>
      <c r="W227" s="399">
        <v>36467</v>
      </c>
      <c r="X227" s="400">
        <v>6126</v>
      </c>
      <c r="Y227" s="399">
        <f>Y26-SUM(Y28,Y29,Y30)</f>
        <v>7659</v>
      </c>
      <c r="Z227" s="400">
        <f>Z26-SUM(Z28,Z29,Z30)</f>
        <v>32179</v>
      </c>
      <c r="AA227" s="399">
        <f>AA26-SUM(AA28,AA29,AA30)</f>
        <v>33505</v>
      </c>
      <c r="AB227" s="399">
        <f t="shared" si="1665"/>
        <v>31457</v>
      </c>
      <c r="AC227" s="399">
        <f>AC26-SUM(AC28,AC29,AC30)</f>
        <v>32179</v>
      </c>
      <c r="AD227" s="399">
        <f>AD26-SUM(AD28,AD29,AD30)</f>
        <v>33505</v>
      </c>
      <c r="AE227" s="400">
        <f>AE26-SUM(AE28,AE29,AE30)</f>
        <v>31457</v>
      </c>
      <c r="AF227" s="399">
        <f>AF26-SUM(AF28,AF29,AF30)</f>
        <v>32896</v>
      </c>
      <c r="AG227" s="400">
        <f t="shared" si="1666"/>
        <v>29516</v>
      </c>
      <c r="AH227" s="399">
        <f t="shared" si="1667"/>
        <v>31137</v>
      </c>
      <c r="AI227" s="399">
        <f t="shared" si="1668"/>
        <v>24713</v>
      </c>
      <c r="AJ227" s="400">
        <f>AJ26-SUM(AJ28,AJ29,AJ30)</f>
        <v>29516</v>
      </c>
      <c r="AK227" s="400">
        <f>AK26-SUM(AK28,AK29,AK30)</f>
        <v>31137</v>
      </c>
      <c r="AL227" s="400">
        <f>AL26-SUM(AL28,AL29,AL30)</f>
        <v>24713</v>
      </c>
      <c r="AM227" s="399">
        <f>AM26-SUM(AM28,AM29,AM30)</f>
        <v>25655</v>
      </c>
      <c r="AN227" s="400">
        <f t="shared" si="1669"/>
        <v>24889</v>
      </c>
      <c r="AO227" s="400">
        <f t="shared" si="1683"/>
        <v>30665</v>
      </c>
      <c r="AP227" s="400">
        <f t="shared" si="1683"/>
        <v>30597</v>
      </c>
      <c r="AQ227" s="400">
        <f t="shared" ref="AQ227:BS227" si="1693">AQ26-SUM(AQ28,AQ29,AQ30)</f>
        <v>24889</v>
      </c>
      <c r="AR227" s="399">
        <f t="shared" si="1693"/>
        <v>30665</v>
      </c>
      <c r="AS227" s="400">
        <f t="shared" si="1693"/>
        <v>30597</v>
      </c>
      <c r="AT227" s="399">
        <f t="shared" si="1693"/>
        <v>20430</v>
      </c>
      <c r="AU227" s="399">
        <f t="shared" si="1693"/>
        <v>17740</v>
      </c>
      <c r="AV227" s="399">
        <f t="shared" si="1693"/>
        <v>29845</v>
      </c>
      <c r="AW227" s="399">
        <f t="shared" si="1693"/>
        <v>13141</v>
      </c>
      <c r="AX227" s="399">
        <f t="shared" si="1693"/>
        <v>17740</v>
      </c>
      <c r="AY227" s="399">
        <f t="shared" si="1693"/>
        <v>29845</v>
      </c>
      <c r="AZ227" s="399">
        <f t="shared" si="1693"/>
        <v>13141</v>
      </c>
      <c r="BA227" s="399">
        <f t="shared" si="1693"/>
        <v>14603</v>
      </c>
      <c r="BB227" s="399">
        <f t="shared" si="1693"/>
        <v>18660</v>
      </c>
      <c r="BC227" s="399">
        <f t="shared" si="1693"/>
        <v>23899</v>
      </c>
      <c r="BD227" s="399">
        <f t="shared" si="1693"/>
        <v>10703</v>
      </c>
      <c r="BE227" s="399">
        <f t="shared" si="1693"/>
        <v>18660</v>
      </c>
      <c r="BF227" s="399">
        <f t="shared" si="1693"/>
        <v>23899</v>
      </c>
      <c r="BG227" s="399">
        <f t="shared" si="1693"/>
        <v>10703</v>
      </c>
      <c r="BH227" s="399">
        <f t="shared" si="1693"/>
        <v>14078</v>
      </c>
      <c r="BI227" s="399">
        <f t="shared" si="1693"/>
        <v>18108</v>
      </c>
      <c r="BJ227" s="399">
        <f t="shared" si="1693"/>
        <v>23077</v>
      </c>
      <c r="BK227" s="399">
        <f t="shared" si="1693"/>
        <v>19923</v>
      </c>
      <c r="BL227" s="399">
        <f t="shared" si="1693"/>
        <v>18108</v>
      </c>
      <c r="BM227" s="399">
        <f t="shared" si="1693"/>
        <v>23077</v>
      </c>
      <c r="BN227" s="399">
        <f t="shared" si="1693"/>
        <v>19923</v>
      </c>
      <c r="BO227" s="399">
        <f t="shared" si="1693"/>
        <v>19326</v>
      </c>
      <c r="BP227" s="399">
        <f t="shared" si="1693"/>
        <v>20078</v>
      </c>
      <c r="BQ227" s="399">
        <f t="shared" si="1693"/>
        <v>48342</v>
      </c>
      <c r="BR227" s="399">
        <f t="shared" si="1693"/>
        <v>35719</v>
      </c>
      <c r="BS227" s="399">
        <f t="shared" si="1693"/>
        <v>20078</v>
      </c>
      <c r="BT227" s="399">
        <f t="shared" ref="BT227:BU227" si="1694">BT26-SUM(BT28,BT29,BT30)</f>
        <v>48342</v>
      </c>
      <c r="BU227" s="399">
        <f t="shared" si="1694"/>
        <v>35719</v>
      </c>
      <c r="BV227" s="399">
        <f t="shared" ref="BV227:BZ227" si="1695">BV26-SUM(BV28,BV29,BV30)</f>
        <v>31074</v>
      </c>
      <c r="BW227" s="399">
        <f t="shared" si="1695"/>
        <v>54771</v>
      </c>
      <c r="BX227" s="399">
        <f t="shared" si="1695"/>
        <v>47598</v>
      </c>
      <c r="BY227" s="399">
        <f t="shared" si="1695"/>
        <v>36262</v>
      </c>
      <c r="BZ227" s="399">
        <f t="shared" si="1695"/>
        <v>54771</v>
      </c>
      <c r="CA227" s="399">
        <f t="shared" ref="CA227:CB227" si="1696">CA26-SUM(CA28,CA29,CA30)</f>
        <v>47598</v>
      </c>
      <c r="CB227" s="399">
        <f t="shared" si="1696"/>
        <v>36262</v>
      </c>
      <c r="CC227" s="399">
        <f t="shared" ref="CC227:CD227" si="1697">CC26-SUM(CC28,CC29,CC30)</f>
        <v>44143</v>
      </c>
      <c r="CD227" s="399">
        <f t="shared" si="1697"/>
        <v>31346</v>
      </c>
      <c r="CE227" s="399">
        <f t="shared" ref="CE227:CG227" si="1698">CE26-SUM(CE28,CE29,CE30)</f>
        <v>62058</v>
      </c>
      <c r="CF227" s="399">
        <f t="shared" si="1698"/>
        <v>39663</v>
      </c>
      <c r="CG227" s="399">
        <f t="shared" si="1698"/>
        <v>31346</v>
      </c>
      <c r="CH227" s="399">
        <f t="shared" ref="CH227:CI227" si="1699">CH26-SUM(CH28,CH29,CH30)</f>
        <v>62058</v>
      </c>
      <c r="CI227" s="399">
        <f t="shared" si="1699"/>
        <v>39663</v>
      </c>
      <c r="CJ227" s="399">
        <v>38558</v>
      </c>
      <c r="CK227" s="399">
        <f t="shared" ref="CK227:CO227" si="1700">CK26-SUM(CK28,CK29,CK30)</f>
        <v>94553</v>
      </c>
      <c r="CL227" s="399">
        <f t="shared" si="1700"/>
        <v>0</v>
      </c>
      <c r="CM227" s="399">
        <f t="shared" si="1700"/>
        <v>0</v>
      </c>
      <c r="CN227" s="399">
        <f t="shared" si="1700"/>
        <v>94553</v>
      </c>
      <c r="CO227" s="399">
        <f t="shared" si="1700"/>
        <v>0</v>
      </c>
    </row>
    <row r="228" spans="1:93" ht="13" x14ac:dyDescent="0.3">
      <c r="A228" s="366" t="str">
        <f>Language!$G229</f>
        <v>Ativo Operacional</v>
      </c>
      <c r="B228" s="366">
        <f t="shared" ref="B228:M228" si="1701">SUM(B229,B230,B231)</f>
        <v>690713</v>
      </c>
      <c r="C228" s="366">
        <f t="shared" si="1701"/>
        <v>750910</v>
      </c>
      <c r="D228" s="366">
        <f t="shared" si="1701"/>
        <v>787111</v>
      </c>
      <c r="E228" s="367">
        <f t="shared" si="1701"/>
        <v>849860</v>
      </c>
      <c r="F228" s="366">
        <f t="shared" si="1701"/>
        <v>936579</v>
      </c>
      <c r="G228" s="366">
        <f t="shared" si="1701"/>
        <v>1037806</v>
      </c>
      <c r="H228" s="366">
        <f t="shared" si="1701"/>
        <v>1158371</v>
      </c>
      <c r="I228" s="367">
        <f t="shared" si="1701"/>
        <v>1264589</v>
      </c>
      <c r="J228" s="366">
        <f t="shared" si="1701"/>
        <v>1391819</v>
      </c>
      <c r="K228" s="366">
        <f t="shared" si="1701"/>
        <v>1424995</v>
      </c>
      <c r="L228" s="366">
        <f t="shared" si="1701"/>
        <v>1594277</v>
      </c>
      <c r="M228" s="367">
        <f t="shared" si="1701"/>
        <v>1648952</v>
      </c>
      <c r="N228" s="366">
        <f t="shared" ref="N228" si="1702">SUM(N229,N230,N231)</f>
        <v>1703919</v>
      </c>
      <c r="O228" s="366">
        <f t="shared" ref="O228:Q228" si="1703">SUM(O229,O230,O231)</f>
        <v>1623998</v>
      </c>
      <c r="P228" s="366">
        <f t="shared" si="1703"/>
        <v>1605679</v>
      </c>
      <c r="Q228" s="367">
        <f t="shared" si="1703"/>
        <v>1500874</v>
      </c>
      <c r="R228" s="366">
        <v>1536673</v>
      </c>
      <c r="S228" s="366">
        <v>1555710</v>
      </c>
      <c r="T228" s="366">
        <v>1544053</v>
      </c>
      <c r="U228" s="366">
        <v>14458</v>
      </c>
      <c r="V228" s="366">
        <v>14920</v>
      </c>
      <c r="W228" s="366">
        <v>1544053</v>
      </c>
      <c r="X228" s="367">
        <v>14458</v>
      </c>
      <c r="Y228" s="366">
        <f t="shared" ref="Y228:Z228" si="1704">SUM(Y229,Y230,Y231)</f>
        <v>14920</v>
      </c>
      <c r="Z228" s="367">
        <f t="shared" si="1704"/>
        <v>-31</v>
      </c>
      <c r="AA228" s="366">
        <f>SUM(AA229,AA230,AA231)</f>
        <v>3583</v>
      </c>
      <c r="AB228" s="366">
        <f t="shared" si="1665"/>
        <v>-3310</v>
      </c>
      <c r="AC228" s="366">
        <f>SUM(AC229,AC230,AC231)</f>
        <v>-31</v>
      </c>
      <c r="AD228" s="366">
        <f>SUM(AD229,AD230,AD231)</f>
        <v>3583</v>
      </c>
      <c r="AE228" s="367">
        <f>SUM(AE229,AE230,AE231)</f>
        <v>-3310</v>
      </c>
      <c r="AF228" s="366">
        <f>SUM(AF229,AF230,AF231)</f>
        <v>-2917</v>
      </c>
      <c r="AG228" s="367">
        <f t="shared" si="1666"/>
        <v>5866</v>
      </c>
      <c r="AH228" s="366">
        <f t="shared" si="1667"/>
        <v>6764</v>
      </c>
      <c r="AI228" s="366">
        <f t="shared" si="1668"/>
        <v>12042</v>
      </c>
      <c r="AJ228" s="367">
        <f>SUM(AJ229,AJ230,AJ231)</f>
        <v>5866</v>
      </c>
      <c r="AK228" s="367">
        <f>SUM(AK229,AK230,AK231)</f>
        <v>6764</v>
      </c>
      <c r="AL228" s="367">
        <f>SUM(AL229,AL230,AL231)</f>
        <v>12042</v>
      </c>
      <c r="AM228" s="366">
        <f>SUM(AM229,AM230,AM231)</f>
        <v>11149</v>
      </c>
      <c r="AN228" s="367">
        <f t="shared" si="1669"/>
        <v>11593</v>
      </c>
      <c r="AO228" s="367">
        <f t="shared" si="1683"/>
        <v>13640</v>
      </c>
      <c r="AP228" s="367">
        <f t="shared" si="1683"/>
        <v>8161</v>
      </c>
      <c r="AQ228" s="367">
        <f t="shared" ref="AQ228:BA228" si="1705">SUM(AQ229,AQ230,AQ231)</f>
        <v>11593</v>
      </c>
      <c r="AR228" s="366">
        <f t="shared" si="1705"/>
        <v>13640</v>
      </c>
      <c r="AS228" s="367">
        <f t="shared" si="1705"/>
        <v>8161</v>
      </c>
      <c r="AT228" s="366">
        <f t="shared" si="1705"/>
        <v>20817</v>
      </c>
      <c r="AU228" s="366">
        <f t="shared" si="1705"/>
        <v>59026</v>
      </c>
      <c r="AV228" s="366">
        <f t="shared" si="1705"/>
        <v>19878</v>
      </c>
      <c r="AW228" s="366">
        <f t="shared" si="1705"/>
        <v>27959</v>
      </c>
      <c r="AX228" s="366">
        <f t="shared" si="1705"/>
        <v>59026</v>
      </c>
      <c r="AY228" s="366">
        <f t="shared" si="1705"/>
        <v>19878</v>
      </c>
      <c r="AZ228" s="366">
        <f t="shared" si="1705"/>
        <v>27959</v>
      </c>
      <c r="BA228" s="366">
        <f t="shared" si="1705"/>
        <v>29982</v>
      </c>
      <c r="BB228" s="366">
        <f t="shared" ref="BB228:BD228" si="1706">SUM(BB229,BB230,BB231)</f>
        <v>29074</v>
      </c>
      <c r="BC228" s="366">
        <f t="shared" si="1706"/>
        <v>31152</v>
      </c>
      <c r="BD228" s="366">
        <f t="shared" si="1706"/>
        <v>35016</v>
      </c>
      <c r="BE228" s="366">
        <f>SUM(BE229,BE230,BE231)</f>
        <v>29074</v>
      </c>
      <c r="BF228" s="366">
        <f>SUM(BF229,BF230,BF231)</f>
        <v>31152</v>
      </c>
      <c r="BG228" s="366">
        <f>SUM(BG229,BG230,BG231)</f>
        <v>35016</v>
      </c>
      <c r="BH228" s="366">
        <f>SUM(BH229,BH230,BH231)</f>
        <v>34269</v>
      </c>
      <c r="BI228" s="366">
        <f t="shared" ref="BI228:BL228" si="1707">SUM(BI229,BI230,BI231)</f>
        <v>35531</v>
      </c>
      <c r="BJ228" s="366">
        <f t="shared" si="1707"/>
        <v>36616</v>
      </c>
      <c r="BK228" s="366">
        <f t="shared" si="1707"/>
        <v>29654</v>
      </c>
      <c r="BL228" s="366">
        <f t="shared" si="1707"/>
        <v>35531</v>
      </c>
      <c r="BM228" s="366">
        <f t="shared" ref="BM228:BN228" si="1708">SUM(BM229,BM230,BM231)</f>
        <v>36616</v>
      </c>
      <c r="BN228" s="366">
        <f t="shared" si="1708"/>
        <v>29654</v>
      </c>
      <c r="BO228" s="366">
        <f t="shared" ref="BO228:BS228" si="1709">SUM(BO229,BO230,BO231)</f>
        <v>33224</v>
      </c>
      <c r="BP228" s="366">
        <f t="shared" si="1709"/>
        <v>37938</v>
      </c>
      <c r="BQ228" s="366">
        <f t="shared" si="1709"/>
        <v>17472</v>
      </c>
      <c r="BR228" s="366">
        <f t="shared" si="1709"/>
        <v>35350</v>
      </c>
      <c r="BS228" s="366">
        <f t="shared" si="1709"/>
        <v>37938</v>
      </c>
      <c r="BT228" s="366">
        <f t="shared" ref="BT228:BU228" si="1710">SUM(BT229,BT230,BT231)</f>
        <v>17472</v>
      </c>
      <c r="BU228" s="366">
        <f t="shared" si="1710"/>
        <v>35350</v>
      </c>
      <c r="BV228" s="366">
        <f t="shared" ref="BV228:BZ228" si="1711">SUM(BV229,BV230,BV231)</f>
        <v>44974</v>
      </c>
      <c r="BW228" s="366">
        <f t="shared" si="1711"/>
        <v>26161</v>
      </c>
      <c r="BX228" s="366">
        <f t="shared" si="1711"/>
        <v>37017</v>
      </c>
      <c r="BY228" s="366">
        <f t="shared" si="1711"/>
        <v>39028</v>
      </c>
      <c r="BZ228" s="366">
        <f t="shared" si="1711"/>
        <v>26161</v>
      </c>
      <c r="CA228" s="366">
        <f t="shared" ref="CA228:CB228" si="1712">SUM(CA229,CA230,CA231)</f>
        <v>37017</v>
      </c>
      <c r="CB228" s="366">
        <f t="shared" si="1712"/>
        <v>39028</v>
      </c>
      <c r="CC228" s="366">
        <f t="shared" ref="CC228:CD228" si="1713">SUM(CC229,CC230,CC231)</f>
        <v>41691</v>
      </c>
      <c r="CD228" s="366">
        <f t="shared" si="1713"/>
        <v>46131</v>
      </c>
      <c r="CE228" s="366">
        <f t="shared" ref="CE228:CG228" si="1714">SUM(CE229,CE230,CE231)</f>
        <v>21181</v>
      </c>
      <c r="CF228" s="366">
        <f t="shared" si="1714"/>
        <v>31854</v>
      </c>
      <c r="CG228" s="366">
        <f t="shared" si="1714"/>
        <v>46131</v>
      </c>
      <c r="CH228" s="366">
        <f t="shared" ref="CH228:CI228" si="1715">SUM(CH229,CH230,CH231)</f>
        <v>21181</v>
      </c>
      <c r="CI228" s="366">
        <f t="shared" si="1715"/>
        <v>31854</v>
      </c>
      <c r="CJ228" s="366">
        <v>37465</v>
      </c>
      <c r="CK228" s="366">
        <f t="shared" ref="CK228:CO228" si="1716">SUM(CK229,CK230,CK231)</f>
        <v>3105</v>
      </c>
      <c r="CL228" s="366">
        <f t="shared" si="1716"/>
        <v>0</v>
      </c>
      <c r="CM228" s="366">
        <f t="shared" si="1716"/>
        <v>0</v>
      </c>
      <c r="CN228" s="366">
        <f t="shared" si="1716"/>
        <v>3105</v>
      </c>
      <c r="CO228" s="366">
        <f t="shared" si="1716"/>
        <v>0</v>
      </c>
    </row>
    <row r="229" spans="1:93" x14ac:dyDescent="0.25">
      <c r="A229" s="326" t="str">
        <f>Language!$G230</f>
        <v>(+)  Imobilizado Líquido</v>
      </c>
      <c r="B229" s="310">
        <f t="shared" ref="B229:Q229" si="1717">B23</f>
        <v>653963</v>
      </c>
      <c r="C229" s="310">
        <f t="shared" si="1717"/>
        <v>647624</v>
      </c>
      <c r="D229" s="310">
        <f t="shared" si="1717"/>
        <v>763329</v>
      </c>
      <c r="E229" s="325">
        <f t="shared" si="1717"/>
        <v>844893</v>
      </c>
      <c r="F229" s="310">
        <f t="shared" si="1717"/>
        <v>927621</v>
      </c>
      <c r="G229" s="310">
        <f t="shared" si="1717"/>
        <v>1008795</v>
      </c>
      <c r="H229" s="310">
        <f t="shared" si="1717"/>
        <v>1129919</v>
      </c>
      <c r="I229" s="325">
        <f t="shared" si="1717"/>
        <v>1275300</v>
      </c>
      <c r="J229" s="310">
        <f t="shared" si="1717"/>
        <v>1414855</v>
      </c>
      <c r="K229" s="310">
        <f t="shared" si="1717"/>
        <v>1510608</v>
      </c>
      <c r="L229" s="310">
        <f t="shared" si="1717"/>
        <v>1582781</v>
      </c>
      <c r="M229" s="325">
        <f t="shared" si="1717"/>
        <v>1636533</v>
      </c>
      <c r="N229" s="310">
        <f t="shared" si="1717"/>
        <v>1630650</v>
      </c>
      <c r="O229" s="310">
        <f t="shared" si="1717"/>
        <v>1642317</v>
      </c>
      <c r="P229" s="310">
        <f t="shared" si="1717"/>
        <v>1636973</v>
      </c>
      <c r="Q229" s="325">
        <f t="shared" si="1717"/>
        <v>1632183</v>
      </c>
      <c r="R229" s="310">
        <v>1618196</v>
      </c>
      <c r="S229" s="310">
        <v>1604227</v>
      </c>
      <c r="T229" s="310">
        <v>1588462</v>
      </c>
      <c r="U229" s="310">
        <v>12372</v>
      </c>
      <c r="V229" s="310">
        <v>12578</v>
      </c>
      <c r="W229" s="310">
        <v>1588462</v>
      </c>
      <c r="X229" s="325">
        <v>12372</v>
      </c>
      <c r="Y229" s="310">
        <f t="shared" ref="Y229:AA230" si="1718">Y23</f>
        <v>12578</v>
      </c>
      <c r="Z229" s="325">
        <f t="shared" si="1718"/>
        <v>12829</v>
      </c>
      <c r="AA229" s="310">
        <f t="shared" si="1718"/>
        <v>16943</v>
      </c>
      <c r="AB229" s="310">
        <f t="shared" si="1665"/>
        <v>10684</v>
      </c>
      <c r="AC229" s="310">
        <f t="shared" ref="AC229:AF230" si="1719">AC23</f>
        <v>12829</v>
      </c>
      <c r="AD229" s="310">
        <f t="shared" si="1719"/>
        <v>16943</v>
      </c>
      <c r="AE229" s="325">
        <f t="shared" si="1719"/>
        <v>10684</v>
      </c>
      <c r="AF229" s="310">
        <f t="shared" si="1719"/>
        <v>14651</v>
      </c>
      <c r="AG229" s="325">
        <f t="shared" si="1666"/>
        <v>19151</v>
      </c>
      <c r="AH229" s="310">
        <f t="shared" si="1667"/>
        <v>19774</v>
      </c>
      <c r="AI229" s="310">
        <f t="shared" si="1668"/>
        <v>20168</v>
      </c>
      <c r="AJ229" s="325">
        <f t="shared" ref="AJ229:AM230" si="1720">AJ23</f>
        <v>19151</v>
      </c>
      <c r="AK229" s="325">
        <f t="shared" si="1720"/>
        <v>19774</v>
      </c>
      <c r="AL229" s="325">
        <f t="shared" si="1720"/>
        <v>20168</v>
      </c>
      <c r="AM229" s="310">
        <f t="shared" si="1720"/>
        <v>20179</v>
      </c>
      <c r="AN229" s="325">
        <f t="shared" si="1669"/>
        <v>20184</v>
      </c>
      <c r="AO229" s="325">
        <f t="shared" si="1683"/>
        <v>20057</v>
      </c>
      <c r="AP229" s="325">
        <f t="shared" si="1683"/>
        <v>18551</v>
      </c>
      <c r="AQ229" s="325">
        <f t="shared" ref="AQ229:BS229" si="1721">AQ23</f>
        <v>20184</v>
      </c>
      <c r="AR229" s="310">
        <f t="shared" si="1721"/>
        <v>20057</v>
      </c>
      <c r="AS229" s="325">
        <f t="shared" si="1721"/>
        <v>18551</v>
      </c>
      <c r="AT229" s="310">
        <f t="shared" si="1721"/>
        <v>19285</v>
      </c>
      <c r="AU229" s="310">
        <f t="shared" si="1721"/>
        <v>20301</v>
      </c>
      <c r="AV229" s="310">
        <f t="shared" si="1721"/>
        <v>20289</v>
      </c>
      <c r="AW229" s="310">
        <f t="shared" si="1721"/>
        <v>22044</v>
      </c>
      <c r="AX229" s="310">
        <f t="shared" si="1721"/>
        <v>20301</v>
      </c>
      <c r="AY229" s="310">
        <f t="shared" si="1721"/>
        <v>20289</v>
      </c>
      <c r="AZ229" s="310">
        <f t="shared" si="1721"/>
        <v>22044</v>
      </c>
      <c r="BA229" s="310">
        <f t="shared" si="1721"/>
        <v>22634</v>
      </c>
      <c r="BB229" s="310">
        <f t="shared" si="1721"/>
        <v>23160</v>
      </c>
      <c r="BC229" s="310">
        <f t="shared" si="1721"/>
        <v>23555</v>
      </c>
      <c r="BD229" s="310">
        <f t="shared" si="1721"/>
        <v>23928</v>
      </c>
      <c r="BE229" s="310">
        <f t="shared" si="1721"/>
        <v>23160</v>
      </c>
      <c r="BF229" s="310">
        <f t="shared" si="1721"/>
        <v>23555</v>
      </c>
      <c r="BG229" s="310">
        <f t="shared" si="1721"/>
        <v>23928</v>
      </c>
      <c r="BH229" s="310">
        <f t="shared" si="1721"/>
        <v>25348</v>
      </c>
      <c r="BI229" s="310">
        <f t="shared" si="1721"/>
        <v>27074</v>
      </c>
      <c r="BJ229" s="310">
        <f t="shared" si="1721"/>
        <v>25323</v>
      </c>
      <c r="BK229" s="310">
        <f t="shared" si="1721"/>
        <v>26548</v>
      </c>
      <c r="BL229" s="310">
        <f t="shared" si="1721"/>
        <v>27074</v>
      </c>
      <c r="BM229" s="310">
        <f t="shared" si="1721"/>
        <v>25323</v>
      </c>
      <c r="BN229" s="310">
        <f t="shared" si="1721"/>
        <v>26548</v>
      </c>
      <c r="BO229" s="310">
        <f t="shared" si="1721"/>
        <v>26621</v>
      </c>
      <c r="BP229" s="310">
        <f t="shared" si="1721"/>
        <v>27479</v>
      </c>
      <c r="BQ229" s="310">
        <f t="shared" si="1721"/>
        <v>28627</v>
      </c>
      <c r="BR229" s="310">
        <f t="shared" si="1721"/>
        <v>29634</v>
      </c>
      <c r="BS229" s="310">
        <f t="shared" si="1721"/>
        <v>27479</v>
      </c>
      <c r="BT229" s="310">
        <f t="shared" ref="BT229:BU229" si="1722">BT23</f>
        <v>28627</v>
      </c>
      <c r="BU229" s="310">
        <f t="shared" si="1722"/>
        <v>29634</v>
      </c>
      <c r="BV229" s="310">
        <f t="shared" ref="BV229:BZ229" si="1723">BV23</f>
        <v>29814</v>
      </c>
      <c r="BW229" s="310">
        <f t="shared" si="1723"/>
        <v>31398</v>
      </c>
      <c r="BX229" s="310">
        <f t="shared" si="1723"/>
        <v>30614</v>
      </c>
      <c r="BY229" s="310">
        <f t="shared" si="1723"/>
        <v>30843</v>
      </c>
      <c r="BZ229" s="310">
        <f t="shared" si="1723"/>
        <v>31398</v>
      </c>
      <c r="CA229" s="310">
        <f t="shared" ref="CA229:CB229" si="1724">CA23</f>
        <v>30614</v>
      </c>
      <c r="CB229" s="310">
        <f t="shared" si="1724"/>
        <v>30843</v>
      </c>
      <c r="CC229" s="310">
        <f t="shared" ref="CC229:CD229" si="1725">CC23</f>
        <v>30512</v>
      </c>
      <c r="CD229" s="310">
        <f t="shared" si="1725"/>
        <v>30924</v>
      </c>
      <c r="CE229" s="310">
        <f t="shared" ref="CE229:CG229" si="1726">CE23</f>
        <v>31549</v>
      </c>
      <c r="CF229" s="310">
        <f t="shared" si="1726"/>
        <v>33425</v>
      </c>
      <c r="CG229" s="310">
        <f t="shared" si="1726"/>
        <v>30924</v>
      </c>
      <c r="CH229" s="310">
        <f t="shared" ref="CH229:CI229" si="1727">CH23</f>
        <v>31549</v>
      </c>
      <c r="CI229" s="310">
        <f t="shared" si="1727"/>
        <v>33425</v>
      </c>
      <c r="CJ229" s="310">
        <v>33925</v>
      </c>
      <c r="CK229" s="310">
        <f t="shared" ref="CK229:CO229" si="1728">CK23</f>
        <v>33664</v>
      </c>
      <c r="CL229" s="310">
        <f t="shared" si="1728"/>
        <v>0</v>
      </c>
      <c r="CM229" s="310">
        <f t="shared" si="1728"/>
        <v>0</v>
      </c>
      <c r="CN229" s="310">
        <f t="shared" si="1728"/>
        <v>33664</v>
      </c>
      <c r="CO229" s="310">
        <f t="shared" si="1728"/>
        <v>0</v>
      </c>
    </row>
    <row r="230" spans="1:93" x14ac:dyDescent="0.25">
      <c r="A230" s="326" t="str">
        <f>Language!$G231</f>
        <v>(+)  Intangível Líquido</v>
      </c>
      <c r="B230" s="310">
        <f t="shared" ref="B230:Q230" si="1729">B24</f>
        <v>31490</v>
      </c>
      <c r="C230" s="310">
        <f t="shared" si="1729"/>
        <v>98509</v>
      </c>
      <c r="D230" s="310">
        <f t="shared" si="1729"/>
        <v>11302</v>
      </c>
      <c r="E230" s="325">
        <f t="shared" si="1729"/>
        <v>9324</v>
      </c>
      <c r="F230" s="310">
        <f t="shared" si="1729"/>
        <v>14014</v>
      </c>
      <c r="G230" s="310">
        <f t="shared" si="1729"/>
        <v>15202</v>
      </c>
      <c r="H230" s="310">
        <f t="shared" si="1729"/>
        <v>16622</v>
      </c>
      <c r="I230" s="325">
        <f t="shared" si="1729"/>
        <v>19180</v>
      </c>
      <c r="J230" s="310">
        <f t="shared" si="1729"/>
        <v>22624</v>
      </c>
      <c r="K230" s="310">
        <f t="shared" si="1729"/>
        <v>24740</v>
      </c>
      <c r="L230" s="310">
        <f t="shared" si="1729"/>
        <v>28689</v>
      </c>
      <c r="M230" s="325">
        <f t="shared" si="1729"/>
        <v>18066</v>
      </c>
      <c r="N230" s="310">
        <f t="shared" si="1729"/>
        <v>17988</v>
      </c>
      <c r="O230" s="310">
        <f t="shared" si="1729"/>
        <v>86</v>
      </c>
      <c r="P230" s="310">
        <f t="shared" si="1729"/>
        <v>98</v>
      </c>
      <c r="Q230" s="325">
        <f t="shared" si="1729"/>
        <v>909</v>
      </c>
      <c r="R230" s="310">
        <v>1004</v>
      </c>
      <c r="S230" s="310">
        <v>1052</v>
      </c>
      <c r="T230" s="310">
        <v>1123</v>
      </c>
      <c r="U230" s="310">
        <v>630</v>
      </c>
      <c r="V230" s="310">
        <v>598</v>
      </c>
      <c r="W230" s="310">
        <v>1123</v>
      </c>
      <c r="X230" s="325">
        <v>630</v>
      </c>
      <c r="Y230" s="310">
        <f t="shared" si="1718"/>
        <v>598</v>
      </c>
      <c r="Z230" s="325">
        <f t="shared" si="1718"/>
        <v>7110</v>
      </c>
      <c r="AA230" s="310">
        <f t="shared" si="1718"/>
        <v>7098</v>
      </c>
      <c r="AB230" s="310">
        <f t="shared" si="1665"/>
        <v>683</v>
      </c>
      <c r="AC230" s="310">
        <f t="shared" si="1719"/>
        <v>7110</v>
      </c>
      <c r="AD230" s="310">
        <f t="shared" si="1719"/>
        <v>7098</v>
      </c>
      <c r="AE230" s="325">
        <f t="shared" si="1719"/>
        <v>683</v>
      </c>
      <c r="AF230" s="310">
        <f t="shared" si="1719"/>
        <v>7139</v>
      </c>
      <c r="AG230" s="325">
        <f t="shared" si="1666"/>
        <v>7092</v>
      </c>
      <c r="AH230" s="310">
        <f t="shared" si="1667"/>
        <v>7039</v>
      </c>
      <c r="AI230" s="310">
        <f t="shared" si="1668"/>
        <v>6988</v>
      </c>
      <c r="AJ230" s="325">
        <f t="shared" si="1720"/>
        <v>7092</v>
      </c>
      <c r="AK230" s="325">
        <f t="shared" si="1720"/>
        <v>7039</v>
      </c>
      <c r="AL230" s="325">
        <f t="shared" si="1720"/>
        <v>6988</v>
      </c>
      <c r="AM230" s="310">
        <f t="shared" si="1720"/>
        <v>6936</v>
      </c>
      <c r="AN230" s="325">
        <f t="shared" si="1669"/>
        <v>6881</v>
      </c>
      <c r="AO230" s="325">
        <f t="shared" si="1683"/>
        <v>6831</v>
      </c>
      <c r="AP230" s="325">
        <f t="shared" si="1683"/>
        <v>6943</v>
      </c>
      <c r="AQ230" s="325">
        <f t="shared" ref="AQ230:BS230" si="1730">AQ24</f>
        <v>6881</v>
      </c>
      <c r="AR230" s="310">
        <f t="shared" si="1730"/>
        <v>6831</v>
      </c>
      <c r="AS230" s="325">
        <f t="shared" si="1730"/>
        <v>6943</v>
      </c>
      <c r="AT230" s="310">
        <f t="shared" si="1730"/>
        <v>6898</v>
      </c>
      <c r="AU230" s="310">
        <f t="shared" si="1730"/>
        <v>6857</v>
      </c>
      <c r="AV230" s="310">
        <f t="shared" si="1730"/>
        <v>6834</v>
      </c>
      <c r="AW230" s="310">
        <f t="shared" si="1730"/>
        <v>6790</v>
      </c>
      <c r="AX230" s="310">
        <f t="shared" si="1730"/>
        <v>6857</v>
      </c>
      <c r="AY230" s="310">
        <f t="shared" si="1730"/>
        <v>6834</v>
      </c>
      <c r="AZ230" s="310">
        <f t="shared" si="1730"/>
        <v>6790</v>
      </c>
      <c r="BA230" s="310">
        <f t="shared" si="1730"/>
        <v>6879</v>
      </c>
      <c r="BB230" s="310">
        <f t="shared" si="1730"/>
        <v>6857</v>
      </c>
      <c r="BC230" s="310">
        <f t="shared" si="1730"/>
        <v>6832</v>
      </c>
      <c r="BD230" s="310">
        <f t="shared" si="1730"/>
        <v>6841</v>
      </c>
      <c r="BE230" s="310">
        <f t="shared" si="1730"/>
        <v>6857</v>
      </c>
      <c r="BF230" s="310">
        <f t="shared" si="1730"/>
        <v>6832</v>
      </c>
      <c r="BG230" s="310">
        <f t="shared" si="1730"/>
        <v>6841</v>
      </c>
      <c r="BH230" s="310">
        <f t="shared" si="1730"/>
        <v>6887</v>
      </c>
      <c r="BI230" s="310">
        <f t="shared" si="1730"/>
        <v>6840</v>
      </c>
      <c r="BJ230" s="310">
        <f t="shared" si="1730"/>
        <v>8827</v>
      </c>
      <c r="BK230" s="310">
        <f t="shared" si="1730"/>
        <v>8691</v>
      </c>
      <c r="BL230" s="310">
        <f t="shared" si="1730"/>
        <v>6840</v>
      </c>
      <c r="BM230" s="310">
        <f t="shared" si="1730"/>
        <v>8827</v>
      </c>
      <c r="BN230" s="310">
        <f t="shared" si="1730"/>
        <v>8691</v>
      </c>
      <c r="BO230" s="310">
        <f t="shared" si="1730"/>
        <v>8429</v>
      </c>
      <c r="BP230" s="310">
        <f t="shared" si="1730"/>
        <v>8385</v>
      </c>
      <c r="BQ230" s="310">
        <f t="shared" si="1730"/>
        <v>8266</v>
      </c>
      <c r="BR230" s="310">
        <f t="shared" si="1730"/>
        <v>25170</v>
      </c>
      <c r="BS230" s="310">
        <f t="shared" si="1730"/>
        <v>8385</v>
      </c>
      <c r="BT230" s="310">
        <f t="shared" ref="BT230:BU230" si="1731">BT24</f>
        <v>8266</v>
      </c>
      <c r="BU230" s="310">
        <f t="shared" si="1731"/>
        <v>25170</v>
      </c>
      <c r="BV230" s="310">
        <f t="shared" ref="BV230:BZ230" si="1732">BV24</f>
        <v>24581</v>
      </c>
      <c r="BW230" s="310">
        <f t="shared" si="1732"/>
        <v>23991</v>
      </c>
      <c r="BX230" s="310">
        <f t="shared" si="1732"/>
        <v>23401</v>
      </c>
      <c r="BY230" s="310">
        <f t="shared" si="1732"/>
        <v>22812</v>
      </c>
      <c r="BZ230" s="310">
        <f t="shared" si="1732"/>
        <v>23991</v>
      </c>
      <c r="CA230" s="310">
        <f t="shared" ref="CA230:CB230" si="1733">CA24</f>
        <v>23401</v>
      </c>
      <c r="CB230" s="310">
        <f t="shared" si="1733"/>
        <v>22812</v>
      </c>
      <c r="CC230" s="310">
        <f t="shared" ref="CC230:CD230" si="1734">CC24</f>
        <v>22223</v>
      </c>
      <c r="CD230" s="310">
        <f t="shared" si="1734"/>
        <v>21634</v>
      </c>
      <c r="CE230" s="310">
        <f t="shared" ref="CE230:CG230" si="1735">CE24</f>
        <v>21046</v>
      </c>
      <c r="CF230" s="310">
        <f t="shared" si="1735"/>
        <v>20457</v>
      </c>
      <c r="CG230" s="310">
        <f t="shared" si="1735"/>
        <v>21634</v>
      </c>
      <c r="CH230" s="310">
        <f t="shared" ref="CH230:CI230" si="1736">CH24</f>
        <v>21046</v>
      </c>
      <c r="CI230" s="310">
        <f t="shared" si="1736"/>
        <v>20457</v>
      </c>
      <c r="CJ230" s="310">
        <v>19876</v>
      </c>
      <c r="CK230" s="310">
        <f t="shared" ref="CK230:CO230" si="1737">CK24</f>
        <v>19291</v>
      </c>
      <c r="CL230" s="310">
        <f t="shared" si="1737"/>
        <v>0</v>
      </c>
      <c r="CM230" s="310">
        <f t="shared" si="1737"/>
        <v>0</v>
      </c>
      <c r="CN230" s="310">
        <f t="shared" si="1737"/>
        <v>19291</v>
      </c>
      <c r="CO230" s="310">
        <f t="shared" si="1737"/>
        <v>0</v>
      </c>
    </row>
    <row r="231" spans="1:93" x14ac:dyDescent="0.25">
      <c r="A231" s="326" t="str">
        <f>Language!$G232</f>
        <v>(+)  NCG</v>
      </c>
      <c r="B231" s="310">
        <f t="shared" ref="B231:M231" si="1738">B225</f>
        <v>5260</v>
      </c>
      <c r="C231" s="310">
        <f t="shared" si="1738"/>
        <v>4777</v>
      </c>
      <c r="D231" s="310">
        <f t="shared" si="1738"/>
        <v>12480</v>
      </c>
      <c r="E231" s="325">
        <f t="shared" si="1738"/>
        <v>-4357</v>
      </c>
      <c r="F231" s="310">
        <f t="shared" si="1738"/>
        <v>-5056</v>
      </c>
      <c r="G231" s="310">
        <f t="shared" si="1738"/>
        <v>13809</v>
      </c>
      <c r="H231" s="310">
        <f t="shared" si="1738"/>
        <v>11830</v>
      </c>
      <c r="I231" s="325">
        <f t="shared" si="1738"/>
        <v>-29891</v>
      </c>
      <c r="J231" s="310">
        <f t="shared" si="1738"/>
        <v>-45660</v>
      </c>
      <c r="K231" s="310">
        <f t="shared" si="1738"/>
        <v>-110353</v>
      </c>
      <c r="L231" s="310">
        <f t="shared" si="1738"/>
        <v>-17193</v>
      </c>
      <c r="M231" s="325">
        <f t="shared" si="1738"/>
        <v>-5647</v>
      </c>
      <c r="N231" s="310">
        <f t="shared" ref="N231" si="1739">N225</f>
        <v>55281</v>
      </c>
      <c r="O231" s="310">
        <f t="shared" ref="O231:Q231" si="1740">O225</f>
        <v>-18405</v>
      </c>
      <c r="P231" s="310">
        <f t="shared" si="1740"/>
        <v>-31392</v>
      </c>
      <c r="Q231" s="325">
        <f t="shared" si="1740"/>
        <v>-132218</v>
      </c>
      <c r="R231" s="310">
        <v>-82527</v>
      </c>
      <c r="S231" s="310">
        <v>-49569</v>
      </c>
      <c r="T231" s="310">
        <v>-45532</v>
      </c>
      <c r="U231" s="310">
        <v>1456</v>
      </c>
      <c r="V231" s="310">
        <v>1744</v>
      </c>
      <c r="W231" s="310">
        <v>-45532</v>
      </c>
      <c r="X231" s="325">
        <v>1456</v>
      </c>
      <c r="Y231" s="310">
        <f t="shared" ref="Y231:AA231" si="1741">Y225</f>
        <v>1744</v>
      </c>
      <c r="Z231" s="325">
        <f t="shared" si="1741"/>
        <v>-19970</v>
      </c>
      <c r="AA231" s="310">
        <f t="shared" si="1741"/>
        <v>-20458</v>
      </c>
      <c r="AB231" s="310">
        <f t="shared" si="1665"/>
        <v>-14677</v>
      </c>
      <c r="AC231" s="310">
        <f t="shared" ref="AC231:AD231" si="1742">AC225</f>
        <v>-19970</v>
      </c>
      <c r="AD231" s="310">
        <f t="shared" si="1742"/>
        <v>-20458</v>
      </c>
      <c r="AE231" s="325">
        <f t="shared" ref="AE231:AJ231" si="1743">AE225</f>
        <v>-14677</v>
      </c>
      <c r="AF231" s="310">
        <f t="shared" si="1743"/>
        <v>-24707</v>
      </c>
      <c r="AG231" s="325">
        <f t="shared" si="1666"/>
        <v>-20377</v>
      </c>
      <c r="AH231" s="310">
        <f t="shared" si="1667"/>
        <v>-20049</v>
      </c>
      <c r="AI231" s="310">
        <f t="shared" si="1668"/>
        <v>-15114</v>
      </c>
      <c r="AJ231" s="325">
        <f t="shared" si="1743"/>
        <v>-20377</v>
      </c>
      <c r="AK231" s="325">
        <f t="shared" ref="AK231:AL231" si="1744">AK225</f>
        <v>-20049</v>
      </c>
      <c r="AL231" s="325">
        <f t="shared" si="1744"/>
        <v>-15114</v>
      </c>
      <c r="AM231" s="310">
        <f t="shared" ref="AM231:AQ231" si="1745">AM225</f>
        <v>-15966</v>
      </c>
      <c r="AN231" s="325">
        <f t="shared" si="1669"/>
        <v>-15472</v>
      </c>
      <c r="AO231" s="325">
        <f t="shared" si="1683"/>
        <v>-13248</v>
      </c>
      <c r="AP231" s="325">
        <f t="shared" si="1683"/>
        <v>-17333</v>
      </c>
      <c r="AQ231" s="325">
        <f t="shared" si="1745"/>
        <v>-15472</v>
      </c>
      <c r="AR231" s="310">
        <f t="shared" ref="AR231:AS231" si="1746">AR225</f>
        <v>-13248</v>
      </c>
      <c r="AS231" s="325">
        <f t="shared" si="1746"/>
        <v>-17333</v>
      </c>
      <c r="AT231" s="310">
        <f t="shared" ref="AT231:AU231" si="1747">AT225</f>
        <v>-5366</v>
      </c>
      <c r="AU231" s="310">
        <f t="shared" si="1747"/>
        <v>31868</v>
      </c>
      <c r="AV231" s="310">
        <f t="shared" ref="AV231:AX231" si="1748">AV225</f>
        <v>-7245</v>
      </c>
      <c r="AW231" s="310">
        <f t="shared" si="1748"/>
        <v>-875</v>
      </c>
      <c r="AX231" s="310">
        <f t="shared" si="1748"/>
        <v>31868</v>
      </c>
      <c r="AY231" s="310">
        <f t="shared" ref="AY231:AZ231" si="1749">AY225</f>
        <v>-7245</v>
      </c>
      <c r="AZ231" s="310">
        <f t="shared" si="1749"/>
        <v>-875</v>
      </c>
      <c r="BA231" s="310">
        <f t="shared" ref="BA231:BD231" si="1750">BA225</f>
        <v>469</v>
      </c>
      <c r="BB231" s="310">
        <f t="shared" si="1750"/>
        <v>-943</v>
      </c>
      <c r="BC231" s="310">
        <f t="shared" si="1750"/>
        <v>765</v>
      </c>
      <c r="BD231" s="310">
        <f t="shared" si="1750"/>
        <v>4247</v>
      </c>
      <c r="BE231" s="310">
        <f t="shared" ref="BE231:BF231" si="1751">BE225</f>
        <v>-943</v>
      </c>
      <c r="BF231" s="310">
        <f t="shared" si="1751"/>
        <v>765</v>
      </c>
      <c r="BG231" s="310">
        <f t="shared" ref="BG231:BH231" si="1752">BG225</f>
        <v>4247</v>
      </c>
      <c r="BH231" s="310">
        <f t="shared" si="1752"/>
        <v>2034</v>
      </c>
      <c r="BI231" s="310">
        <f t="shared" ref="BI231:BL231" si="1753">BI225</f>
        <v>1617</v>
      </c>
      <c r="BJ231" s="310">
        <f t="shared" si="1753"/>
        <v>2466</v>
      </c>
      <c r="BK231" s="310">
        <f t="shared" si="1753"/>
        <v>-5585</v>
      </c>
      <c r="BL231" s="310">
        <f t="shared" si="1753"/>
        <v>1617</v>
      </c>
      <c r="BM231" s="310">
        <f t="shared" ref="BM231:BN231" si="1754">BM225</f>
        <v>2466</v>
      </c>
      <c r="BN231" s="310">
        <f t="shared" si="1754"/>
        <v>-5585</v>
      </c>
      <c r="BO231" s="310">
        <f t="shared" ref="BO231:BS231" si="1755">BO225</f>
        <v>-1826</v>
      </c>
      <c r="BP231" s="310">
        <f t="shared" si="1755"/>
        <v>2074</v>
      </c>
      <c r="BQ231" s="310">
        <f t="shared" si="1755"/>
        <v>-19421</v>
      </c>
      <c r="BR231" s="310">
        <f t="shared" si="1755"/>
        <v>-19454</v>
      </c>
      <c r="BS231" s="310">
        <f t="shared" si="1755"/>
        <v>2074</v>
      </c>
      <c r="BT231" s="310">
        <f t="shared" ref="BT231:BU231" si="1756">BT225</f>
        <v>-19421</v>
      </c>
      <c r="BU231" s="310">
        <f t="shared" si="1756"/>
        <v>-19454</v>
      </c>
      <c r="BV231" s="310">
        <f t="shared" ref="BV231:BZ231" si="1757">BV225</f>
        <v>-9421</v>
      </c>
      <c r="BW231" s="310">
        <f t="shared" si="1757"/>
        <v>-29228</v>
      </c>
      <c r="BX231" s="310">
        <f t="shared" si="1757"/>
        <v>-16998</v>
      </c>
      <c r="BY231" s="310">
        <f t="shared" si="1757"/>
        <v>-14627</v>
      </c>
      <c r="BZ231" s="310">
        <f t="shared" si="1757"/>
        <v>-29228</v>
      </c>
      <c r="CA231" s="310">
        <f t="shared" ref="CA231:CB231" si="1758">CA225</f>
        <v>-16998</v>
      </c>
      <c r="CB231" s="310">
        <f t="shared" si="1758"/>
        <v>-14627</v>
      </c>
      <c r="CC231" s="310">
        <f t="shared" ref="CC231:CD231" si="1759">CC225</f>
        <v>-11044</v>
      </c>
      <c r="CD231" s="310">
        <f t="shared" si="1759"/>
        <v>-6427</v>
      </c>
      <c r="CE231" s="310">
        <f t="shared" ref="CE231:CG231" si="1760">CE225</f>
        <v>-31414</v>
      </c>
      <c r="CF231" s="310">
        <f t="shared" si="1760"/>
        <v>-22028</v>
      </c>
      <c r="CG231" s="310">
        <f t="shared" si="1760"/>
        <v>-6427</v>
      </c>
      <c r="CH231" s="310">
        <f t="shared" ref="CH231:CI231" si="1761">CH225</f>
        <v>-31414</v>
      </c>
      <c r="CI231" s="310">
        <f t="shared" si="1761"/>
        <v>-22028</v>
      </c>
      <c r="CJ231" s="310">
        <v>-16336</v>
      </c>
      <c r="CK231" s="310">
        <f t="shared" ref="CK231:CO231" si="1762">CK225</f>
        <v>-49850</v>
      </c>
      <c r="CL231" s="310">
        <f t="shared" si="1762"/>
        <v>0</v>
      </c>
      <c r="CM231" s="310">
        <f t="shared" si="1762"/>
        <v>0</v>
      </c>
      <c r="CN231" s="310">
        <f t="shared" si="1762"/>
        <v>-49850</v>
      </c>
      <c r="CO231" s="310">
        <f t="shared" si="1762"/>
        <v>0</v>
      </c>
    </row>
    <row r="232" spans="1:93" ht="13" x14ac:dyDescent="0.3">
      <c r="A232" s="366" t="str">
        <f>Language!$G233</f>
        <v>NOPAT</v>
      </c>
      <c r="B232" s="366">
        <f t="shared" ref="B232:M232" si="1763">(B234)*(1-B233)</f>
        <v>6279.2399999999989</v>
      </c>
      <c r="C232" s="366">
        <f t="shared" si="1763"/>
        <v>4086.0599999999995</v>
      </c>
      <c r="D232" s="366">
        <f t="shared" si="1763"/>
        <v>-3321.7799999999997</v>
      </c>
      <c r="E232" s="367">
        <f t="shared" si="1763"/>
        <v>16365.359999999999</v>
      </c>
      <c r="F232" s="366">
        <f t="shared" si="1763"/>
        <v>7618.3799999999992</v>
      </c>
      <c r="G232" s="366">
        <f t="shared" si="1763"/>
        <v>7483.7399999999989</v>
      </c>
      <c r="H232" s="366">
        <f t="shared" si="1763"/>
        <v>7313.4599999999991</v>
      </c>
      <c r="I232" s="367">
        <f t="shared" si="1763"/>
        <v>8727.1799999999985</v>
      </c>
      <c r="J232" s="366">
        <f t="shared" si="1763"/>
        <v>12850.199999999999</v>
      </c>
      <c r="K232" s="366">
        <f t="shared" si="1763"/>
        <v>8176.7399999999989</v>
      </c>
      <c r="L232" s="366">
        <f t="shared" si="1763"/>
        <v>5565.78</v>
      </c>
      <c r="M232" s="367">
        <f t="shared" si="1763"/>
        <v>24538.138643039991</v>
      </c>
      <c r="N232" s="366">
        <f t="shared" ref="N232" si="1764">(N234)*(1-N233)</f>
        <v>140250.65999999997</v>
      </c>
      <c r="O232" s="366">
        <f t="shared" ref="O232:Q232" si="1765">(O234)*(1-O233)</f>
        <v>3850.4230578000002</v>
      </c>
      <c r="P232" s="366">
        <f t="shared" si="1765"/>
        <v>-3218.1077051983243</v>
      </c>
      <c r="Q232" s="367">
        <f t="shared" si="1765"/>
        <v>-1433.5553526016758</v>
      </c>
      <c r="R232" s="366">
        <v>32672.639999999996</v>
      </c>
      <c r="S232" s="366">
        <v>2710.62</v>
      </c>
      <c r="T232" s="366">
        <v>5027.2199999999993</v>
      </c>
      <c r="U232" s="366">
        <v>1980.6599999999999</v>
      </c>
      <c r="V232" s="366">
        <v>-59129.399999999994</v>
      </c>
      <c r="W232" s="366">
        <v>36551.46</v>
      </c>
      <c r="X232" s="367">
        <v>42391.139999999992</v>
      </c>
      <c r="Y232" s="366">
        <f t="shared" ref="Y232:Z232" si="1766">(Y234)*(1-Y233)</f>
        <v>1292.2799999999997</v>
      </c>
      <c r="Z232" s="367">
        <f t="shared" si="1766"/>
        <v>1166.2199999999998</v>
      </c>
      <c r="AA232" s="366">
        <f>(AA234)*(1-AA233)</f>
        <v>684.42</v>
      </c>
      <c r="AB232" s="366">
        <f t="shared" ref="AB232" si="1767">(AB234)*(1-AB233)</f>
        <v>1791.2399999999998</v>
      </c>
      <c r="AC232" s="366">
        <f>(AC234)*(1-AC233)</f>
        <v>2458.4999999999995</v>
      </c>
      <c r="AD232" s="366">
        <f>(AD234)*(1-AD233)</f>
        <v>3142.9199999999996</v>
      </c>
      <c r="AE232" s="367">
        <f>(AE234)*(1-AE233)</f>
        <v>4934.16</v>
      </c>
      <c r="AF232" s="366">
        <f>(AF234)*(1-AF233)</f>
        <v>1518.6599999999999</v>
      </c>
      <c r="AG232" s="367">
        <f t="shared" ref="AG232" si="1768">(AG234)*(1-AG233)</f>
        <v>1932.4799999999998</v>
      </c>
      <c r="AH232" s="366">
        <f>(AH234)*(1-AH233)</f>
        <v>1800.4799999999998</v>
      </c>
      <c r="AI232" s="366">
        <f t="shared" ref="AI232" si="1769">(AI234)*(1-AI233)</f>
        <v>4994.8799999999992</v>
      </c>
      <c r="AJ232" s="367">
        <f>(AJ234)*(1-AJ233)</f>
        <v>3451.1399999999994</v>
      </c>
      <c r="AK232" s="367">
        <f>(AK234)*(1-AK233)</f>
        <v>5251.619999999999</v>
      </c>
      <c r="AL232" s="367">
        <f>(AL234)*(1-AL233)</f>
        <v>10246.499999999998</v>
      </c>
      <c r="AM232" s="366">
        <f>(AM234)*(1-AM233)</f>
        <v>1803.12</v>
      </c>
      <c r="AN232" s="367">
        <f t="shared" ref="AN232:AN238" si="1770">AQ232-AM232</f>
        <v>1566.1799999999998</v>
      </c>
      <c r="AO232" s="367">
        <f>AR232-AQ232</f>
        <v>7562.2799999999988</v>
      </c>
      <c r="AP232" s="367">
        <f>AS232-AR232</f>
        <v>6185.52</v>
      </c>
      <c r="AQ232" s="367">
        <f t="shared" ref="AQ232:BA232" si="1771">(AQ234)*(1-AQ233)</f>
        <v>3369.2999999999997</v>
      </c>
      <c r="AR232" s="366">
        <f t="shared" si="1771"/>
        <v>10931.579999999998</v>
      </c>
      <c r="AS232" s="367">
        <f t="shared" si="1771"/>
        <v>17117.099999999999</v>
      </c>
      <c r="AT232" s="366">
        <f t="shared" si="1771"/>
        <v>7028.3399999999992</v>
      </c>
      <c r="AU232" s="366">
        <f t="shared" si="1771"/>
        <v>7375.4999999999991</v>
      </c>
      <c r="AV232" s="366">
        <f t="shared" si="1771"/>
        <v>8187.2999999999975</v>
      </c>
      <c r="AW232" s="366">
        <f t="shared" si="1771"/>
        <v>6876.5399999999991</v>
      </c>
      <c r="AX232" s="366">
        <f t="shared" si="1771"/>
        <v>14403.839999999998</v>
      </c>
      <c r="AY232" s="366">
        <f t="shared" si="1771"/>
        <v>22591.139999999996</v>
      </c>
      <c r="AZ232" s="366">
        <f t="shared" si="1771"/>
        <v>29467.679999999997</v>
      </c>
      <c r="BA232" s="366">
        <f t="shared" si="1771"/>
        <v>7673.8199999999988</v>
      </c>
      <c r="BB232" s="366">
        <f t="shared" ref="BB232:BD232" si="1772">(BB234)*(1-BB233)</f>
        <v>8101.4999999999991</v>
      </c>
      <c r="BC232" s="366">
        <f t="shared" si="1772"/>
        <v>9078.2999999999993</v>
      </c>
      <c r="BD232" s="366">
        <f t="shared" si="1772"/>
        <v>7898.2199999999993</v>
      </c>
      <c r="BE232" s="366">
        <f>(BE234)*(1-BE233)</f>
        <v>15775.319999999998</v>
      </c>
      <c r="BF232" s="366">
        <f>(BF234)*(1-BF233)</f>
        <v>24853.619999999995</v>
      </c>
      <c r="BG232" s="366">
        <f>(BG234)*(1-BG233)</f>
        <v>32751.839999999997</v>
      </c>
      <c r="BH232" s="366">
        <f>(BH234)*(1-BH233)</f>
        <v>8529.1799999999985</v>
      </c>
      <c r="BI232" s="366">
        <f t="shared" ref="BI232:BL232" si="1773">(BI234)*(1-BI233)</f>
        <v>8017.6799999999994</v>
      </c>
      <c r="BJ232" s="366">
        <f t="shared" si="1773"/>
        <v>9876.9</v>
      </c>
      <c r="BK232" s="366">
        <f t="shared" si="1773"/>
        <v>8721.9</v>
      </c>
      <c r="BL232" s="366">
        <f t="shared" si="1773"/>
        <v>16546.859999999997</v>
      </c>
      <c r="BM232" s="366">
        <f t="shared" ref="BM232:BN232" si="1774">(BM234)*(1-BM233)</f>
        <v>26423.759999999998</v>
      </c>
      <c r="BN232" s="366">
        <f t="shared" si="1774"/>
        <v>34941.719999999994</v>
      </c>
      <c r="BO232" s="366">
        <f t="shared" ref="BO232:BS232" si="1775">(BO234)*(1-BO233)</f>
        <v>9647.8799999999992</v>
      </c>
      <c r="BP232" s="366">
        <f t="shared" si="1775"/>
        <v>9456.48</v>
      </c>
      <c r="BQ232" s="366">
        <f t="shared" si="1775"/>
        <v>11330.88</v>
      </c>
      <c r="BR232" s="366">
        <f t="shared" si="1775"/>
        <v>7397.9399999999987</v>
      </c>
      <c r="BS232" s="366">
        <f t="shared" si="1775"/>
        <v>18893.159999999996</v>
      </c>
      <c r="BT232" s="366">
        <f t="shared" ref="BT232:BU232" si="1776">(BT234)*(1-BT233)</f>
        <v>30231.299999999996</v>
      </c>
      <c r="BU232" s="366">
        <f t="shared" si="1776"/>
        <v>37629.24</v>
      </c>
      <c r="BV232" s="366">
        <f t="shared" ref="BV232:BZ232" si="1777">(BV234)*(1-BV233)</f>
        <v>11242.439999999999</v>
      </c>
      <c r="BW232" s="366">
        <f t="shared" si="1777"/>
        <v>10918.38</v>
      </c>
      <c r="BX232" s="366">
        <f t="shared" si="1777"/>
        <v>11214.06</v>
      </c>
      <c r="BY232" s="366">
        <f t="shared" si="1777"/>
        <v>9965.3399999999983</v>
      </c>
      <c r="BZ232" s="366">
        <f t="shared" si="1777"/>
        <v>22160.819999999996</v>
      </c>
      <c r="CA232" s="366">
        <f t="shared" ref="CA232:CB232" si="1778">(CA234)*(1-CA233)</f>
        <v>33374.879999999997</v>
      </c>
      <c r="CB232" s="366">
        <f t="shared" si="1778"/>
        <v>43340.219999999994</v>
      </c>
      <c r="CC232" s="366">
        <f t="shared" ref="CC232:CD232" si="1779">(CC234)*(1-CC233)</f>
        <v>10589.039999999999</v>
      </c>
      <c r="CD232" s="366">
        <f t="shared" si="1779"/>
        <v>10571.22</v>
      </c>
      <c r="CE232" s="366">
        <f t="shared" ref="CE232:CG232" si="1780">(CE234)*(1-CE233)</f>
        <v>11006.159999999998</v>
      </c>
      <c r="CF232" s="366">
        <f t="shared" si="1780"/>
        <v>10284.779999999999</v>
      </c>
      <c r="CG232" s="366">
        <f t="shared" si="1780"/>
        <v>21160.26</v>
      </c>
      <c r="CH232" s="366">
        <f t="shared" ref="CH232:CI232" si="1781">(CH234)*(1-CH233)</f>
        <v>32166.419999999995</v>
      </c>
      <c r="CI232" s="366">
        <f t="shared" si="1781"/>
        <v>42451.199999999997</v>
      </c>
      <c r="CJ232" s="366">
        <v>10125.719999999999</v>
      </c>
      <c r="CK232" s="366">
        <f t="shared" ref="CK232:CO232" si="1782">(CK234)*(1-CK233)</f>
        <v>10637.22</v>
      </c>
      <c r="CL232" s="366">
        <f t="shared" si="1782"/>
        <v>0</v>
      </c>
      <c r="CM232" s="366">
        <f t="shared" si="1782"/>
        <v>0</v>
      </c>
      <c r="CN232" s="366">
        <f t="shared" si="1782"/>
        <v>20762.939999999999</v>
      </c>
      <c r="CO232" s="366">
        <f t="shared" si="1782"/>
        <v>0</v>
      </c>
    </row>
    <row r="233" spans="1:93" x14ac:dyDescent="0.25">
      <c r="A233" s="326" t="str">
        <f>Language!$G234</f>
        <v>(*1-) Impostos</v>
      </c>
      <c r="B233" s="401">
        <v>0.34</v>
      </c>
      <c r="C233" s="401">
        <v>0.34</v>
      </c>
      <c r="D233" s="401">
        <v>0.34</v>
      </c>
      <c r="E233" s="402">
        <v>0.34</v>
      </c>
      <c r="F233" s="401">
        <v>0.34</v>
      </c>
      <c r="G233" s="401">
        <v>0.34</v>
      </c>
      <c r="H233" s="401">
        <v>0.34</v>
      </c>
      <c r="I233" s="402">
        <v>0.34</v>
      </c>
      <c r="J233" s="401">
        <v>0.34</v>
      </c>
      <c r="K233" s="401">
        <v>0.34</v>
      </c>
      <c r="L233" s="401">
        <v>0.34</v>
      </c>
      <c r="M233" s="402">
        <v>0.34</v>
      </c>
      <c r="N233" s="401">
        <v>0.34</v>
      </c>
      <c r="O233" s="401">
        <v>0.34</v>
      </c>
      <c r="P233" s="401">
        <v>0.34</v>
      </c>
      <c r="Q233" s="402">
        <v>0.34</v>
      </c>
      <c r="R233" s="401">
        <v>0.34</v>
      </c>
      <c r="S233" s="401">
        <v>0.34</v>
      </c>
      <c r="T233" s="401">
        <v>0.34</v>
      </c>
      <c r="U233" s="401">
        <v>0.34</v>
      </c>
      <c r="V233" s="401">
        <v>0.34</v>
      </c>
      <c r="W233" s="401">
        <v>0.34</v>
      </c>
      <c r="X233" s="402">
        <v>0.34</v>
      </c>
      <c r="Y233" s="401">
        <v>0.34</v>
      </c>
      <c r="Z233" s="402">
        <v>0.34</v>
      </c>
      <c r="AA233" s="401">
        <v>0.34</v>
      </c>
      <c r="AB233" s="401">
        <v>0.34</v>
      </c>
      <c r="AC233" s="401">
        <v>0.34</v>
      </c>
      <c r="AD233" s="401">
        <v>0.34</v>
      </c>
      <c r="AE233" s="402">
        <v>0.34</v>
      </c>
      <c r="AF233" s="401">
        <v>0.34</v>
      </c>
      <c r="AG233" s="402">
        <v>0.34</v>
      </c>
      <c r="AH233" s="401">
        <v>0.34</v>
      </c>
      <c r="AI233" s="401">
        <v>0.34</v>
      </c>
      <c r="AJ233" s="402">
        <v>0.34</v>
      </c>
      <c r="AK233" s="402">
        <v>0.34</v>
      </c>
      <c r="AL233" s="402">
        <v>0.34</v>
      </c>
      <c r="AM233" s="401">
        <v>0.34</v>
      </c>
      <c r="AN233" s="402">
        <f>AQ233</f>
        <v>0.34</v>
      </c>
      <c r="AO233" s="402">
        <f>AR233</f>
        <v>0.34</v>
      </c>
      <c r="AP233" s="402">
        <f>AS233</f>
        <v>0.34</v>
      </c>
      <c r="AQ233" s="402">
        <v>0.34</v>
      </c>
      <c r="AR233" s="401">
        <v>0.34</v>
      </c>
      <c r="AS233" s="402">
        <v>0.34</v>
      </c>
      <c r="AT233" s="401">
        <v>0.34</v>
      </c>
      <c r="AU233" s="401">
        <v>0.34</v>
      </c>
      <c r="AV233" s="401">
        <v>0.34</v>
      </c>
      <c r="AW233" s="401">
        <v>0.34</v>
      </c>
      <c r="AX233" s="401">
        <v>0.34</v>
      </c>
      <c r="AY233" s="401">
        <v>0.34</v>
      </c>
      <c r="AZ233" s="401">
        <v>0.34</v>
      </c>
      <c r="BA233" s="401">
        <v>0.34</v>
      </c>
      <c r="BB233" s="401">
        <v>0.34</v>
      </c>
      <c r="BC233" s="401">
        <v>0.34</v>
      </c>
      <c r="BD233" s="401">
        <v>0.34</v>
      </c>
      <c r="BE233" s="401">
        <v>0.34</v>
      </c>
      <c r="BF233" s="401">
        <v>0.34</v>
      </c>
      <c r="BG233" s="401">
        <v>0.34</v>
      </c>
      <c r="BH233" s="401">
        <v>0.34</v>
      </c>
      <c r="BI233" s="401">
        <v>0.34</v>
      </c>
      <c r="BJ233" s="401">
        <v>0.34</v>
      </c>
      <c r="BK233" s="401">
        <v>0.34</v>
      </c>
      <c r="BL233" s="401">
        <v>0.34</v>
      </c>
      <c r="BM233" s="401">
        <v>0.34</v>
      </c>
      <c r="BN233" s="401">
        <v>0.34</v>
      </c>
      <c r="BO233" s="401">
        <v>0.34</v>
      </c>
      <c r="BP233" s="401">
        <v>0.34</v>
      </c>
      <c r="BQ233" s="401">
        <v>0.34</v>
      </c>
      <c r="BR233" s="401">
        <v>0.34</v>
      </c>
      <c r="BS233" s="401">
        <v>0.34</v>
      </c>
      <c r="BT233" s="401">
        <v>0.34</v>
      </c>
      <c r="BU233" s="401">
        <v>0.34</v>
      </c>
      <c r="BV233" s="401">
        <v>0.34</v>
      </c>
      <c r="BW233" s="401">
        <v>0.34</v>
      </c>
      <c r="BX233" s="401">
        <v>0.34</v>
      </c>
      <c r="BY233" s="401">
        <v>0.34</v>
      </c>
      <c r="BZ233" s="401">
        <v>0.34</v>
      </c>
      <c r="CA233" s="401">
        <v>0.34</v>
      </c>
      <c r="CB233" s="401">
        <v>0.34</v>
      </c>
      <c r="CC233" s="401">
        <v>0.34</v>
      </c>
      <c r="CD233" s="401">
        <v>0.34</v>
      </c>
      <c r="CE233" s="401">
        <v>0.34</v>
      </c>
      <c r="CF233" s="401">
        <v>0.34</v>
      </c>
      <c r="CG233" s="401">
        <v>0.34</v>
      </c>
      <c r="CH233" s="401">
        <v>0.34</v>
      </c>
      <c r="CI233" s="401">
        <v>0.34</v>
      </c>
      <c r="CJ233" s="401">
        <v>0.34</v>
      </c>
      <c r="CK233" s="401">
        <v>0.34</v>
      </c>
      <c r="CL233" s="401">
        <v>0.34</v>
      </c>
      <c r="CM233" s="401">
        <v>0.34</v>
      </c>
      <c r="CN233" s="401">
        <v>0.34</v>
      </c>
      <c r="CO233" s="401">
        <v>0.34</v>
      </c>
    </row>
    <row r="234" spans="1:93" x14ac:dyDescent="0.25">
      <c r="A234" s="326" t="str">
        <f>Language!$G235</f>
        <v>(=) EBIT Ajustado antes do D&amp;A Reavaliação</v>
      </c>
      <c r="B234" s="310">
        <f t="shared" ref="B234:M234" si="1783">SUM(B235,B238)</f>
        <v>9514</v>
      </c>
      <c r="C234" s="310">
        <f t="shared" si="1783"/>
        <v>6191</v>
      </c>
      <c r="D234" s="310">
        <f t="shared" si="1783"/>
        <v>-5033</v>
      </c>
      <c r="E234" s="325">
        <f t="shared" si="1783"/>
        <v>24796</v>
      </c>
      <c r="F234" s="310">
        <f t="shared" si="1783"/>
        <v>11543</v>
      </c>
      <c r="G234" s="310">
        <f t="shared" si="1783"/>
        <v>11339</v>
      </c>
      <c r="H234" s="310">
        <f t="shared" si="1783"/>
        <v>11081</v>
      </c>
      <c r="I234" s="325">
        <f t="shared" si="1783"/>
        <v>13223</v>
      </c>
      <c r="J234" s="310">
        <f t="shared" si="1783"/>
        <v>19470</v>
      </c>
      <c r="K234" s="310">
        <f t="shared" si="1783"/>
        <v>12389</v>
      </c>
      <c r="L234" s="310">
        <f t="shared" si="1783"/>
        <v>8433</v>
      </c>
      <c r="M234" s="325">
        <f t="shared" si="1783"/>
        <v>37178.997943999988</v>
      </c>
      <c r="N234" s="310">
        <f t="shared" ref="N234" si="1784">SUM(N235,N238)</f>
        <v>212501</v>
      </c>
      <c r="O234" s="310">
        <f t="shared" ref="O234:Q234" si="1785">SUM(O235,O238)</f>
        <v>5833.9743300000009</v>
      </c>
      <c r="P234" s="310">
        <f t="shared" si="1785"/>
        <v>-4875.9207654520069</v>
      </c>
      <c r="Q234" s="325">
        <f t="shared" si="1785"/>
        <v>-2172.053564547994</v>
      </c>
      <c r="R234" s="310">
        <v>49504</v>
      </c>
      <c r="S234" s="310">
        <v>4107</v>
      </c>
      <c r="T234" s="310">
        <v>7617</v>
      </c>
      <c r="U234" s="310">
        <v>3001</v>
      </c>
      <c r="V234" s="310">
        <v>-89590</v>
      </c>
      <c r="W234" s="310">
        <v>55381</v>
      </c>
      <c r="X234" s="325">
        <v>64229</v>
      </c>
      <c r="Y234" s="310">
        <f t="shared" ref="Y234:AB234" si="1786">SUM(Y235,Y238)</f>
        <v>1958</v>
      </c>
      <c r="Z234" s="325">
        <f t="shared" si="1786"/>
        <v>1767</v>
      </c>
      <c r="AA234" s="310">
        <f t="shared" si="1786"/>
        <v>1037</v>
      </c>
      <c r="AB234" s="310">
        <f t="shared" si="1786"/>
        <v>2714</v>
      </c>
      <c r="AC234" s="310">
        <f>SUM(AC235,AC238)</f>
        <v>3725</v>
      </c>
      <c r="AD234" s="310">
        <f>SUM(AD235,AD238)</f>
        <v>4762</v>
      </c>
      <c r="AE234" s="325">
        <f>SUM(AE235,AE238)</f>
        <v>7476</v>
      </c>
      <c r="AF234" s="310">
        <f>SUM(AF235,AF238)</f>
        <v>2301</v>
      </c>
      <c r="AG234" s="325">
        <f t="shared" ref="AG234:AI234" si="1787">SUM(AG235,AG238)</f>
        <v>2928</v>
      </c>
      <c r="AH234" s="310">
        <f t="shared" si="1787"/>
        <v>2728</v>
      </c>
      <c r="AI234" s="310">
        <f t="shared" si="1787"/>
        <v>7568</v>
      </c>
      <c r="AJ234" s="325">
        <f>SUM(AJ235,AJ238)</f>
        <v>5229</v>
      </c>
      <c r="AK234" s="325">
        <f>SUM(AK235,AK238)</f>
        <v>7957</v>
      </c>
      <c r="AL234" s="325">
        <f>SUM(AL235,AL238)</f>
        <v>15525</v>
      </c>
      <c r="AM234" s="310">
        <f>SUM(AM235,AM238)</f>
        <v>2732</v>
      </c>
      <c r="AN234" s="325">
        <f t="shared" si="1770"/>
        <v>2373</v>
      </c>
      <c r="AO234" s="325">
        <f t="shared" ref="AO234:AP238" si="1788">AR234-AQ234</f>
        <v>11458</v>
      </c>
      <c r="AP234" s="325">
        <f t="shared" si="1788"/>
        <v>9372</v>
      </c>
      <c r="AQ234" s="325">
        <f t="shared" ref="AQ234:BA234" si="1789">SUM(AQ235,AQ238)</f>
        <v>5105</v>
      </c>
      <c r="AR234" s="310">
        <f t="shared" si="1789"/>
        <v>16563</v>
      </c>
      <c r="AS234" s="325">
        <f t="shared" si="1789"/>
        <v>25935</v>
      </c>
      <c r="AT234" s="310">
        <f t="shared" si="1789"/>
        <v>10649</v>
      </c>
      <c r="AU234" s="310">
        <f t="shared" si="1789"/>
        <v>11175</v>
      </c>
      <c r="AV234" s="310">
        <f t="shared" si="1789"/>
        <v>12404.999999999998</v>
      </c>
      <c r="AW234" s="310">
        <f t="shared" si="1789"/>
        <v>10419</v>
      </c>
      <c r="AX234" s="310">
        <f t="shared" si="1789"/>
        <v>21824</v>
      </c>
      <c r="AY234" s="310">
        <f t="shared" si="1789"/>
        <v>34229</v>
      </c>
      <c r="AZ234" s="310">
        <f t="shared" si="1789"/>
        <v>44648</v>
      </c>
      <c r="BA234" s="310">
        <f t="shared" si="1789"/>
        <v>11627</v>
      </c>
      <c r="BB234" s="310">
        <f t="shared" ref="BB234:BD234" si="1790">SUM(BB235,BB238)</f>
        <v>12275</v>
      </c>
      <c r="BC234" s="310">
        <f t="shared" si="1790"/>
        <v>13755</v>
      </c>
      <c r="BD234" s="310">
        <f t="shared" si="1790"/>
        <v>11967</v>
      </c>
      <c r="BE234" s="310">
        <f>SUM(BE235,BE238)</f>
        <v>23902</v>
      </c>
      <c r="BF234" s="310">
        <f>SUM(BF235,BF238)</f>
        <v>37657</v>
      </c>
      <c r="BG234" s="310">
        <f>SUM(BG235,BG238)</f>
        <v>49624</v>
      </c>
      <c r="BH234" s="310">
        <f>SUM(BH235,BH238)</f>
        <v>12923</v>
      </c>
      <c r="BI234" s="310">
        <f t="shared" ref="BI234:BL234" si="1791">SUM(BI235,BI238)</f>
        <v>12148</v>
      </c>
      <c r="BJ234" s="310">
        <f t="shared" si="1791"/>
        <v>14965</v>
      </c>
      <c r="BK234" s="310">
        <f t="shared" si="1791"/>
        <v>13215</v>
      </c>
      <c r="BL234" s="310">
        <f t="shared" si="1791"/>
        <v>25071</v>
      </c>
      <c r="BM234" s="310">
        <f t="shared" ref="BM234:BN234" si="1792">SUM(BM235,BM238)</f>
        <v>40036</v>
      </c>
      <c r="BN234" s="310">
        <f t="shared" si="1792"/>
        <v>52942</v>
      </c>
      <c r="BO234" s="310">
        <f t="shared" ref="BO234:BS234" si="1793">SUM(BO235,BO238)</f>
        <v>14618</v>
      </c>
      <c r="BP234" s="310">
        <f t="shared" si="1793"/>
        <v>14328</v>
      </c>
      <c r="BQ234" s="310">
        <f t="shared" si="1793"/>
        <v>17168</v>
      </c>
      <c r="BR234" s="310">
        <f t="shared" si="1793"/>
        <v>11209</v>
      </c>
      <c r="BS234" s="310">
        <f t="shared" si="1793"/>
        <v>28626</v>
      </c>
      <c r="BT234" s="310">
        <f t="shared" ref="BT234:BU234" si="1794">SUM(BT235,BT238)</f>
        <v>45805</v>
      </c>
      <c r="BU234" s="310">
        <f t="shared" si="1794"/>
        <v>57014</v>
      </c>
      <c r="BV234" s="310">
        <f t="shared" ref="BV234:BZ234" si="1795">SUM(BV235,BV238)</f>
        <v>17034</v>
      </c>
      <c r="BW234" s="310">
        <f t="shared" si="1795"/>
        <v>16543</v>
      </c>
      <c r="BX234" s="310">
        <f t="shared" si="1795"/>
        <v>16991</v>
      </c>
      <c r="BY234" s="310">
        <f t="shared" si="1795"/>
        <v>15099</v>
      </c>
      <c r="BZ234" s="310">
        <f t="shared" si="1795"/>
        <v>33577</v>
      </c>
      <c r="CA234" s="310">
        <f t="shared" ref="CA234:CB234" si="1796">SUM(CA235,CA238)</f>
        <v>50568</v>
      </c>
      <c r="CB234" s="310">
        <f t="shared" si="1796"/>
        <v>65667</v>
      </c>
      <c r="CC234" s="310">
        <f t="shared" ref="CC234:CD234" si="1797">SUM(CC235,CC238)</f>
        <v>16044</v>
      </c>
      <c r="CD234" s="310">
        <f t="shared" si="1797"/>
        <v>16017</v>
      </c>
      <c r="CE234" s="310">
        <f t="shared" ref="CE234:CG234" si="1798">SUM(CE235,CE238)</f>
        <v>16676</v>
      </c>
      <c r="CF234" s="310">
        <f t="shared" si="1798"/>
        <v>15583</v>
      </c>
      <c r="CG234" s="310">
        <f t="shared" si="1798"/>
        <v>32061</v>
      </c>
      <c r="CH234" s="310">
        <f t="shared" ref="CH234:CI234" si="1799">SUM(CH235,CH238)</f>
        <v>48737</v>
      </c>
      <c r="CI234" s="310">
        <f t="shared" si="1799"/>
        <v>64320</v>
      </c>
      <c r="CJ234" s="310">
        <v>15342</v>
      </c>
      <c r="CK234" s="310">
        <f t="shared" ref="CK234:CO234" si="1800">SUM(CK235,CK238)</f>
        <v>16117</v>
      </c>
      <c r="CL234" s="310">
        <f t="shared" si="1800"/>
        <v>0</v>
      </c>
      <c r="CM234" s="310">
        <f t="shared" si="1800"/>
        <v>0</v>
      </c>
      <c r="CN234" s="310">
        <f t="shared" si="1800"/>
        <v>31459</v>
      </c>
      <c r="CO234" s="310">
        <f t="shared" si="1800"/>
        <v>0</v>
      </c>
    </row>
    <row r="235" spans="1:93" x14ac:dyDescent="0.25">
      <c r="A235" s="340" t="str">
        <f>Language!$G236</f>
        <v>(+) EBIT Ajustado</v>
      </c>
      <c r="B235" s="310">
        <f t="shared" ref="B235:M235" si="1801">SUM(B236,-B237)</f>
        <v>9514</v>
      </c>
      <c r="C235" s="310">
        <f t="shared" si="1801"/>
        <v>8843</v>
      </c>
      <c r="D235" s="310">
        <f t="shared" si="1801"/>
        <v>9482</v>
      </c>
      <c r="E235" s="325">
        <f t="shared" si="1801"/>
        <v>12932</v>
      </c>
      <c r="F235" s="310">
        <f t="shared" si="1801"/>
        <v>12869</v>
      </c>
      <c r="G235" s="310">
        <f t="shared" si="1801"/>
        <v>12665</v>
      </c>
      <c r="H235" s="310">
        <f t="shared" si="1801"/>
        <v>12406</v>
      </c>
      <c r="I235" s="325">
        <f t="shared" si="1801"/>
        <v>9246</v>
      </c>
      <c r="J235" s="310">
        <f t="shared" si="1801"/>
        <v>19470</v>
      </c>
      <c r="K235" s="310">
        <f t="shared" si="1801"/>
        <v>12389</v>
      </c>
      <c r="L235" s="310">
        <f t="shared" si="1801"/>
        <v>8433</v>
      </c>
      <c r="M235" s="325">
        <f t="shared" si="1801"/>
        <v>37178.997943999988</v>
      </c>
      <c r="N235" s="310">
        <f t="shared" ref="N235" si="1802">SUM(N236,-N237)</f>
        <v>212501</v>
      </c>
      <c r="O235" s="310">
        <f t="shared" ref="O235:Q235" si="1803">SUM(O236,-O237)</f>
        <v>9239.9743300000009</v>
      </c>
      <c r="P235" s="310">
        <f t="shared" si="1803"/>
        <v>-3173.9207654520069</v>
      </c>
      <c r="Q235" s="325">
        <f t="shared" si="1803"/>
        <v>-469.05356454799403</v>
      </c>
      <c r="R235" s="310">
        <v>51207</v>
      </c>
      <c r="S235" s="310">
        <v>5056</v>
      </c>
      <c r="T235" s="310">
        <v>10074</v>
      </c>
      <c r="U235" s="310">
        <v>4138</v>
      </c>
      <c r="V235" s="310">
        <v>-86938</v>
      </c>
      <c r="W235" s="310">
        <v>60490</v>
      </c>
      <c r="X235" s="325">
        <v>70475</v>
      </c>
      <c r="Y235" s="310">
        <f t="shared" ref="Y235:AB235" si="1804">SUM(Y236,-Y237)</f>
        <v>1958</v>
      </c>
      <c r="Z235" s="325">
        <f t="shared" si="1804"/>
        <v>1767</v>
      </c>
      <c r="AA235" s="310">
        <f t="shared" si="1804"/>
        <v>1037</v>
      </c>
      <c r="AB235" s="310">
        <f t="shared" si="1804"/>
        <v>2714</v>
      </c>
      <c r="AC235" s="310">
        <f>SUM(AC236,-AC237)</f>
        <v>3725</v>
      </c>
      <c r="AD235" s="310">
        <f>SUM(AD236,-AD237)</f>
        <v>4762</v>
      </c>
      <c r="AE235" s="325">
        <f>SUM(AE236,-AE237)</f>
        <v>7476</v>
      </c>
      <c r="AF235" s="310">
        <f>SUM(AF236,-AF237)</f>
        <v>2301</v>
      </c>
      <c r="AG235" s="325">
        <f t="shared" ref="AG235:AI235" si="1805">SUM(AG236,-AG237)</f>
        <v>2928</v>
      </c>
      <c r="AH235" s="310">
        <f t="shared" si="1805"/>
        <v>2728</v>
      </c>
      <c r="AI235" s="310">
        <f t="shared" si="1805"/>
        <v>7568</v>
      </c>
      <c r="AJ235" s="325">
        <f>SUM(AJ236,-AJ237)</f>
        <v>5229</v>
      </c>
      <c r="AK235" s="325">
        <f>SUM(AK236,-AK237)</f>
        <v>7957</v>
      </c>
      <c r="AL235" s="325">
        <f>SUM(AL236,-AL237)</f>
        <v>15525</v>
      </c>
      <c r="AM235" s="310">
        <f>SUM(AM236,-AM237)</f>
        <v>2732</v>
      </c>
      <c r="AN235" s="325">
        <f t="shared" si="1770"/>
        <v>2373</v>
      </c>
      <c r="AO235" s="325">
        <f t="shared" si="1788"/>
        <v>11458</v>
      </c>
      <c r="AP235" s="325">
        <f t="shared" si="1788"/>
        <v>9372</v>
      </c>
      <c r="AQ235" s="325">
        <f t="shared" ref="AQ235:BA235" si="1806">SUM(AQ236,-AQ237)</f>
        <v>5105</v>
      </c>
      <c r="AR235" s="310">
        <f t="shared" si="1806"/>
        <v>16563</v>
      </c>
      <c r="AS235" s="325">
        <f t="shared" si="1806"/>
        <v>25935</v>
      </c>
      <c r="AT235" s="310">
        <f t="shared" si="1806"/>
        <v>10649</v>
      </c>
      <c r="AU235" s="310">
        <f t="shared" si="1806"/>
        <v>11175</v>
      </c>
      <c r="AV235" s="310">
        <f t="shared" si="1806"/>
        <v>12404.999999999998</v>
      </c>
      <c r="AW235" s="310">
        <f t="shared" si="1806"/>
        <v>10419</v>
      </c>
      <c r="AX235" s="310">
        <f t="shared" si="1806"/>
        <v>21824</v>
      </c>
      <c r="AY235" s="310">
        <f t="shared" si="1806"/>
        <v>34229</v>
      </c>
      <c r="AZ235" s="310">
        <f t="shared" si="1806"/>
        <v>44648</v>
      </c>
      <c r="BA235" s="310">
        <f t="shared" si="1806"/>
        <v>11627</v>
      </c>
      <c r="BB235" s="310">
        <f t="shared" ref="BB235:BD235" si="1807">SUM(BB236,-BB237)</f>
        <v>12275</v>
      </c>
      <c r="BC235" s="310">
        <f t="shared" si="1807"/>
        <v>13755</v>
      </c>
      <c r="BD235" s="310">
        <f t="shared" si="1807"/>
        <v>11967</v>
      </c>
      <c r="BE235" s="310">
        <f>SUM(BE236,-BE237)</f>
        <v>23902</v>
      </c>
      <c r="BF235" s="310">
        <f>SUM(BF236,-BF237)</f>
        <v>37657</v>
      </c>
      <c r="BG235" s="310">
        <f>SUM(BG236,-BG237)</f>
        <v>49624</v>
      </c>
      <c r="BH235" s="310">
        <f>SUM(BH236,-BH237)</f>
        <v>12923</v>
      </c>
      <c r="BI235" s="310">
        <f t="shared" ref="BI235:BL235" si="1808">SUM(BI236,-BI237)</f>
        <v>12148</v>
      </c>
      <c r="BJ235" s="310">
        <f t="shared" si="1808"/>
        <v>14965</v>
      </c>
      <c r="BK235" s="310">
        <f t="shared" si="1808"/>
        <v>13215</v>
      </c>
      <c r="BL235" s="310">
        <f t="shared" si="1808"/>
        <v>25071</v>
      </c>
      <c r="BM235" s="310">
        <f t="shared" ref="BM235:BN235" si="1809">SUM(BM236,-BM237)</f>
        <v>40036</v>
      </c>
      <c r="BN235" s="310">
        <f t="shared" si="1809"/>
        <v>53251</v>
      </c>
      <c r="BO235" s="310">
        <f t="shared" ref="BO235:BS235" si="1810">SUM(BO236,-BO237)</f>
        <v>14309</v>
      </c>
      <c r="BP235" s="310">
        <f t="shared" si="1810"/>
        <v>14328</v>
      </c>
      <c r="BQ235" s="310">
        <f t="shared" si="1810"/>
        <v>17168</v>
      </c>
      <c r="BR235" s="310">
        <f t="shared" si="1810"/>
        <v>13655</v>
      </c>
      <c r="BS235" s="310">
        <f t="shared" si="1810"/>
        <v>28626</v>
      </c>
      <c r="BT235" s="310">
        <f t="shared" ref="BT235:BU235" si="1811">SUM(BT236,-BT237)</f>
        <v>45805</v>
      </c>
      <c r="BU235" s="310">
        <f t="shared" si="1811"/>
        <v>59460</v>
      </c>
      <c r="BV235" s="310">
        <f t="shared" ref="BV235:BZ235" si="1812">SUM(BV236,-BV237)</f>
        <v>17034</v>
      </c>
      <c r="BW235" s="310">
        <f t="shared" si="1812"/>
        <v>16543</v>
      </c>
      <c r="BX235" s="310">
        <f t="shared" si="1812"/>
        <v>16991</v>
      </c>
      <c r="BY235" s="310">
        <f t="shared" si="1812"/>
        <v>15099</v>
      </c>
      <c r="BZ235" s="310">
        <f t="shared" si="1812"/>
        <v>33577</v>
      </c>
      <c r="CA235" s="310">
        <f t="shared" ref="CA235:CB235" si="1813">SUM(CA236,-CA237)</f>
        <v>50568</v>
      </c>
      <c r="CB235" s="310">
        <f t="shared" si="1813"/>
        <v>65667</v>
      </c>
      <c r="CC235" s="310">
        <f t="shared" ref="CC235:CD235" si="1814">SUM(CC236,-CC237)</f>
        <v>16044</v>
      </c>
      <c r="CD235" s="310">
        <f t="shared" si="1814"/>
        <v>16017</v>
      </c>
      <c r="CE235" s="310">
        <f t="shared" ref="CE235:CG235" si="1815">SUM(CE236,-CE237)</f>
        <v>16676</v>
      </c>
      <c r="CF235" s="310">
        <f t="shared" si="1815"/>
        <v>15583</v>
      </c>
      <c r="CG235" s="310">
        <f t="shared" si="1815"/>
        <v>32061</v>
      </c>
      <c r="CH235" s="310">
        <f t="shared" ref="CH235:CI235" si="1816">SUM(CH236,-CH237)</f>
        <v>48737</v>
      </c>
      <c r="CI235" s="310">
        <f t="shared" si="1816"/>
        <v>64320</v>
      </c>
      <c r="CJ235" s="310">
        <v>15342</v>
      </c>
      <c r="CK235" s="310">
        <f t="shared" ref="CK235:CO235" si="1817">SUM(CK236,-CK237)</f>
        <v>16117</v>
      </c>
      <c r="CL235" s="310">
        <f t="shared" si="1817"/>
        <v>0</v>
      </c>
      <c r="CM235" s="310">
        <f t="shared" si="1817"/>
        <v>0</v>
      </c>
      <c r="CN235" s="310">
        <f t="shared" si="1817"/>
        <v>31459</v>
      </c>
      <c r="CO235" s="310">
        <f t="shared" si="1817"/>
        <v>0</v>
      </c>
    </row>
    <row r="236" spans="1:93" x14ac:dyDescent="0.25">
      <c r="A236" s="396" t="str">
        <f>Language!$G237</f>
        <v>(+) EBITDA Ajustado</v>
      </c>
      <c r="B236" s="310">
        <f t="shared" ref="B236:M236" si="1818">B221</f>
        <v>15308</v>
      </c>
      <c r="C236" s="310">
        <f t="shared" si="1818"/>
        <v>14494</v>
      </c>
      <c r="D236" s="310">
        <f t="shared" si="1818"/>
        <v>15310</v>
      </c>
      <c r="E236" s="325">
        <f t="shared" si="1818"/>
        <v>18395</v>
      </c>
      <c r="F236" s="310">
        <f t="shared" si="1818"/>
        <v>18691</v>
      </c>
      <c r="G236" s="310">
        <f t="shared" si="1818"/>
        <v>18498</v>
      </c>
      <c r="H236" s="310">
        <f t="shared" si="1818"/>
        <v>18233</v>
      </c>
      <c r="I236" s="325">
        <f t="shared" si="1818"/>
        <v>14683</v>
      </c>
      <c r="J236" s="310">
        <f t="shared" si="1818"/>
        <v>25266</v>
      </c>
      <c r="K236" s="310">
        <f t="shared" si="1818"/>
        <v>18183</v>
      </c>
      <c r="L236" s="310">
        <f t="shared" si="1818"/>
        <v>14230</v>
      </c>
      <c r="M236" s="325">
        <f t="shared" si="1818"/>
        <v>46428.997943999988</v>
      </c>
      <c r="N236" s="310">
        <f t="shared" ref="N236" si="1819">N221</f>
        <v>223006</v>
      </c>
      <c r="O236" s="310">
        <f t="shared" ref="O236:Q236" si="1820">O221</f>
        <v>19723.974330000001</v>
      </c>
      <c r="P236" s="310">
        <f t="shared" si="1820"/>
        <v>7306.0792345479931</v>
      </c>
      <c r="Q236" s="325">
        <f t="shared" si="1820"/>
        <v>15892.946435452006</v>
      </c>
      <c r="R236" s="310">
        <v>65822</v>
      </c>
      <c r="S236" s="310">
        <v>19973</v>
      </c>
      <c r="T236" s="310">
        <v>25741</v>
      </c>
      <c r="U236" s="310">
        <v>13874</v>
      </c>
      <c r="V236" s="310">
        <v>-57406</v>
      </c>
      <c r="W236" s="310">
        <v>105689</v>
      </c>
      <c r="X236" s="325">
        <v>125410</v>
      </c>
      <c r="Y236" s="310">
        <f t="shared" ref="Y236:AB236" si="1821">Y221</f>
        <v>2182</v>
      </c>
      <c r="Z236" s="325">
        <f t="shared" si="1821"/>
        <v>2012</v>
      </c>
      <c r="AA236" s="310">
        <f t="shared" si="1821"/>
        <v>1280</v>
      </c>
      <c r="AB236" s="310">
        <f t="shared" si="1821"/>
        <v>2447</v>
      </c>
      <c r="AC236" s="310">
        <f>AC221</f>
        <v>4194</v>
      </c>
      <c r="AD236" s="310">
        <f>AD221</f>
        <v>5474</v>
      </c>
      <c r="AE236" s="325">
        <f>AE221</f>
        <v>7921</v>
      </c>
      <c r="AF236" s="310">
        <f>AF221</f>
        <v>2453</v>
      </c>
      <c r="AG236" s="325">
        <f t="shared" ref="AG236:AI236" si="1822">AG221</f>
        <v>3059</v>
      </c>
      <c r="AH236" s="310">
        <f t="shared" si="1822"/>
        <v>2688</v>
      </c>
      <c r="AI236" s="310">
        <f t="shared" si="1822"/>
        <v>7574</v>
      </c>
      <c r="AJ236" s="325">
        <f>AJ221</f>
        <v>5512</v>
      </c>
      <c r="AK236" s="325">
        <f>AK221</f>
        <v>8200</v>
      </c>
      <c r="AL236" s="325">
        <f>AL221</f>
        <v>15774</v>
      </c>
      <c r="AM236" s="310">
        <f>AM221</f>
        <v>2851</v>
      </c>
      <c r="AN236" s="325">
        <f t="shared" si="1770"/>
        <v>2494</v>
      </c>
      <c r="AO236" s="325">
        <f t="shared" si="1788"/>
        <v>11580</v>
      </c>
      <c r="AP236" s="325">
        <f t="shared" si="1788"/>
        <v>9311</v>
      </c>
      <c r="AQ236" s="325">
        <f t="shared" ref="AQ236:BA236" si="1823">AQ221</f>
        <v>5345</v>
      </c>
      <c r="AR236" s="310">
        <f t="shared" si="1823"/>
        <v>16925</v>
      </c>
      <c r="AS236" s="325">
        <f t="shared" si="1823"/>
        <v>26236</v>
      </c>
      <c r="AT236" s="310">
        <f t="shared" si="1823"/>
        <v>10805</v>
      </c>
      <c r="AU236" s="310">
        <f t="shared" si="1823"/>
        <v>11341</v>
      </c>
      <c r="AV236" s="310">
        <f t="shared" si="1823"/>
        <v>12568.999999999998</v>
      </c>
      <c r="AW236" s="310">
        <f t="shared" si="1823"/>
        <v>10584</v>
      </c>
      <c r="AX236" s="310">
        <f t="shared" si="1823"/>
        <v>22146</v>
      </c>
      <c r="AY236" s="310">
        <f t="shared" si="1823"/>
        <v>34715</v>
      </c>
      <c r="AZ236" s="310">
        <f t="shared" si="1823"/>
        <v>45299</v>
      </c>
      <c r="BA236" s="310">
        <f t="shared" si="1823"/>
        <v>11779</v>
      </c>
      <c r="BB236" s="310">
        <f t="shared" ref="BB236:BD236" si="1824">BB221</f>
        <v>12387</v>
      </c>
      <c r="BC236" s="310">
        <f t="shared" si="1824"/>
        <v>13866</v>
      </c>
      <c r="BD236" s="310">
        <f t="shared" si="1824"/>
        <v>12169</v>
      </c>
      <c r="BE236" s="310">
        <f>BE221</f>
        <v>24166</v>
      </c>
      <c r="BF236" s="310">
        <f>BF221</f>
        <v>38032</v>
      </c>
      <c r="BG236" s="310">
        <f>BG221</f>
        <v>50201</v>
      </c>
      <c r="BH236" s="310">
        <f>BH221</f>
        <v>13148</v>
      </c>
      <c r="BI236" s="310">
        <f t="shared" ref="BI236:BL236" si="1825">BI221</f>
        <v>12303</v>
      </c>
      <c r="BJ236" s="310">
        <f t="shared" si="1825"/>
        <v>15156</v>
      </c>
      <c r="BK236" s="310">
        <f t="shared" si="1825"/>
        <v>13149</v>
      </c>
      <c r="BL236" s="310">
        <f t="shared" si="1825"/>
        <v>25451</v>
      </c>
      <c r="BM236" s="310">
        <f t="shared" ref="BM236:BN236" si="1826">BM221</f>
        <v>40607</v>
      </c>
      <c r="BN236" s="310">
        <f t="shared" si="1826"/>
        <v>54065</v>
      </c>
      <c r="BO236" s="310">
        <f t="shared" ref="BO236:BS236" si="1827">BO221</f>
        <v>14143</v>
      </c>
      <c r="BP236" s="310">
        <f t="shared" si="1827"/>
        <v>14328</v>
      </c>
      <c r="BQ236" s="310">
        <f t="shared" si="1827"/>
        <v>17429</v>
      </c>
      <c r="BR236" s="310">
        <f t="shared" si="1827"/>
        <v>15765</v>
      </c>
      <c r="BS236" s="310">
        <f t="shared" si="1827"/>
        <v>29274</v>
      </c>
      <c r="BT236" s="310">
        <f t="shared" ref="BT236:BU236" si="1828">BT221</f>
        <v>46714</v>
      </c>
      <c r="BU236" s="310">
        <f t="shared" si="1828"/>
        <v>62479</v>
      </c>
      <c r="BV236" s="310">
        <f t="shared" ref="BV236:BZ236" si="1829">BV221</f>
        <v>17762</v>
      </c>
      <c r="BW236" s="310">
        <f t="shared" si="1829"/>
        <v>17300</v>
      </c>
      <c r="BX236" s="310">
        <f t="shared" si="1829"/>
        <v>17748</v>
      </c>
      <c r="BY236" s="310">
        <f t="shared" si="1829"/>
        <v>15851</v>
      </c>
      <c r="BZ236" s="310">
        <f t="shared" si="1829"/>
        <v>35062</v>
      </c>
      <c r="CA236" s="310">
        <f t="shared" ref="CA236:CB236" si="1830">CA221</f>
        <v>52810</v>
      </c>
      <c r="CB236" s="310">
        <f t="shared" si="1830"/>
        <v>68661</v>
      </c>
      <c r="CC236" s="310">
        <f t="shared" ref="CC236:CD236" si="1831">CC221</f>
        <v>16839</v>
      </c>
      <c r="CD236" s="310">
        <f t="shared" si="1831"/>
        <v>16813</v>
      </c>
      <c r="CE236" s="310">
        <f t="shared" ref="CE236:CG236" si="1832">CE221</f>
        <v>17473</v>
      </c>
      <c r="CF236" s="310">
        <f t="shared" si="1832"/>
        <v>16380</v>
      </c>
      <c r="CG236" s="310">
        <f t="shared" si="1832"/>
        <v>33652</v>
      </c>
      <c r="CH236" s="310">
        <f t="shared" ref="CH236:CI236" si="1833">CH221</f>
        <v>51125</v>
      </c>
      <c r="CI236" s="310">
        <f t="shared" si="1833"/>
        <v>67505</v>
      </c>
      <c r="CJ236" s="310">
        <v>16154</v>
      </c>
      <c r="CK236" s="310">
        <f t="shared" ref="CK236:CO236" si="1834">CK221</f>
        <v>16925</v>
      </c>
      <c r="CL236" s="310">
        <f t="shared" si="1834"/>
        <v>0</v>
      </c>
      <c r="CM236" s="310">
        <f t="shared" si="1834"/>
        <v>0</v>
      </c>
      <c r="CN236" s="310">
        <f t="shared" si="1834"/>
        <v>33079</v>
      </c>
      <c r="CO236" s="310">
        <f t="shared" si="1834"/>
        <v>0</v>
      </c>
    </row>
    <row r="237" spans="1:93" x14ac:dyDescent="0.25">
      <c r="A237" s="396" t="str">
        <f>Language!$G238</f>
        <v>(-) Depreciação e Amortização</v>
      </c>
      <c r="B237" s="310">
        <f t="shared" ref="B237:M237" si="1835">-B189</f>
        <v>5794</v>
      </c>
      <c r="C237" s="310">
        <f t="shared" si="1835"/>
        <v>5651</v>
      </c>
      <c r="D237" s="310">
        <f t="shared" si="1835"/>
        <v>5828</v>
      </c>
      <c r="E237" s="325">
        <f t="shared" si="1835"/>
        <v>5463</v>
      </c>
      <c r="F237" s="310">
        <f t="shared" si="1835"/>
        <v>5822</v>
      </c>
      <c r="G237" s="310">
        <f t="shared" si="1835"/>
        <v>5833</v>
      </c>
      <c r="H237" s="310">
        <f t="shared" si="1835"/>
        <v>5827</v>
      </c>
      <c r="I237" s="325">
        <f t="shared" si="1835"/>
        <v>5437</v>
      </c>
      <c r="J237" s="310">
        <f t="shared" si="1835"/>
        <v>5796</v>
      </c>
      <c r="K237" s="310">
        <f t="shared" si="1835"/>
        <v>5794</v>
      </c>
      <c r="L237" s="310">
        <f t="shared" si="1835"/>
        <v>5797</v>
      </c>
      <c r="M237" s="325">
        <f t="shared" si="1835"/>
        <v>9250</v>
      </c>
      <c r="N237" s="310">
        <f t="shared" ref="N237" si="1836">-N189</f>
        <v>10505</v>
      </c>
      <c r="O237" s="310">
        <f t="shared" ref="O237:Q237" si="1837">-O189</f>
        <v>10484</v>
      </c>
      <c r="P237" s="310">
        <f t="shared" si="1837"/>
        <v>10480</v>
      </c>
      <c r="Q237" s="325">
        <f t="shared" si="1837"/>
        <v>16362</v>
      </c>
      <c r="R237" s="310">
        <v>14615</v>
      </c>
      <c r="S237" s="310">
        <v>14917</v>
      </c>
      <c r="T237" s="310">
        <v>15667</v>
      </c>
      <c r="U237" s="310">
        <v>9736</v>
      </c>
      <c r="V237" s="310">
        <v>29532</v>
      </c>
      <c r="W237" s="310">
        <v>45199</v>
      </c>
      <c r="X237" s="325">
        <v>54935</v>
      </c>
      <c r="Y237" s="310">
        <f t="shared" ref="Y237:AB237" si="1838">-Y189</f>
        <v>224</v>
      </c>
      <c r="Z237" s="325">
        <f t="shared" si="1838"/>
        <v>245</v>
      </c>
      <c r="AA237" s="310">
        <f t="shared" si="1838"/>
        <v>243</v>
      </c>
      <c r="AB237" s="310">
        <f t="shared" si="1838"/>
        <v>-267</v>
      </c>
      <c r="AC237" s="310">
        <f>-AC189</f>
        <v>469</v>
      </c>
      <c r="AD237" s="310">
        <f>-AD189</f>
        <v>712</v>
      </c>
      <c r="AE237" s="325">
        <f>-AE189</f>
        <v>445</v>
      </c>
      <c r="AF237" s="310">
        <f>-AF189</f>
        <v>152</v>
      </c>
      <c r="AG237" s="325">
        <f t="shared" ref="AG237:AI237" si="1839">-AG189</f>
        <v>131</v>
      </c>
      <c r="AH237" s="310">
        <f t="shared" si="1839"/>
        <v>-40</v>
      </c>
      <c r="AI237" s="310">
        <f t="shared" si="1839"/>
        <v>6</v>
      </c>
      <c r="AJ237" s="325">
        <f>-AJ189</f>
        <v>283</v>
      </c>
      <c r="AK237" s="325">
        <f>-AK189</f>
        <v>243</v>
      </c>
      <c r="AL237" s="325">
        <f>-AL189</f>
        <v>249</v>
      </c>
      <c r="AM237" s="310">
        <f>-AM189</f>
        <v>119</v>
      </c>
      <c r="AN237" s="325">
        <f t="shared" si="1770"/>
        <v>121</v>
      </c>
      <c r="AO237" s="325">
        <f t="shared" si="1788"/>
        <v>122</v>
      </c>
      <c r="AP237" s="325">
        <f t="shared" si="1788"/>
        <v>-61</v>
      </c>
      <c r="AQ237" s="325">
        <f t="shared" ref="AQ237:BA237" si="1840">-AQ189</f>
        <v>240</v>
      </c>
      <c r="AR237" s="310">
        <f t="shared" si="1840"/>
        <v>362</v>
      </c>
      <c r="AS237" s="325">
        <f t="shared" si="1840"/>
        <v>301</v>
      </c>
      <c r="AT237" s="310">
        <f t="shared" si="1840"/>
        <v>156</v>
      </c>
      <c r="AU237" s="310">
        <f t="shared" si="1840"/>
        <v>166</v>
      </c>
      <c r="AV237" s="310">
        <f t="shared" si="1840"/>
        <v>164</v>
      </c>
      <c r="AW237" s="310">
        <f t="shared" si="1840"/>
        <v>165</v>
      </c>
      <c r="AX237" s="310">
        <f t="shared" si="1840"/>
        <v>322</v>
      </c>
      <c r="AY237" s="310">
        <f t="shared" si="1840"/>
        <v>486</v>
      </c>
      <c r="AZ237" s="310">
        <f t="shared" si="1840"/>
        <v>651</v>
      </c>
      <c r="BA237" s="310">
        <f t="shared" si="1840"/>
        <v>152</v>
      </c>
      <c r="BB237" s="310">
        <f t="shared" ref="BB237:BD237" si="1841">-BB189</f>
        <v>112</v>
      </c>
      <c r="BC237" s="310">
        <f t="shared" si="1841"/>
        <v>111</v>
      </c>
      <c r="BD237" s="310">
        <f t="shared" si="1841"/>
        <v>202</v>
      </c>
      <c r="BE237" s="310">
        <f>-BE189</f>
        <v>264</v>
      </c>
      <c r="BF237" s="310">
        <f>-BF189</f>
        <v>375</v>
      </c>
      <c r="BG237" s="310">
        <f>-BG189</f>
        <v>577</v>
      </c>
      <c r="BH237" s="310">
        <f>-BH189</f>
        <v>225</v>
      </c>
      <c r="BI237" s="310">
        <f t="shared" ref="BI237:BL237" si="1842">-BI189</f>
        <v>155</v>
      </c>
      <c r="BJ237" s="310">
        <f t="shared" si="1842"/>
        <v>191</v>
      </c>
      <c r="BK237" s="310">
        <f t="shared" si="1842"/>
        <v>-66</v>
      </c>
      <c r="BL237" s="310">
        <f t="shared" si="1842"/>
        <v>380</v>
      </c>
      <c r="BM237" s="310">
        <f t="shared" ref="BM237:BN237" si="1843">-BM189</f>
        <v>571</v>
      </c>
      <c r="BN237" s="310">
        <f t="shared" si="1843"/>
        <v>814</v>
      </c>
      <c r="BO237" s="310">
        <f t="shared" ref="BO237:BS237" si="1844">-BO189</f>
        <v>-166</v>
      </c>
      <c r="BP237" s="310">
        <f t="shared" si="1844"/>
        <v>0</v>
      </c>
      <c r="BQ237" s="310">
        <f t="shared" si="1844"/>
        <v>261</v>
      </c>
      <c r="BR237" s="310">
        <f t="shared" si="1844"/>
        <v>2110</v>
      </c>
      <c r="BS237" s="310">
        <f t="shared" si="1844"/>
        <v>648</v>
      </c>
      <c r="BT237" s="310">
        <f t="shared" ref="BT237:BU237" si="1845">-BT189</f>
        <v>909</v>
      </c>
      <c r="BU237" s="310">
        <f t="shared" si="1845"/>
        <v>3019</v>
      </c>
      <c r="BV237" s="310">
        <f t="shared" ref="BV237:BZ237" si="1846">-BV189</f>
        <v>728</v>
      </c>
      <c r="BW237" s="310">
        <f t="shared" si="1846"/>
        <v>757</v>
      </c>
      <c r="BX237" s="310">
        <f t="shared" si="1846"/>
        <v>757</v>
      </c>
      <c r="BY237" s="310">
        <f t="shared" si="1846"/>
        <v>752</v>
      </c>
      <c r="BZ237" s="310">
        <f t="shared" si="1846"/>
        <v>1485</v>
      </c>
      <c r="CA237" s="310">
        <f t="shared" ref="CA237:CB237" si="1847">-CA189</f>
        <v>2242</v>
      </c>
      <c r="CB237" s="310">
        <f t="shared" si="1847"/>
        <v>2994</v>
      </c>
      <c r="CC237" s="310">
        <f t="shared" ref="CC237:CD237" si="1848">-CC189</f>
        <v>795</v>
      </c>
      <c r="CD237" s="310">
        <f t="shared" si="1848"/>
        <v>796</v>
      </c>
      <c r="CE237" s="310">
        <f t="shared" ref="CE237:CG237" si="1849">-CE189</f>
        <v>797</v>
      </c>
      <c r="CF237" s="310">
        <f t="shared" si="1849"/>
        <v>797</v>
      </c>
      <c r="CG237" s="310">
        <f t="shared" si="1849"/>
        <v>1591</v>
      </c>
      <c r="CH237" s="310">
        <f t="shared" ref="CH237:CI237" si="1850">-CH189</f>
        <v>2388</v>
      </c>
      <c r="CI237" s="310">
        <f t="shared" si="1850"/>
        <v>3185</v>
      </c>
      <c r="CJ237" s="310">
        <v>812</v>
      </c>
      <c r="CK237" s="310">
        <f t="shared" ref="CK237:CO237" si="1851">-CK189</f>
        <v>808</v>
      </c>
      <c r="CL237" s="310">
        <f t="shared" si="1851"/>
        <v>0</v>
      </c>
      <c r="CM237" s="310">
        <f t="shared" si="1851"/>
        <v>0</v>
      </c>
      <c r="CN237" s="310">
        <f t="shared" si="1851"/>
        <v>1620</v>
      </c>
      <c r="CO237" s="310">
        <f t="shared" si="1851"/>
        <v>0</v>
      </c>
    </row>
    <row r="238" spans="1:93" x14ac:dyDescent="0.25">
      <c r="A238" s="392" t="str">
        <f>Language!$G239</f>
        <v>(+) D&amp;A Reavaliação</v>
      </c>
      <c r="B238" s="399">
        <f t="shared" ref="B238:M238" si="1852">B191</f>
        <v>0</v>
      </c>
      <c r="C238" s="399">
        <f t="shared" si="1852"/>
        <v>-2652</v>
      </c>
      <c r="D238" s="399">
        <f t="shared" si="1852"/>
        <v>-14515</v>
      </c>
      <c r="E238" s="400">
        <f t="shared" si="1852"/>
        <v>11864</v>
      </c>
      <c r="F238" s="399">
        <f t="shared" si="1852"/>
        <v>-1326</v>
      </c>
      <c r="G238" s="399">
        <f t="shared" si="1852"/>
        <v>-1326</v>
      </c>
      <c r="H238" s="399">
        <f t="shared" si="1852"/>
        <v>-1325</v>
      </c>
      <c r="I238" s="400">
        <f t="shared" si="1852"/>
        <v>3977</v>
      </c>
      <c r="J238" s="399">
        <f t="shared" si="1852"/>
        <v>0</v>
      </c>
      <c r="K238" s="399">
        <f t="shared" si="1852"/>
        <v>0</v>
      </c>
      <c r="L238" s="399">
        <f t="shared" si="1852"/>
        <v>0</v>
      </c>
      <c r="M238" s="400">
        <f t="shared" si="1852"/>
        <v>0</v>
      </c>
      <c r="N238" s="399">
        <f t="shared" ref="N238" si="1853">N191</f>
        <v>0</v>
      </c>
      <c r="O238" s="399">
        <f t="shared" ref="O238:Q238" si="1854">O191</f>
        <v>-3406</v>
      </c>
      <c r="P238" s="399">
        <f t="shared" si="1854"/>
        <v>-1702</v>
      </c>
      <c r="Q238" s="400">
        <f t="shared" si="1854"/>
        <v>-1703</v>
      </c>
      <c r="R238" s="399">
        <v>-1703</v>
      </c>
      <c r="S238" s="399">
        <v>-949</v>
      </c>
      <c r="T238" s="399">
        <v>-2457</v>
      </c>
      <c r="U238" s="399">
        <v>-1137</v>
      </c>
      <c r="V238" s="399">
        <v>-2652</v>
      </c>
      <c r="W238" s="399">
        <v>-5109</v>
      </c>
      <c r="X238" s="400">
        <v>-6246</v>
      </c>
      <c r="Y238" s="399">
        <f t="shared" ref="Y238:AB238" si="1855">Y191</f>
        <v>0</v>
      </c>
      <c r="Z238" s="400">
        <f t="shared" si="1855"/>
        <v>0</v>
      </c>
      <c r="AA238" s="399">
        <f t="shared" si="1855"/>
        <v>0</v>
      </c>
      <c r="AB238" s="399">
        <f t="shared" si="1855"/>
        <v>0</v>
      </c>
      <c r="AC238" s="399">
        <f>AC191</f>
        <v>0</v>
      </c>
      <c r="AD238" s="399">
        <f>AD191</f>
        <v>0</v>
      </c>
      <c r="AE238" s="400">
        <f>AE191</f>
        <v>0</v>
      </c>
      <c r="AF238" s="399">
        <f>AF191</f>
        <v>0</v>
      </c>
      <c r="AG238" s="400">
        <f t="shared" ref="AG238:AI238" si="1856">AG191</f>
        <v>0</v>
      </c>
      <c r="AH238" s="399">
        <f t="shared" si="1856"/>
        <v>0</v>
      </c>
      <c r="AI238" s="399">
        <f t="shared" si="1856"/>
        <v>0</v>
      </c>
      <c r="AJ238" s="400">
        <f>AJ191</f>
        <v>0</v>
      </c>
      <c r="AK238" s="400">
        <f>AK191</f>
        <v>0</v>
      </c>
      <c r="AL238" s="400">
        <f>AL191</f>
        <v>0</v>
      </c>
      <c r="AM238" s="399">
        <f>AM191</f>
        <v>0</v>
      </c>
      <c r="AN238" s="400">
        <f t="shared" si="1770"/>
        <v>0</v>
      </c>
      <c r="AO238" s="400">
        <f t="shared" si="1788"/>
        <v>0</v>
      </c>
      <c r="AP238" s="400">
        <f t="shared" si="1788"/>
        <v>0</v>
      </c>
      <c r="AQ238" s="400">
        <f t="shared" ref="AQ238:BA238" si="1857">AQ191</f>
        <v>0</v>
      </c>
      <c r="AR238" s="399">
        <f t="shared" si="1857"/>
        <v>0</v>
      </c>
      <c r="AS238" s="400">
        <f t="shared" si="1857"/>
        <v>0</v>
      </c>
      <c r="AT238" s="399">
        <f t="shared" si="1857"/>
        <v>0</v>
      </c>
      <c r="AU238" s="399">
        <f t="shared" si="1857"/>
        <v>0</v>
      </c>
      <c r="AV238" s="399">
        <f t="shared" si="1857"/>
        <v>0</v>
      </c>
      <c r="AW238" s="399">
        <f t="shared" si="1857"/>
        <v>0</v>
      </c>
      <c r="AX238" s="399">
        <f t="shared" si="1857"/>
        <v>0</v>
      </c>
      <c r="AY238" s="399">
        <f t="shared" si="1857"/>
        <v>0</v>
      </c>
      <c r="AZ238" s="399">
        <f t="shared" si="1857"/>
        <v>0</v>
      </c>
      <c r="BA238" s="399">
        <f t="shared" si="1857"/>
        <v>0</v>
      </c>
      <c r="BB238" s="399">
        <f t="shared" ref="BB238:BD238" si="1858">BB191</f>
        <v>0</v>
      </c>
      <c r="BC238" s="399">
        <f t="shared" si="1858"/>
        <v>0</v>
      </c>
      <c r="BD238" s="399">
        <f t="shared" si="1858"/>
        <v>0</v>
      </c>
      <c r="BE238" s="399">
        <f>BE191</f>
        <v>0</v>
      </c>
      <c r="BF238" s="399">
        <f>BF191</f>
        <v>0</v>
      </c>
      <c r="BG238" s="399">
        <f>BG191</f>
        <v>0</v>
      </c>
      <c r="BH238" s="399">
        <f>BH191</f>
        <v>0</v>
      </c>
      <c r="BI238" s="399">
        <f t="shared" ref="BI238:BL238" si="1859">BI191</f>
        <v>0</v>
      </c>
      <c r="BJ238" s="399">
        <f t="shared" si="1859"/>
        <v>0</v>
      </c>
      <c r="BK238" s="399">
        <f t="shared" si="1859"/>
        <v>0</v>
      </c>
      <c r="BL238" s="399">
        <f t="shared" si="1859"/>
        <v>0</v>
      </c>
      <c r="BM238" s="399">
        <f t="shared" ref="BM238:BN238" si="1860">BM191</f>
        <v>0</v>
      </c>
      <c r="BN238" s="399">
        <f t="shared" si="1860"/>
        <v>-309</v>
      </c>
      <c r="BO238" s="399">
        <f t="shared" ref="BO238:BS238" si="1861">BO191</f>
        <v>309</v>
      </c>
      <c r="BP238" s="399">
        <f t="shared" si="1861"/>
        <v>0</v>
      </c>
      <c r="BQ238" s="399">
        <f t="shared" si="1861"/>
        <v>0</v>
      </c>
      <c r="BR238" s="399">
        <f t="shared" si="1861"/>
        <v>-2446</v>
      </c>
      <c r="BS238" s="399">
        <f t="shared" si="1861"/>
        <v>0</v>
      </c>
      <c r="BT238" s="399">
        <f t="shared" ref="BT238:BU238" si="1862">BT191</f>
        <v>0</v>
      </c>
      <c r="BU238" s="399">
        <f t="shared" si="1862"/>
        <v>-2446</v>
      </c>
      <c r="BV238" s="399">
        <f t="shared" ref="BV238:BZ238" si="1863">BV191</f>
        <v>0</v>
      </c>
      <c r="BW238" s="399">
        <f t="shared" si="1863"/>
        <v>0</v>
      </c>
      <c r="BX238" s="399">
        <f t="shared" si="1863"/>
        <v>0</v>
      </c>
      <c r="BY238" s="399">
        <f t="shared" si="1863"/>
        <v>0</v>
      </c>
      <c r="BZ238" s="399">
        <f t="shared" si="1863"/>
        <v>0</v>
      </c>
      <c r="CA238" s="399">
        <f t="shared" ref="CA238:CB238" si="1864">CA191</f>
        <v>0</v>
      </c>
      <c r="CB238" s="399">
        <f t="shared" si="1864"/>
        <v>0</v>
      </c>
      <c r="CC238" s="399">
        <f t="shared" ref="CC238:CD238" si="1865">CC191</f>
        <v>0</v>
      </c>
      <c r="CD238" s="399">
        <f t="shared" si="1865"/>
        <v>0</v>
      </c>
      <c r="CE238" s="399">
        <f t="shared" ref="CE238:CG238" si="1866">CE191</f>
        <v>0</v>
      </c>
      <c r="CF238" s="399">
        <f t="shared" si="1866"/>
        <v>0</v>
      </c>
      <c r="CG238" s="399">
        <f t="shared" si="1866"/>
        <v>0</v>
      </c>
      <c r="CH238" s="399">
        <f t="shared" ref="CH238:CI238" si="1867">CH191</f>
        <v>0</v>
      </c>
      <c r="CI238" s="399">
        <f t="shared" si="1867"/>
        <v>0</v>
      </c>
      <c r="CJ238" s="399">
        <v>0</v>
      </c>
      <c r="CK238" s="399">
        <f t="shared" ref="CK238:CO238" si="1868">CK191</f>
        <v>0</v>
      </c>
      <c r="CL238" s="399">
        <f t="shared" si="1868"/>
        <v>0</v>
      </c>
      <c r="CM238" s="399">
        <f t="shared" si="1868"/>
        <v>0</v>
      </c>
      <c r="CN238" s="399">
        <f t="shared" si="1868"/>
        <v>0</v>
      </c>
      <c r="CO238" s="399">
        <f t="shared" si="1868"/>
        <v>0</v>
      </c>
    </row>
    <row r="239" spans="1:93" x14ac:dyDescent="0.25">
      <c r="M239" s="384"/>
      <c r="N239" s="384"/>
      <c r="O239" s="384"/>
      <c r="P239" s="384"/>
      <c r="Q239" s="384"/>
      <c r="R239" s="384"/>
      <c r="S239" s="309"/>
      <c r="T239" s="309"/>
      <c r="U239" s="309"/>
      <c r="V239" s="309"/>
      <c r="W239" s="309"/>
      <c r="X239" s="384"/>
      <c r="Y239" s="384"/>
      <c r="Z239" s="384"/>
      <c r="AA239" s="309"/>
      <c r="AC239" s="384"/>
      <c r="AD239" s="384"/>
      <c r="AE239" s="384"/>
      <c r="AF239" s="384"/>
      <c r="AG239" s="384"/>
      <c r="AH239" s="309"/>
      <c r="AJ239" s="384"/>
      <c r="AK239" s="384"/>
      <c r="AL239" s="384"/>
      <c r="AM239" s="384"/>
      <c r="AN239" s="384"/>
      <c r="AO239" s="384"/>
      <c r="AP239" s="384"/>
      <c r="AQ239" s="384"/>
      <c r="AR239" s="384"/>
      <c r="AS239" s="384"/>
      <c r="AT239" s="384"/>
      <c r="AU239" s="384"/>
      <c r="AV239" s="384"/>
      <c r="AW239" s="384"/>
      <c r="AX239" s="384"/>
      <c r="AY239" s="384"/>
      <c r="AZ239" s="384"/>
      <c r="BA239" s="384"/>
      <c r="BB239" s="384"/>
      <c r="BC239" s="384"/>
      <c r="BD239" s="384"/>
      <c r="BE239" s="384"/>
      <c r="BF239" s="384"/>
      <c r="BG239" s="384"/>
    </row>
    <row r="240" spans="1:93" x14ac:dyDescent="0.25">
      <c r="S240" s="309"/>
      <c r="T240" s="309"/>
      <c r="U240" s="309"/>
      <c r="V240" s="309"/>
      <c r="W240" s="309"/>
      <c r="AA240" s="309"/>
      <c r="AH240" s="309"/>
      <c r="AK240" s="310"/>
      <c r="AN240" s="310"/>
      <c r="AO240" s="310"/>
      <c r="AP240" s="310"/>
      <c r="AQ240" s="310"/>
      <c r="AR240" s="310"/>
    </row>
    <row r="241" spans="1:93" ht="13" x14ac:dyDescent="0.3">
      <c r="A241" s="385" t="str">
        <f>Language!$G242</f>
        <v>Dados Relevantes</v>
      </c>
      <c r="B241" s="385"/>
      <c r="C241" s="385"/>
      <c r="D241" s="385"/>
      <c r="E241" s="386"/>
      <c r="F241" s="385"/>
      <c r="G241" s="385"/>
      <c r="H241" s="385"/>
      <c r="I241" s="386"/>
      <c r="J241" s="385"/>
      <c r="K241" s="385"/>
      <c r="L241" s="385"/>
      <c r="M241" s="387"/>
      <c r="N241" s="387"/>
      <c r="O241" s="387"/>
      <c r="P241" s="387"/>
      <c r="Q241" s="387"/>
      <c r="R241" s="387"/>
      <c r="S241" s="385"/>
      <c r="T241" s="385"/>
      <c r="U241" s="385"/>
      <c r="V241" s="385"/>
      <c r="W241" s="385"/>
      <c r="X241" s="387"/>
      <c r="Y241" s="387"/>
      <c r="Z241" s="387"/>
      <c r="AA241" s="385"/>
      <c r="AB241" s="385"/>
      <c r="AC241" s="387"/>
      <c r="AD241" s="387"/>
      <c r="AE241" s="387"/>
      <c r="AF241" s="387"/>
      <c r="AG241" s="387"/>
      <c r="AH241" s="385"/>
      <c r="AI241" s="385"/>
      <c r="AJ241" s="387"/>
      <c r="AK241" s="387"/>
      <c r="AL241" s="387"/>
      <c r="AM241" s="387"/>
      <c r="AN241" s="387"/>
      <c r="AO241" s="387"/>
      <c r="AP241" s="387"/>
      <c r="AQ241" s="387"/>
      <c r="AR241" s="387"/>
      <c r="AS241" s="387"/>
      <c r="AT241" s="387"/>
      <c r="AU241" s="387"/>
      <c r="AV241" s="387"/>
      <c r="AW241" s="387"/>
      <c r="AX241" s="387"/>
      <c r="AY241" s="387"/>
      <c r="AZ241" s="387"/>
      <c r="BA241" s="387"/>
      <c r="BB241" s="387"/>
      <c r="BC241" s="387"/>
      <c r="BD241" s="387"/>
      <c r="BE241" s="387"/>
      <c r="BF241" s="387"/>
      <c r="BG241" s="387"/>
      <c r="BH241" s="387"/>
      <c r="BI241" s="387"/>
      <c r="BJ241" s="387"/>
      <c r="BK241" s="387"/>
      <c r="BL241" s="387"/>
      <c r="BM241" s="387"/>
      <c r="BN241" s="387"/>
      <c r="BO241" s="387"/>
      <c r="BP241" s="387"/>
      <c r="BQ241" s="387"/>
      <c r="BR241" s="387"/>
      <c r="BS241" s="387"/>
      <c r="BT241" s="387"/>
      <c r="BU241" s="387"/>
      <c r="BV241" s="387"/>
      <c r="BW241" s="387"/>
      <c r="BX241" s="387"/>
      <c r="BY241" s="387"/>
      <c r="BZ241" s="387"/>
      <c r="CA241" s="387"/>
      <c r="CB241" s="387"/>
      <c r="CC241" s="387"/>
      <c r="CD241" s="387"/>
      <c r="CE241" s="387"/>
      <c r="CF241" s="387"/>
      <c r="CG241" s="387"/>
      <c r="CH241" s="387"/>
      <c r="CI241" s="387"/>
      <c r="CJ241" s="387"/>
      <c r="CK241" s="387"/>
      <c r="CL241" s="387"/>
      <c r="CM241" s="387"/>
      <c r="CN241" s="387"/>
      <c r="CO241" s="387"/>
    </row>
    <row r="242" spans="1:93" hidden="1" x14ac:dyDescent="0.25">
      <c r="A242" s="384" t="str">
        <f>Language!$G243</f>
        <v>ROAE</v>
      </c>
      <c r="B242" s="403" t="s">
        <v>116</v>
      </c>
      <c r="C242" s="403" t="s">
        <v>116</v>
      </c>
      <c r="D242" s="403" t="s">
        <v>116</v>
      </c>
      <c r="E242" s="404" t="s">
        <v>116</v>
      </c>
      <c r="F242" s="403">
        <f t="shared" ref="F242:Q242" si="1869">SUM(F$167,E$167,D$167,C$167)/AVERAGE(F$217,B$217)</f>
        <v>4.2963883338650366E-2</v>
      </c>
      <c r="G242" s="403">
        <f t="shared" si="1869"/>
        <v>4.5810263358804879E-2</v>
      </c>
      <c r="H242" s="403">
        <f t="shared" si="1869"/>
        <v>4.7095232435638401E-2</v>
      </c>
      <c r="I242" s="404">
        <f t="shared" si="1869"/>
        <v>4.3108956912343149E-2</v>
      </c>
      <c r="J242" s="403">
        <f t="shared" si="1869"/>
        <v>5.2354532491704388E-2</v>
      </c>
      <c r="K242" s="403">
        <f t="shared" si="1869"/>
        <v>4.4884082127433896E-2</v>
      </c>
      <c r="L242" s="403">
        <f t="shared" si="1869"/>
        <v>4.0391445171819106E-2</v>
      </c>
      <c r="M242" s="404">
        <f t="shared" si="1869"/>
        <v>8.1524258700670038E-2</v>
      </c>
      <c r="N242" s="403">
        <f t="shared" si="1869"/>
        <v>0.32666210753430164</v>
      </c>
      <c r="O242" s="403">
        <f t="shared" si="1869"/>
        <v>0.305433936585781</v>
      </c>
      <c r="P242" s="403">
        <f t="shared" si="1869"/>
        <v>0.25967263527039647</v>
      </c>
      <c r="Q242" s="404">
        <f t="shared" si="1869"/>
        <v>0.20240974609701179</v>
      </c>
      <c r="R242" s="403">
        <v>-2.7859681603638817E-2</v>
      </c>
      <c r="S242" s="403">
        <v>-3.1417871249150651E-2</v>
      </c>
      <c r="T242" s="403">
        <v>-1.8506051176349028E-2</v>
      </c>
      <c r="U242" s="403">
        <v>1.3761587714755908E-2</v>
      </c>
      <c r="V242" s="403">
        <v>-3.5942890449010456E-3</v>
      </c>
      <c r="W242" s="403">
        <v>1.408961021982332E-3</v>
      </c>
      <c r="X242" s="404">
        <v>-5.9139109208898651E-2</v>
      </c>
      <c r="Y242" s="403">
        <f t="shared" ref="Y242:AB242" si="1870">SUM(Y$167,V$167,U$167,T$167)/AVERAGE(Y$217,S$217)</f>
        <v>-1.0189608899801631E-3</v>
      </c>
      <c r="Z242" s="404">
        <f t="shared" si="1870"/>
        <v>1.6603252437091313E-2</v>
      </c>
      <c r="AA242" s="403">
        <f t="shared" si="1870"/>
        <v>0.21025220276103165</v>
      </c>
      <c r="AB242" s="403">
        <f t="shared" si="1870"/>
        <v>-3.6845844186597206E-2</v>
      </c>
      <c r="AC242" s="403">
        <f>SUM(AC$167,T$167,V$167)/AVERAGE(AC$217,V$217)</f>
        <v>-4.5398975714521728E-2</v>
      </c>
      <c r="AD242" s="403">
        <f>SUM(AD$167,U$167,W$167)/AVERAGE(AD$217,W$217)</f>
        <v>1.570246894780885E-3</v>
      </c>
      <c r="AE242" s="404">
        <f>SUM(AE$167,AB$167,AA$167,Z$167)/AVERAGE(AE$217,Y$217)</f>
        <v>0.71503670376509587</v>
      </c>
      <c r="AF242" s="403">
        <f>SUM(AF$167,AC$167,AB$167,AA$167)/AVERAGE(AF$217,Z$217)</f>
        <v>2.0297306750612103</v>
      </c>
      <c r="AG242" s="404">
        <f>SUM(AG$167,AD$167,AC$167,AB$167)/AVERAGE(AG$217,AA$217)</f>
        <v>1.9857848451993736</v>
      </c>
      <c r="AH242" s="403">
        <f>SUM(AH$167,AE$167,AD$167,AC$167)/AVERAGE(AH$217,AB$217)</f>
        <v>37.512104283054001</v>
      </c>
      <c r="AI242" s="403">
        <f>SUM(AI$167,AF$167,AE$167,AD$167)/AVERAGE(AI$217,AC$217)</f>
        <v>3.9850294065229015</v>
      </c>
      <c r="AJ242" s="404">
        <f>SUM(AJ$167,Y$167,AA$167)/AVERAGE(AJ$217,AA$217)</f>
        <v>1.1798578484519937</v>
      </c>
      <c r="AK242" s="404">
        <f>SUM(AK$167,Z$167,AB$167)/AVERAGE(AK$217,AB$217)</f>
        <v>32.860335195530723</v>
      </c>
      <c r="AL242" s="404">
        <f>SUM(AL$167,AA$167,AC$167)/AVERAGE(AL$217,AC$217)</f>
        <v>2.5936553199073251</v>
      </c>
      <c r="AM242" s="403"/>
      <c r="AN242" s="404"/>
      <c r="AO242" s="404"/>
      <c r="AP242" s="404"/>
      <c r="AQ242" s="404"/>
      <c r="AR242" s="403"/>
      <c r="AS242" s="404"/>
      <c r="AT242" s="403"/>
      <c r="AU242" s="403"/>
      <c r="AV242" s="403"/>
      <c r="AW242" s="403"/>
      <c r="AX242" s="403"/>
      <c r="AY242" s="403"/>
      <c r="AZ242" s="403"/>
      <c r="BA242" s="403"/>
      <c r="BB242" s="403"/>
      <c r="BC242" s="403"/>
      <c r="BD242" s="403"/>
      <c r="BE242" s="403"/>
      <c r="BF242" s="403"/>
      <c r="BG242" s="403"/>
      <c r="BH242" s="403"/>
      <c r="BI242" s="403"/>
      <c r="BJ242" s="403"/>
      <c r="BK242" s="403"/>
      <c r="BL242" s="403"/>
      <c r="BM242" s="403"/>
      <c r="BN242" s="403"/>
      <c r="BO242" s="403"/>
      <c r="BP242" s="403"/>
      <c r="BQ242" s="403"/>
      <c r="BR242" s="403"/>
      <c r="BS242" s="403"/>
      <c r="BT242" s="403"/>
      <c r="BU242" s="403"/>
      <c r="BV242" s="403"/>
      <c r="BW242" s="403"/>
      <c r="BX242" s="403"/>
      <c r="BY242" s="403"/>
      <c r="BZ242" s="403"/>
      <c r="CA242" s="403"/>
      <c r="CB242" s="403"/>
      <c r="CC242" s="403"/>
      <c r="CD242" s="403"/>
      <c r="CE242" s="403"/>
      <c r="CF242" s="403"/>
      <c r="CG242" s="403"/>
      <c r="CH242" s="403"/>
      <c r="CI242" s="403"/>
      <c r="CJ242" s="403"/>
      <c r="CK242" s="403"/>
      <c r="CL242" s="403"/>
      <c r="CM242" s="403"/>
      <c r="CN242" s="403"/>
      <c r="CO242" s="403"/>
    </row>
    <row r="243" spans="1:93" hidden="1" x14ac:dyDescent="0.25">
      <c r="A243" s="310" t="str">
        <f>Language!$G244</f>
        <v>ROIC</v>
      </c>
      <c r="B243" s="405" t="s">
        <v>116</v>
      </c>
      <c r="C243" s="405" t="s">
        <v>116</v>
      </c>
      <c r="D243" s="405" t="s">
        <v>116</v>
      </c>
      <c r="E243" s="406" t="s">
        <v>116</v>
      </c>
      <c r="F243" s="405">
        <f t="shared" ref="F243:J243" si="1871">SUM(F$232,E$232,D$232,C$232)/AVERAGE((F$217+F$212),(B$217+B$212))</f>
        <v>3.2734415352941602E-2</v>
      </c>
      <c r="G243" s="405">
        <f t="shared" si="1871"/>
        <v>3.2568540347767121E-2</v>
      </c>
      <c r="H243" s="405">
        <f t="shared" si="1871"/>
        <v>4.3185300872760672E-2</v>
      </c>
      <c r="I243" s="406">
        <f t="shared" si="1871"/>
        <v>3.3176990589499883E-2</v>
      </c>
      <c r="J243" s="405">
        <f t="shared" si="1871"/>
        <v>3.4784211084983467E-2</v>
      </c>
      <c r="K243" s="405">
        <f t="shared" ref="K243:Q243" si="1872">SUM(K$232,J$232,I$232,H$232)/AVERAGE((K$217+K$212),(G$217+G$212))</f>
        <v>3.2260843379785478E-2</v>
      </c>
      <c r="L243" s="405">
        <f t="shared" si="1872"/>
        <v>2.7101150804673194E-2</v>
      </c>
      <c r="M243" s="406">
        <f t="shared" si="1872"/>
        <v>3.8317145411641974E-2</v>
      </c>
      <c r="N243" s="405">
        <f t="shared" si="1872"/>
        <v>0.12509052137344215</v>
      </c>
      <c r="O243" s="405">
        <f t="shared" si="1872"/>
        <v>0.120939077960312</v>
      </c>
      <c r="P243" s="405">
        <f t="shared" si="1872"/>
        <v>0.11161479995778992</v>
      </c>
      <c r="Q243" s="406">
        <f t="shared" si="1872"/>
        <v>9.6293210420011377E-2</v>
      </c>
      <c r="R243" s="405">
        <v>2.2127791931521409E-2</v>
      </c>
      <c r="S243" s="405">
        <v>2.1848771375970941E-2</v>
      </c>
      <c r="T243" s="405">
        <v>2.6536830176348579E-2</v>
      </c>
      <c r="U243" s="405">
        <v>6.1050445552575203E-2</v>
      </c>
      <c r="V243" s="405">
        <v>-4.8253915859438237E-2</v>
      </c>
      <c r="W243" s="405">
        <v>5.445527523950059E-2</v>
      </c>
      <c r="X243" s="406">
        <v>7.9340907135782582E-2</v>
      </c>
      <c r="Y243" s="405">
        <f>SUM(Y$232,V$232,U$232,T$232)/AVERAGE((Y$217+Y$212),(S$217+S$212))</f>
        <v>-7.6719096442915621E-2</v>
      </c>
      <c r="Z243" s="406">
        <f>SUM(Z$232,Y$232,T$232,U$232)/AVERAGE((Z$217+Z$212),(T$217+T$212))</f>
        <v>1.3063679777432315E-2</v>
      </c>
      <c r="AA243" s="405">
        <f>SUM(AA$232,Z$232,U$232,V$232)/AVERAGE((AA$217+AA$212),(U$217+U$212))</f>
        <v>-9.9636216216216198</v>
      </c>
      <c r="AB243" s="405">
        <f>SUM(AB$232,AA$232,V$232,W$232)/AVERAGE((AB$217+AB$212),(V$217+V$212))</f>
        <v>-5.4694500561167203E-2</v>
      </c>
      <c r="AC243" s="405">
        <f>SUM(AC$232,T$232,U$232)/AVERAGE((AC$217+AC$212),(V$217+V$212))</f>
        <v>2.5386793819022434E-2</v>
      </c>
      <c r="AD243" s="405">
        <f>SUM(AD$232,U$232,V$232)/AVERAGE((AD$217+AD$212),(W$217+W$212))</f>
        <v>-7.454291483837662E-2</v>
      </c>
      <c r="AE243" s="406">
        <f>SUM(AE$232,AB$232,AA$232,Z$232)/AVERAGE((AE$217+AE$212),(Y$217+Y$212))</f>
        <v>14.966910994764396</v>
      </c>
      <c r="AF243" s="405">
        <f>SUM(AF$232,AC$232,AB$232,AA$232)/AVERAGE((AF$217+AF$212),(Z$217+Z$212))</f>
        <v>-0.79468226600985215</v>
      </c>
      <c r="AG243" s="406">
        <f>SUM(AG$232,AF$232,AA$232,AB$232)/AVERAGE((AG$217+AG$212),(AA$217+AA$212))</f>
        <v>-1.0283334779214017</v>
      </c>
      <c r="AH243" s="405">
        <f>SUM(AH$232,AG$232,AB$232,AC$232)/AVERAGE((AH$217+AH$212),(AB$217+AB$212))</f>
        <v>-0.73767037841334371</v>
      </c>
      <c r="AI243" s="405">
        <f>SUM(AI$232,AH$232,AC$232,AD$232)/AVERAGE((AI$217+AI$212),(AC$217+AC$212))</f>
        <v>-3.1798845709888415</v>
      </c>
      <c r="AJ243" s="406">
        <f>SUM(AJ$232,Y$232,Z$232)/AVERAGE((AJ$217+AJ$212),(AA$217+AA$212))</f>
        <v>-1.0253561204129433</v>
      </c>
      <c r="AK243" s="406">
        <f>SUM(AK$232,Z$232,AA$232)/AVERAGE((AK$217+AK$212),(AB$217+AB$212))</f>
        <v>-0.65631012336552219</v>
      </c>
      <c r="AL243" s="406">
        <f>SUM(AL$232,AA$232,AB$232)/AVERAGE((AL$217+AL$212),(AC$217+AC$212))</f>
        <v>-3.2633474413235857</v>
      </c>
      <c r="AM243" s="405"/>
      <c r="AN243" s="406"/>
      <c r="AO243" s="406"/>
      <c r="AP243" s="406"/>
      <c r="AQ243" s="406"/>
      <c r="AR243" s="405"/>
      <c r="AS243" s="406"/>
      <c r="AT243" s="405"/>
      <c r="AU243" s="405"/>
      <c r="AV243" s="405"/>
      <c r="AW243" s="405"/>
      <c r="AX243" s="405"/>
      <c r="AY243" s="405"/>
      <c r="AZ243" s="405"/>
      <c r="BA243" s="405"/>
      <c r="BB243" s="405"/>
      <c r="BC243" s="405"/>
      <c r="BD243" s="405"/>
      <c r="BE243" s="405"/>
      <c r="BF243" s="405"/>
      <c r="BG243" s="405"/>
      <c r="BH243" s="405"/>
      <c r="BI243" s="405"/>
      <c r="BJ243" s="405"/>
      <c r="BK243" s="405"/>
      <c r="BL243" s="405"/>
      <c r="BM243" s="405"/>
      <c r="BN243" s="405"/>
      <c r="BO243" s="405"/>
      <c r="BP243" s="405"/>
      <c r="BQ243" s="405"/>
      <c r="BR243" s="405"/>
      <c r="BS243" s="405"/>
      <c r="BT243" s="405"/>
      <c r="BU243" s="405"/>
      <c r="BV243" s="405"/>
      <c r="BW243" s="405"/>
      <c r="BX243" s="405"/>
      <c r="BY243" s="405"/>
      <c r="BZ243" s="405"/>
      <c r="CA243" s="405"/>
      <c r="CB243" s="405"/>
      <c r="CC243" s="405"/>
      <c r="CD243" s="405"/>
      <c r="CE243" s="405"/>
      <c r="CF243" s="405"/>
      <c r="CG243" s="405"/>
      <c r="CH243" s="405"/>
      <c r="CI243" s="405"/>
      <c r="CJ243" s="405"/>
      <c r="CK243" s="405"/>
      <c r="CL243" s="405"/>
      <c r="CM243" s="405"/>
      <c r="CN243" s="405"/>
      <c r="CO243" s="405"/>
    </row>
    <row r="244" spans="1:93" hidden="1" x14ac:dyDescent="0.25">
      <c r="A244" s="399" t="str">
        <f>Language!$G245</f>
        <v>ROAA</v>
      </c>
      <c r="B244" s="407" t="s">
        <v>116</v>
      </c>
      <c r="C244" s="407" t="s">
        <v>116</v>
      </c>
      <c r="D244" s="407" t="s">
        <v>116</v>
      </c>
      <c r="E244" s="408" t="s">
        <v>116</v>
      </c>
      <c r="F244" s="407">
        <f t="shared" ref="F244:Q244" si="1873">SUM(F$167,E$167,D$167,C$167)/AVERAGE(F$6,B$6)</f>
        <v>1.4221180822636509E-2</v>
      </c>
      <c r="G244" s="407">
        <f t="shared" si="1873"/>
        <v>1.7156348833051963E-2</v>
      </c>
      <c r="H244" s="407">
        <f t="shared" si="1873"/>
        <v>1.904402840879663E-2</v>
      </c>
      <c r="I244" s="408">
        <f t="shared" si="1873"/>
        <v>1.5113504785666606E-2</v>
      </c>
      <c r="J244" s="407">
        <f t="shared" si="1873"/>
        <v>1.8441522372237576E-2</v>
      </c>
      <c r="K244" s="407">
        <f t="shared" si="1873"/>
        <v>1.6950328534662447E-2</v>
      </c>
      <c r="L244" s="407">
        <f t="shared" si="1873"/>
        <v>1.6910421708362672E-2</v>
      </c>
      <c r="M244" s="408">
        <f t="shared" si="1873"/>
        <v>3.2908965928912619E-2</v>
      </c>
      <c r="N244" s="407">
        <f t="shared" si="1873"/>
        <v>0.13423873534223468</v>
      </c>
      <c r="O244" s="407">
        <f t="shared" si="1873"/>
        <v>0.12418554562183579</v>
      </c>
      <c r="P244" s="407">
        <f t="shared" si="1873"/>
        <v>0.11106960067702448</v>
      </c>
      <c r="Q244" s="408">
        <f t="shared" si="1873"/>
        <v>8.2441177841686877E-2</v>
      </c>
      <c r="R244" s="407">
        <v>-1.1031641158848393E-2</v>
      </c>
      <c r="S244" s="407">
        <v>-1.2219714267404178E-2</v>
      </c>
      <c r="T244" s="407">
        <v>-7.7526296366856491E-3</v>
      </c>
      <c r="U244" s="407">
        <v>5.215737363513483E-3</v>
      </c>
      <c r="V244" s="407">
        <v>-5.7682601905056849E-3</v>
      </c>
      <c r="W244" s="407">
        <v>5.5657663464137692E-4</v>
      </c>
      <c r="X244" s="408">
        <v>-2.0189986873120951E-2</v>
      </c>
      <c r="Y244" s="407">
        <f>SUM(Y$167,V$167,U$167,T$167)/AVERAGE(Y$6,S$6)</f>
        <v>-3.5987362631303087E-4</v>
      </c>
      <c r="Z244" s="408">
        <f>SUM(Z$167,Y$167,T$167,U$167)/AVERAGE(Z$6,T$6)</f>
        <v>-7.1315381530396372E-3</v>
      </c>
      <c r="AA244" s="407">
        <f>SUM(AA$167,Z$167,U$167,V$167)/AVERAGE(AA$6,U$6)</f>
        <v>0.2293886632621604</v>
      </c>
      <c r="AB244" s="407">
        <f>SUM(AB$167,AA$167,V$167,W$167)/AVERAGE(AB$6,V$6)</f>
        <v>7.7276860034034625E-3</v>
      </c>
      <c r="AC244" s="407">
        <f>SUM(AC$167,U$167,T$167)/AVERAGE(AC$6,V$6)</f>
        <v>-7.1600807614652434E-3</v>
      </c>
      <c r="AD244" s="407">
        <f>SUM(AD$167,V$167,U$167)/AVERAGE(AD$6,W$6)</f>
        <v>1.1014462208802865E-2</v>
      </c>
      <c r="AE244" s="408">
        <f>SUM(AE$167,AB$167,AA$167,Z$167)/AVERAGE(AE$6,Y$6)</f>
        <v>0.21316127574863403</v>
      </c>
      <c r="AF244" s="407">
        <f>SUM(AF$167,AC$167,AB$167,AA$167)/AVERAGE(AF$6,Z$6)</f>
        <v>0.13780738313207233</v>
      </c>
      <c r="AG244" s="408">
        <f>SUM(AG$167,AF$167,AA$167,AB$167)/AVERAGE(AG$6,AA$6)</f>
        <v>0.13451875595599064</v>
      </c>
      <c r="AH244" s="407">
        <f>SUM(AH$167,AG$167,AB$167,AC$167)/AVERAGE(AH$6,AB$6)</f>
        <v>0.18960701159174442</v>
      </c>
      <c r="AI244" s="407">
        <f>SUM(AI$167,AH$167,AC$167,AD$167)/AVERAGE(AI$6,AC$6)</f>
        <v>0.46835384898034171</v>
      </c>
      <c r="AJ244" s="408">
        <f>SUM(AJ$167,Z$167,Y$167)/AVERAGE(AJ$6,AA$6)</f>
        <v>0.11775534956250541</v>
      </c>
      <c r="AK244" s="408">
        <f>SUM(AK$167,AA$167,Z$167)/AVERAGE(AK$6,AB$6)</f>
        <v>0.14964093864857222</v>
      </c>
      <c r="AL244" s="408">
        <f>SUM(AL$167,AB$167,AA$167)/AVERAGE(AL$6,AC$6)</f>
        <v>0.34817655704574685</v>
      </c>
      <c r="AM244" s="407"/>
      <c r="AN244" s="408"/>
      <c r="AO244" s="408"/>
      <c r="AP244" s="408"/>
      <c r="AQ244" s="408"/>
      <c r="AR244" s="407"/>
      <c r="AS244" s="408"/>
      <c r="AT244" s="407"/>
      <c r="AU244" s="407"/>
      <c r="AV244" s="407"/>
      <c r="AW244" s="407"/>
      <c r="AX244" s="407"/>
      <c r="AY244" s="407"/>
      <c r="AZ244" s="407"/>
      <c r="BA244" s="407"/>
      <c r="BB244" s="407"/>
      <c r="BC244" s="407"/>
      <c r="BD244" s="407"/>
      <c r="BE244" s="407"/>
      <c r="BF244" s="407"/>
      <c r="BG244" s="407"/>
      <c r="BH244" s="407"/>
      <c r="BI244" s="407"/>
      <c r="BJ244" s="407"/>
      <c r="BK244" s="407"/>
      <c r="BL244" s="407"/>
      <c r="BM244" s="407"/>
      <c r="BN244" s="407"/>
      <c r="BO244" s="407"/>
      <c r="BP244" s="407"/>
      <c r="BQ244" s="407"/>
      <c r="BR244" s="407"/>
      <c r="BS244" s="407"/>
      <c r="BT244" s="407"/>
      <c r="BU244" s="407"/>
      <c r="BV244" s="407"/>
      <c r="BW244" s="407"/>
      <c r="BX244" s="407"/>
      <c r="BY244" s="407"/>
      <c r="BZ244" s="407"/>
      <c r="CA244" s="407"/>
      <c r="CB244" s="407"/>
      <c r="CC244" s="407"/>
      <c r="CD244" s="407"/>
      <c r="CE244" s="407"/>
      <c r="CF244" s="407"/>
      <c r="CG244" s="407"/>
      <c r="CH244" s="407"/>
      <c r="CI244" s="407"/>
      <c r="CJ244" s="407"/>
      <c r="CK244" s="407"/>
      <c r="CL244" s="407"/>
      <c r="CM244" s="407"/>
      <c r="CN244" s="407"/>
      <c r="CO244" s="407"/>
    </row>
    <row r="245" spans="1:93" s="377" customFormat="1" ht="13" x14ac:dyDescent="0.3">
      <c r="A245" s="366" t="str">
        <f>Language!$G246</f>
        <v>Margem Bruta</v>
      </c>
      <c r="B245" s="409">
        <f t="shared" ref="B245:Q245" si="1874">SUM(B83,B89)/B$83</f>
        <v>0.48120944484498918</v>
      </c>
      <c r="C245" s="409">
        <f t="shared" si="1874"/>
        <v>0.50427430718647248</v>
      </c>
      <c r="D245" s="409">
        <f t="shared" si="1874"/>
        <v>0.51068640416364486</v>
      </c>
      <c r="E245" s="410">
        <f t="shared" si="1874"/>
        <v>0.52663448162998117</v>
      </c>
      <c r="F245" s="409">
        <f t="shared" si="1874"/>
        <v>0.56296970176410099</v>
      </c>
      <c r="G245" s="409">
        <f t="shared" si="1874"/>
        <v>0.56497443389335278</v>
      </c>
      <c r="H245" s="409">
        <f t="shared" si="1874"/>
        <v>0.52969057069091752</v>
      </c>
      <c r="I245" s="410">
        <f t="shared" si="1874"/>
        <v>0.45899091343854614</v>
      </c>
      <c r="J245" s="409">
        <f t="shared" si="1874"/>
        <v>0.53896208226221076</v>
      </c>
      <c r="K245" s="409">
        <f t="shared" si="1874"/>
        <v>0.5672327118711159</v>
      </c>
      <c r="L245" s="409">
        <f t="shared" si="1874"/>
        <v>0.38001206919672792</v>
      </c>
      <c r="M245" s="410">
        <f t="shared" si="1874"/>
        <v>0.66891031844713988</v>
      </c>
      <c r="N245" s="409">
        <f t="shared" si="1874"/>
        <v>0.90613136669749994</v>
      </c>
      <c r="O245" s="409">
        <f t="shared" si="1874"/>
        <v>0.48529234957310435</v>
      </c>
      <c r="P245" s="409">
        <f t="shared" si="1874"/>
        <v>3.9115144280342712E-2</v>
      </c>
      <c r="Q245" s="410">
        <f t="shared" si="1874"/>
        <v>5.8490231832895381E-2</v>
      </c>
      <c r="R245" s="410">
        <v>0.46711993698437049</v>
      </c>
      <c r="S245" s="410">
        <v>0.15945298181305512</v>
      </c>
      <c r="T245" s="410">
        <v>0.18124764448522784</v>
      </c>
      <c r="U245" s="410">
        <v>0.31114678796798001</v>
      </c>
      <c r="V245" s="410">
        <v>0.33571094283023867</v>
      </c>
      <c r="W245" s="410">
        <v>0.29616656039198574</v>
      </c>
      <c r="X245" s="410">
        <v>0.29853860738711191</v>
      </c>
      <c r="Y245" s="410">
        <f t="shared" ref="Y245:BS245" si="1875">(Y83-Y89)/Y83</f>
        <v>1.7518422345427749</v>
      </c>
      <c r="Z245" s="410">
        <f t="shared" si="1875"/>
        <v>1.7505025514148755</v>
      </c>
      <c r="AA245" s="410">
        <f t="shared" si="1875"/>
        <v>1.6470808851106389</v>
      </c>
      <c r="AB245" s="410">
        <f t="shared" si="1875"/>
        <v>1.8315395414131961</v>
      </c>
      <c r="AC245" s="410">
        <f t="shared" si="1875"/>
        <v>1.7512047971158444</v>
      </c>
      <c r="AD245" s="410">
        <f t="shared" si="1875"/>
        <v>1.7275311238701609</v>
      </c>
      <c r="AE245" s="410">
        <f t="shared" si="1875"/>
        <v>1.7553120573285559</v>
      </c>
      <c r="AF245" s="410">
        <f t="shared" si="1875"/>
        <v>1.8004479739360619</v>
      </c>
      <c r="AG245" s="410">
        <f t="shared" si="1875"/>
        <v>1.7157373804025073</v>
      </c>
      <c r="AH245" s="410">
        <f t="shared" si="1875"/>
        <v>1.9114433975146798</v>
      </c>
      <c r="AI245" s="410">
        <f t="shared" si="1875"/>
        <v>1.2721533993242842</v>
      </c>
      <c r="AJ245" s="410">
        <f t="shared" si="1875"/>
        <v>1.7574946466809422</v>
      </c>
      <c r="AK245" s="410">
        <f t="shared" si="1875"/>
        <v>1.8081241298782953</v>
      </c>
      <c r="AL245" s="410">
        <f t="shared" si="1875"/>
        <v>1.6904922042188932</v>
      </c>
      <c r="AM245" s="410">
        <f t="shared" si="1875"/>
        <v>1.7800560290874412</v>
      </c>
      <c r="AN245" s="410">
        <f t="shared" si="1875"/>
        <v>1.8161008845326321</v>
      </c>
      <c r="AO245" s="410">
        <f t="shared" si="1875"/>
        <v>1.5129124820659972</v>
      </c>
      <c r="AP245" s="410">
        <f t="shared" si="1875"/>
        <v>1.5979234205746244</v>
      </c>
      <c r="AQ245" s="410">
        <f t="shared" si="1875"/>
        <v>1.7980542540809932</v>
      </c>
      <c r="AR245" s="410">
        <f t="shared" si="1875"/>
        <v>1.6759611610723366</v>
      </c>
      <c r="AS245" s="410">
        <f t="shared" si="1875"/>
        <v>1.6521263913596114</v>
      </c>
      <c r="AT245" s="410">
        <f t="shared" si="1875"/>
        <v>1.5531541192495797</v>
      </c>
      <c r="AU245" s="410">
        <f t="shared" si="1875"/>
        <v>1.5149769795832158</v>
      </c>
      <c r="AV245" s="410">
        <f t="shared" si="1875"/>
        <v>1.5402876653651041</v>
      </c>
      <c r="AW245" s="410">
        <f t="shared" si="1875"/>
        <v>1.587554067252686</v>
      </c>
      <c r="AX245" s="410">
        <f t="shared" si="1875"/>
        <v>1.5343500607195517</v>
      </c>
      <c r="AY245" s="410">
        <f t="shared" si="1875"/>
        <v>1.5364940177932305</v>
      </c>
      <c r="AZ245" s="410">
        <f t="shared" si="1875"/>
        <v>1.5501870907390085</v>
      </c>
      <c r="BA245" s="410">
        <f t="shared" si="1875"/>
        <v>1.5585982583149722</v>
      </c>
      <c r="BB245" s="410">
        <f t="shared" si="1875"/>
        <v>1.5137266355140186</v>
      </c>
      <c r="BC245" s="410">
        <f t="shared" si="1875"/>
        <v>1.5460666416134285</v>
      </c>
      <c r="BD245" s="410">
        <f t="shared" si="1875"/>
        <v>1.5825415869515873</v>
      </c>
      <c r="BE245" s="410">
        <f t="shared" si="1875"/>
        <v>1.5366437438599625</v>
      </c>
      <c r="BF245" s="410">
        <f t="shared" si="1875"/>
        <v>1.5400661988011419</v>
      </c>
      <c r="BG245" s="410">
        <f t="shared" si="1875"/>
        <v>1.5510963656573142</v>
      </c>
      <c r="BH245" s="410">
        <f t="shared" si="1875"/>
        <v>1.5426111812803298</v>
      </c>
      <c r="BI245" s="410">
        <f t="shared" si="1875"/>
        <v>1.5602660016625103</v>
      </c>
      <c r="BJ245" s="410">
        <f t="shared" si="1875"/>
        <v>1.4926341913519361</v>
      </c>
      <c r="BK245" s="410">
        <f t="shared" si="1875"/>
        <v>1.5303998715272202</v>
      </c>
      <c r="BL245" s="410">
        <f t="shared" si="1875"/>
        <v>1.551436977443859</v>
      </c>
      <c r="BM245" s="410">
        <f t="shared" si="1875"/>
        <v>1.5312588710557922</v>
      </c>
      <c r="BN245" s="410">
        <f t="shared" si="1875"/>
        <v>1.531040945202689</v>
      </c>
      <c r="BO245" s="410">
        <f t="shared" si="1875"/>
        <v>1.4904962868452907</v>
      </c>
      <c r="BP245" s="410">
        <f t="shared" si="1875"/>
        <v>1.4928473892970935</v>
      </c>
      <c r="BQ245" s="410">
        <f t="shared" si="1875"/>
        <v>1.4713596366732897</v>
      </c>
      <c r="BR245" s="410">
        <f t="shared" si="1875"/>
        <v>1.5937180796731358</v>
      </c>
      <c r="BS245" s="410">
        <f t="shared" si="1875"/>
        <v>1.491675499388504</v>
      </c>
      <c r="BT245" s="410">
        <f t="shared" ref="BT245:BU245" si="1876">(BT83-BT89)/BT83</f>
        <v>1.4842628553674071</v>
      </c>
      <c r="BU245" s="410">
        <f t="shared" si="1876"/>
        <v>1.513531969134819</v>
      </c>
      <c r="BV245" s="410">
        <f t="shared" ref="BV245:BZ245" si="1877">(BV83-BV89)/BV83</f>
        <v>1.5121107266435987</v>
      </c>
      <c r="BW245" s="410">
        <f t="shared" si="1877"/>
        <v>1.5046454357194829</v>
      </c>
      <c r="BX245" s="410">
        <f t="shared" si="1877"/>
        <v>1.511828074888298</v>
      </c>
      <c r="BY245" s="410">
        <f t="shared" si="1877"/>
        <v>1.5485724978614199</v>
      </c>
      <c r="BZ245" s="410">
        <f t="shared" si="1877"/>
        <v>1.5084426477463355</v>
      </c>
      <c r="CA245" s="410">
        <f t="shared" ref="CA245:CB245" si="1878">(CA83-CA89)/CA83</f>
        <v>1.5095735621342954</v>
      </c>
      <c r="CB245" s="410">
        <f t="shared" si="1878"/>
        <v>1.5195239232002182</v>
      </c>
      <c r="CC245" s="410">
        <f t="shared" ref="CC245:CD245" si="1879">(CC83-CC89)/CC83</f>
        <v>1.5346574897030132</v>
      </c>
      <c r="CD245" s="410">
        <f t="shared" si="1879"/>
        <v>1.5308288643752257</v>
      </c>
      <c r="CE245" s="410">
        <f t="shared" ref="CE245:CG245" si="1880">(CE83-CE89)/CE83</f>
        <v>1.5062982752415492</v>
      </c>
      <c r="CF245" s="410">
        <f t="shared" si="1880"/>
        <v>1.5341819378909252</v>
      </c>
      <c r="CG245" s="410">
        <f t="shared" si="1880"/>
        <v>1.5327672067276694</v>
      </c>
      <c r="CH245" s="410">
        <f t="shared" ref="CH245:CI245" si="1881">(CH83-CH89)/CH83</f>
        <v>1.523996917827068</v>
      </c>
      <c r="CI245" s="410">
        <f t="shared" si="1881"/>
        <v>1.5265491592537088</v>
      </c>
      <c r="CJ245" s="410">
        <v>1.5128774303976893</v>
      </c>
      <c r="CK245" s="410">
        <f t="shared" ref="CK245:CO245" si="1882">(CK83-CK89)/CK83</f>
        <v>1.5093247412828004</v>
      </c>
      <c r="CL245" s="410" t="e">
        <f t="shared" si="1882"/>
        <v>#DIV/0!</v>
      </c>
      <c r="CM245" s="410" t="e">
        <f t="shared" si="1882"/>
        <v>#DIV/0!</v>
      </c>
      <c r="CN245" s="410">
        <f t="shared" si="1882"/>
        <v>1.5111195179290404</v>
      </c>
      <c r="CO245" s="410" t="e">
        <f t="shared" si="1882"/>
        <v>#DIV/0!</v>
      </c>
    </row>
    <row r="246" spans="1:93" x14ac:dyDescent="0.25">
      <c r="A246" s="340" t="str">
        <f>Language!$G247</f>
        <v>Rio Verde</v>
      </c>
      <c r="B246" s="405">
        <f t="shared" ref="B246:Q246" si="1883">SUM(B84,B90)/B$84</f>
        <v>0.48120944484498918</v>
      </c>
      <c r="C246" s="405">
        <f t="shared" si="1883"/>
        <v>0.50427430718647248</v>
      </c>
      <c r="D246" s="405">
        <f t="shared" si="1883"/>
        <v>0.51068640416364486</v>
      </c>
      <c r="E246" s="406">
        <f t="shared" si="1883"/>
        <v>0.52663448162998117</v>
      </c>
      <c r="F246" s="405">
        <f t="shared" si="1883"/>
        <v>0.56296970176410099</v>
      </c>
      <c r="G246" s="405">
        <f t="shared" si="1883"/>
        <v>0.56497443389335278</v>
      </c>
      <c r="H246" s="405">
        <f t="shared" si="1883"/>
        <v>0.52969057069091752</v>
      </c>
      <c r="I246" s="406">
        <f t="shared" si="1883"/>
        <v>0.45899091343854614</v>
      </c>
      <c r="J246" s="405">
        <f t="shared" si="1883"/>
        <v>0.31029924287946159</v>
      </c>
      <c r="K246" s="405">
        <f t="shared" si="1883"/>
        <v>0.5672327118711159</v>
      </c>
      <c r="L246" s="405">
        <f t="shared" si="1883"/>
        <v>0.60416499207615826</v>
      </c>
      <c r="M246" s="406">
        <f t="shared" si="1883"/>
        <v>0.57970730644275181</v>
      </c>
      <c r="N246" s="405">
        <f t="shared" si="1883"/>
        <v>0.57008312225750057</v>
      </c>
      <c r="O246" s="405">
        <f t="shared" si="1883"/>
        <v>0.61607839833159539</v>
      </c>
      <c r="P246" s="405">
        <f t="shared" si="1883"/>
        <v>0.23334220857272928</v>
      </c>
      <c r="Q246" s="406">
        <f t="shared" si="1883"/>
        <v>0.27961503290610457</v>
      </c>
      <c r="R246" s="406">
        <v>0.29098966026587886</v>
      </c>
      <c r="S246" s="406">
        <v>0.30414936335243847</v>
      </c>
      <c r="T246" s="406">
        <v>0.3307766357171692</v>
      </c>
      <c r="U246" s="406">
        <v>0.52406417112299464</v>
      </c>
      <c r="V246" s="406">
        <v>0.29764985843567071</v>
      </c>
      <c r="W246" s="406">
        <v>0.30953282687637845</v>
      </c>
      <c r="X246" s="406">
        <v>0.34863321279250886</v>
      </c>
      <c r="Y246" s="406" t="e">
        <f t="shared" ref="Y246:AL246" si="1884">(Y84-Y90)/Y84</f>
        <v>#DIV/0!</v>
      </c>
      <c r="Z246" s="406" t="e">
        <f t="shared" si="1884"/>
        <v>#DIV/0!</v>
      </c>
      <c r="AA246" s="406" t="e">
        <f t="shared" si="1884"/>
        <v>#DIV/0!</v>
      </c>
      <c r="AB246" s="406" t="e">
        <f t="shared" si="1884"/>
        <v>#DIV/0!</v>
      </c>
      <c r="AC246" s="406" t="e">
        <f t="shared" si="1884"/>
        <v>#DIV/0!</v>
      </c>
      <c r="AD246" s="406" t="e">
        <f t="shared" si="1884"/>
        <v>#DIV/0!</v>
      </c>
      <c r="AE246" s="406" t="e">
        <f t="shared" si="1884"/>
        <v>#DIV/0!</v>
      </c>
      <c r="AF246" s="406" t="e">
        <f t="shared" si="1884"/>
        <v>#DIV/0!</v>
      </c>
      <c r="AG246" s="406" t="e">
        <f t="shared" si="1884"/>
        <v>#DIV/0!</v>
      </c>
      <c r="AH246" s="406" t="e">
        <f t="shared" si="1884"/>
        <v>#DIV/0!</v>
      </c>
      <c r="AI246" s="406" t="e">
        <f t="shared" si="1884"/>
        <v>#DIV/0!</v>
      </c>
      <c r="AJ246" s="406" t="e">
        <f t="shared" si="1884"/>
        <v>#DIV/0!</v>
      </c>
      <c r="AK246" s="406" t="e">
        <f t="shared" si="1884"/>
        <v>#DIV/0!</v>
      </c>
      <c r="AL246" s="406" t="e">
        <f t="shared" si="1884"/>
        <v>#DIV/0!</v>
      </c>
      <c r="AM246" s="406"/>
      <c r="AN246" s="406"/>
      <c r="AO246" s="406"/>
      <c r="AP246" s="406"/>
      <c r="AQ246" s="406"/>
      <c r="AR246" s="406"/>
      <c r="AS246" s="406"/>
      <c r="AT246" s="406"/>
      <c r="AU246" s="406"/>
      <c r="AV246" s="406"/>
      <c r="AW246" s="406"/>
      <c r="AX246" s="406"/>
      <c r="AY246" s="406"/>
      <c r="AZ246" s="406"/>
      <c r="BA246" s="406"/>
      <c r="BB246" s="406"/>
      <c r="BC246" s="406"/>
      <c r="BD246" s="406"/>
      <c r="BE246" s="406"/>
      <c r="BF246" s="406"/>
      <c r="BG246" s="406"/>
      <c r="BH246" s="406"/>
      <c r="BI246" s="406"/>
      <c r="BJ246" s="406"/>
      <c r="BK246" s="406"/>
      <c r="BL246" s="406"/>
      <c r="BM246" s="406"/>
      <c r="BN246" s="406"/>
      <c r="BO246" s="406"/>
      <c r="BP246" s="406"/>
      <c r="BQ246" s="406"/>
      <c r="BR246" s="406"/>
      <c r="BS246" s="406"/>
      <c r="BT246" s="406"/>
      <c r="BU246" s="406"/>
      <c r="BV246" s="406"/>
      <c r="BW246" s="406"/>
      <c r="BX246" s="406"/>
      <c r="BY246" s="406"/>
      <c r="BZ246" s="406"/>
      <c r="CA246" s="406"/>
      <c r="CB246" s="406"/>
      <c r="CC246" s="406"/>
      <c r="CD246" s="406"/>
      <c r="CE246" s="406"/>
      <c r="CF246" s="406"/>
      <c r="CG246" s="406"/>
      <c r="CH246" s="406"/>
      <c r="CI246" s="406"/>
      <c r="CJ246" s="406"/>
      <c r="CK246" s="406"/>
      <c r="CL246" s="406"/>
      <c r="CM246" s="406"/>
      <c r="CN246" s="406"/>
      <c r="CO246" s="406"/>
    </row>
    <row r="247" spans="1:93" x14ac:dyDescent="0.25">
      <c r="A247" s="340" t="str">
        <f>Language!$G248</f>
        <v>Rio Canoas</v>
      </c>
      <c r="B247" s="405"/>
      <c r="C247" s="405"/>
      <c r="D247" s="405"/>
      <c r="E247" s="406"/>
      <c r="F247" s="405"/>
      <c r="G247" s="405"/>
      <c r="H247" s="405"/>
      <c r="I247" s="406"/>
      <c r="J247" s="405"/>
      <c r="K247" s="405"/>
      <c r="L247" s="405"/>
      <c r="M247" s="406">
        <f>SUM(M85,M91)/M$84</f>
        <v>0.80035264355350777</v>
      </c>
      <c r="N247" s="405">
        <f>SUM(N85,N91)/N85</f>
        <v>0.95079852812867494</v>
      </c>
      <c r="O247" s="405">
        <f>SUM(O85,O91)/O85</f>
        <v>0.28294364545689227</v>
      </c>
      <c r="P247" s="405">
        <f>SUM(P85,P91)/P85</f>
        <v>-0.31249784433041317</v>
      </c>
      <c r="Q247" s="406">
        <f>SUM(Q85,Q91)/Q85</f>
        <v>-0.3196821308097722</v>
      </c>
      <c r="R247" s="406">
        <v>0.59689091065991096</v>
      </c>
      <c r="S247" s="406">
        <v>-0.72480187848547106</v>
      </c>
      <c r="T247" s="406">
        <v>-0.34076107776784575</v>
      </c>
      <c r="U247" s="406">
        <v>2.7073170731707317E-2</v>
      </c>
      <c r="V247" s="406">
        <v>0.36750142635911648</v>
      </c>
      <c r="W247" s="406">
        <v>0.27003707803960847</v>
      </c>
      <c r="X247" s="406">
        <v>0.24634061246174097</v>
      </c>
      <c r="Y247" s="406" t="e">
        <f t="shared" ref="Y247:AL247" si="1885">(Y85-Y91)/Y85</f>
        <v>#DIV/0!</v>
      </c>
      <c r="Z247" s="406" t="e">
        <f t="shared" si="1885"/>
        <v>#DIV/0!</v>
      </c>
      <c r="AA247" s="406" t="e">
        <f t="shared" si="1885"/>
        <v>#DIV/0!</v>
      </c>
      <c r="AB247" s="406" t="e">
        <f t="shared" si="1885"/>
        <v>#DIV/0!</v>
      </c>
      <c r="AC247" s="406" t="e">
        <f t="shared" si="1885"/>
        <v>#DIV/0!</v>
      </c>
      <c r="AD247" s="406" t="e">
        <f t="shared" si="1885"/>
        <v>#DIV/0!</v>
      </c>
      <c r="AE247" s="406" t="e">
        <f t="shared" si="1885"/>
        <v>#DIV/0!</v>
      </c>
      <c r="AF247" s="406" t="e">
        <f t="shared" si="1885"/>
        <v>#DIV/0!</v>
      </c>
      <c r="AG247" s="406" t="e">
        <f t="shared" si="1885"/>
        <v>#DIV/0!</v>
      </c>
      <c r="AH247" s="406" t="e">
        <f t="shared" si="1885"/>
        <v>#DIV/0!</v>
      </c>
      <c r="AI247" s="406" t="e">
        <f t="shared" si="1885"/>
        <v>#DIV/0!</v>
      </c>
      <c r="AJ247" s="406" t="e">
        <f t="shared" si="1885"/>
        <v>#DIV/0!</v>
      </c>
      <c r="AK247" s="406" t="e">
        <f t="shared" si="1885"/>
        <v>#DIV/0!</v>
      </c>
      <c r="AL247" s="406" t="e">
        <f t="shared" si="1885"/>
        <v>#DIV/0!</v>
      </c>
      <c r="AM247" s="406"/>
      <c r="AN247" s="406"/>
      <c r="AO247" s="406"/>
      <c r="AP247" s="406"/>
      <c r="AQ247" s="406"/>
      <c r="AR247" s="406"/>
      <c r="AS247" s="406"/>
      <c r="AT247" s="406"/>
      <c r="AU247" s="406"/>
      <c r="AV247" s="406"/>
      <c r="AW247" s="406"/>
      <c r="AX247" s="406"/>
      <c r="AY247" s="406"/>
      <c r="AZ247" s="406"/>
      <c r="BA247" s="406"/>
      <c r="BB247" s="406"/>
      <c r="BC247" s="406"/>
      <c r="BD247" s="406"/>
      <c r="BE247" s="406"/>
      <c r="BF247" s="406"/>
      <c r="BG247" s="406"/>
      <c r="BH247" s="406"/>
      <c r="BI247" s="406"/>
      <c r="BJ247" s="406"/>
      <c r="BK247" s="406"/>
      <c r="BL247" s="406"/>
      <c r="BM247" s="406"/>
      <c r="BN247" s="406"/>
      <c r="BO247" s="406"/>
      <c r="BP247" s="406"/>
      <c r="BQ247" s="406"/>
      <c r="BR247" s="406"/>
      <c r="BS247" s="406"/>
      <c r="BT247" s="406"/>
      <c r="BU247" s="406"/>
      <c r="BV247" s="406"/>
      <c r="BW247" s="406"/>
      <c r="BX247" s="406"/>
      <c r="BY247" s="406"/>
      <c r="BZ247" s="406"/>
      <c r="CA247" s="406"/>
      <c r="CB247" s="406"/>
      <c r="CC247" s="406"/>
      <c r="CD247" s="406"/>
      <c r="CE247" s="406"/>
      <c r="CF247" s="406"/>
      <c r="CG247" s="406"/>
      <c r="CH247" s="406"/>
      <c r="CI247" s="406"/>
      <c r="CJ247" s="406"/>
      <c r="CK247" s="406"/>
      <c r="CL247" s="406"/>
      <c r="CM247" s="406"/>
      <c r="CN247" s="406"/>
      <c r="CO247" s="406"/>
    </row>
    <row r="248" spans="1:93" x14ac:dyDescent="0.25">
      <c r="A248" s="340" t="str">
        <f>Language!$G249</f>
        <v>Tijoá</v>
      </c>
      <c r="B248" s="405"/>
      <c r="C248" s="405"/>
      <c r="D248" s="405"/>
      <c r="E248" s="406"/>
      <c r="F248" s="405"/>
      <c r="G248" s="405"/>
      <c r="H248" s="405"/>
      <c r="I248" s="406"/>
      <c r="J248" s="405"/>
      <c r="K248" s="405"/>
      <c r="L248" s="405"/>
      <c r="M248" s="406"/>
      <c r="N248" s="405"/>
      <c r="O248" s="405"/>
      <c r="P248" s="405"/>
      <c r="Q248" s="406"/>
      <c r="R248" s="406">
        <v>-4.9576669802445905E-2</v>
      </c>
      <c r="S248" s="406">
        <v>0.25616715758468334</v>
      </c>
      <c r="T248" s="406">
        <v>0.23367697594501718</v>
      </c>
      <c r="U248" s="406">
        <v>0.13676702330596335</v>
      </c>
      <c r="V248" s="406">
        <v>0.10495952358797804</v>
      </c>
      <c r="W248" s="406">
        <v>0.15090501121914734</v>
      </c>
      <c r="X248" s="406">
        <v>0.14715711710127083</v>
      </c>
      <c r="Y248" s="406">
        <f t="shared" ref="Y248:AL248" si="1886">(Y86-Y92)/Y86</f>
        <v>1.7518422345427749</v>
      </c>
      <c r="Z248" s="406">
        <f t="shared" si="1886"/>
        <v>1.7505025514148755</v>
      </c>
      <c r="AA248" s="406">
        <f t="shared" si="1886"/>
        <v>1.7772938879711668</v>
      </c>
      <c r="AB248" s="406">
        <f t="shared" si="1886"/>
        <v>1.8633897481577455</v>
      </c>
      <c r="AC248" s="406">
        <f t="shared" si="1886"/>
        <v>1.7512047971158444</v>
      </c>
      <c r="AD248" s="406">
        <f t="shared" si="1886"/>
        <v>1.756338277879558</v>
      </c>
      <c r="AE248" s="406">
        <f t="shared" si="1886"/>
        <v>1.7849581087224784</v>
      </c>
      <c r="AF248" s="406">
        <f t="shared" si="1886"/>
        <v>1.8277532112023585</v>
      </c>
      <c r="AG248" s="406">
        <f t="shared" si="1886"/>
        <v>1.7394505419592337</v>
      </c>
      <c r="AH248" s="406">
        <f t="shared" si="1886"/>
        <v>1.6499564955491601</v>
      </c>
      <c r="AI248" s="406">
        <f t="shared" si="1886"/>
        <v>1.3599926231019857</v>
      </c>
      <c r="AJ248" s="406">
        <f t="shared" si="1886"/>
        <v>1.7829575321621247</v>
      </c>
      <c r="AK248" s="406">
        <f t="shared" si="1886"/>
        <v>1.7376473539001756</v>
      </c>
      <c r="AL248" s="406">
        <f t="shared" si="1886"/>
        <v>1.6838798596692204</v>
      </c>
      <c r="AM248" s="406">
        <f t="shared" ref="AM248:BS248" si="1887">(AM86-AM92)/AM86</f>
        <v>1.8108402560261474</v>
      </c>
      <c r="AN248" s="406">
        <f t="shared" si="1887"/>
        <v>1.8323529411764705</v>
      </c>
      <c r="AO248" s="406">
        <f t="shared" si="1887"/>
        <v>1.4810329861111111</v>
      </c>
      <c r="AP248" s="406">
        <f t="shared" si="1887"/>
        <v>1.5661557167050242</v>
      </c>
      <c r="AQ248" s="406">
        <f t="shared" si="1887"/>
        <v>1.8215723742578311</v>
      </c>
      <c r="AR248" s="406">
        <f t="shared" si="1887"/>
        <v>1.6716845604248654</v>
      </c>
      <c r="AS248" s="406">
        <f t="shared" si="1887"/>
        <v>1.6394427860696517</v>
      </c>
      <c r="AT248" s="406">
        <f t="shared" si="1887"/>
        <v>1.5155083033125385</v>
      </c>
      <c r="AU248" s="406">
        <f t="shared" si="1887"/>
        <v>1.4966586590958724</v>
      </c>
      <c r="AV248" s="406">
        <f t="shared" si="1887"/>
        <v>1.5264677574590952</v>
      </c>
      <c r="AW248" s="406">
        <f t="shared" si="1887"/>
        <v>1.5569473887068799</v>
      </c>
      <c r="AX248" s="406">
        <f t="shared" si="1887"/>
        <v>1.5060560264581553</v>
      </c>
      <c r="AY248" s="406">
        <f t="shared" si="1887"/>
        <v>1.5134576725485815</v>
      </c>
      <c r="AZ248" s="406">
        <f t="shared" si="1887"/>
        <v>1.5250212652571815</v>
      </c>
      <c r="BA248" s="406">
        <f t="shared" si="1887"/>
        <v>1.5017248730570953</v>
      </c>
      <c r="BB248" s="406">
        <f t="shared" si="1887"/>
        <v>1.4834372941769014</v>
      </c>
      <c r="BC248" s="406">
        <f t="shared" si="1887"/>
        <v>1.5186673752740318</v>
      </c>
      <c r="BD248" s="406">
        <f t="shared" si="1887"/>
        <v>1.5620495036039712</v>
      </c>
      <c r="BE248" s="406">
        <f t="shared" si="1887"/>
        <v>1.4925789575663631</v>
      </c>
      <c r="BF248" s="406">
        <f t="shared" si="1887"/>
        <v>1.502190513485731</v>
      </c>
      <c r="BG248" s="406">
        <f t="shared" si="1887"/>
        <v>1.5180332589446404</v>
      </c>
      <c r="BH248" s="406">
        <f t="shared" si="1887"/>
        <v>1.5250862663906142</v>
      </c>
      <c r="BI248" s="406">
        <f t="shared" si="1887"/>
        <v>1.5461005080324042</v>
      </c>
      <c r="BJ248" s="406">
        <f t="shared" si="1887"/>
        <v>1.4706390041493775</v>
      </c>
      <c r="BK248" s="406">
        <f t="shared" si="1887"/>
        <v>1.5146053243045874</v>
      </c>
      <c r="BL248" s="406">
        <f t="shared" si="1887"/>
        <v>1.5356208700440528</v>
      </c>
      <c r="BM248" s="406">
        <f t="shared" si="1887"/>
        <v>1.5134354069154663</v>
      </c>
      <c r="BN248" s="406">
        <f t="shared" si="1887"/>
        <v>1.5137331767528703</v>
      </c>
      <c r="BO248" s="406">
        <f t="shared" si="1887"/>
        <v>1.4764338062260471</v>
      </c>
      <c r="BP248" s="406">
        <f t="shared" si="1887"/>
        <v>1.4786604725777881</v>
      </c>
      <c r="BQ248" s="406">
        <f t="shared" si="1887"/>
        <v>1.4576429133055708</v>
      </c>
      <c r="BR248" s="406">
        <f t="shared" si="1887"/>
        <v>1.5828526481384373</v>
      </c>
      <c r="BS248" s="406">
        <f t="shared" si="1887"/>
        <v>1.4775504047463421</v>
      </c>
      <c r="BT248" s="406">
        <f t="shared" ref="BT248:BU248" si="1888">(BT86-BT92)/BT86</f>
        <v>1.4702784928621577</v>
      </c>
      <c r="BU248" s="406">
        <f t="shared" si="1888"/>
        <v>1.5003896144375526</v>
      </c>
      <c r="BV248" s="406">
        <f t="shared" ref="BV248:BZ248" si="1889">(BV86-BV92)/BV86</f>
        <v>1.4678931540774809</v>
      </c>
      <c r="BW248" s="406">
        <f t="shared" si="1889"/>
        <v>1.4811981593833348</v>
      </c>
      <c r="BX248" s="406">
        <f t="shared" si="1889"/>
        <v>1.4871713652201457</v>
      </c>
      <c r="BY248" s="406">
        <f t="shared" si="1889"/>
        <v>1.5140151951191436</v>
      </c>
      <c r="BZ248" s="406">
        <f t="shared" si="1889"/>
        <v>1.4745653100518836</v>
      </c>
      <c r="CA248" s="406">
        <f t="shared" ref="CA248:CB248" si="1890">(CA86-CA92)/CA86</f>
        <v>1.4788252695496478</v>
      </c>
      <c r="CB248" s="406">
        <f t="shared" si="1890"/>
        <v>1.4877174355692595</v>
      </c>
      <c r="CC248" s="406">
        <f t="shared" ref="CC248:CD248" si="1891">(CC86-CC92)/CC86</f>
        <v>1.5023905421459824</v>
      </c>
      <c r="CD248" s="406">
        <f t="shared" si="1891"/>
        <v>1.5110190843010629</v>
      </c>
      <c r="CE248" s="406">
        <f t="shared" ref="CE248:CG248" si="1892">(CE86-CE92)/CE86</f>
        <v>1.4797689547536392</v>
      </c>
      <c r="CF248" s="406">
        <f t="shared" si="1892"/>
        <v>1.5047830144657024</v>
      </c>
      <c r="CG248" s="406">
        <f t="shared" si="1892"/>
        <v>1.5067060629761595</v>
      </c>
      <c r="CH248" s="406">
        <f t="shared" ref="CH248:CI248" si="1893">(CH86-CH92)/CH86</f>
        <v>1.4977690885686357</v>
      </c>
      <c r="CI248" s="406">
        <f t="shared" si="1893"/>
        <v>1.4995167467244148</v>
      </c>
      <c r="CJ248" s="406">
        <v>1.4668969150617572</v>
      </c>
      <c r="CK248" s="406">
        <f t="shared" ref="CK248:CO248" si="1894">(CK86-CK92)/CK86</f>
        <v>1.4776314642016219</v>
      </c>
      <c r="CL248" s="406" t="e">
        <f t="shared" si="1894"/>
        <v>#DIV/0!</v>
      </c>
      <c r="CM248" s="406" t="e">
        <f t="shared" si="1894"/>
        <v>#DIV/0!</v>
      </c>
      <c r="CN248" s="406">
        <f t="shared" si="1894"/>
        <v>1.4722825849169425</v>
      </c>
      <c r="CO248" s="406" t="e">
        <f t="shared" si="1894"/>
        <v>#DIV/0!</v>
      </c>
    </row>
    <row r="249" spans="1:93" s="377" customFormat="1" ht="13" x14ac:dyDescent="0.3">
      <c r="A249" s="366" t="str">
        <f>Language!$G250</f>
        <v>Margem EBITDA</v>
      </c>
      <c r="B249" s="409">
        <f t="shared" ref="B249:Q249" si="1895">B172/B$83</f>
        <v>0.68979812545061281</v>
      </c>
      <c r="C249" s="409">
        <f t="shared" si="1895"/>
        <v>0.6807891028651949</v>
      </c>
      <c r="D249" s="409">
        <f t="shared" si="1895"/>
        <v>0.653129132716181</v>
      </c>
      <c r="E249" s="410">
        <f t="shared" si="1895"/>
        <v>0.75259798707143444</v>
      </c>
      <c r="F249" s="409">
        <f t="shared" si="1895"/>
        <v>0.73930068823669015</v>
      </c>
      <c r="G249" s="409">
        <f t="shared" si="1895"/>
        <v>0.67560262965668372</v>
      </c>
      <c r="H249" s="409">
        <f t="shared" si="1895"/>
        <v>0.70259334900389192</v>
      </c>
      <c r="I249" s="410">
        <f t="shared" si="1895"/>
        <v>0.58516658695998724</v>
      </c>
      <c r="J249" s="409">
        <f t="shared" si="1895"/>
        <v>0.67657455012853474</v>
      </c>
      <c r="K249" s="409">
        <f t="shared" si="1895"/>
        <v>0.71974824842655272</v>
      </c>
      <c r="L249" s="409">
        <f t="shared" si="1895"/>
        <v>0.47706852621697732</v>
      </c>
      <c r="M249" s="410">
        <f t="shared" si="1895"/>
        <v>0.75669023598805574</v>
      </c>
      <c r="N249" s="409">
        <f t="shared" si="1895"/>
        <v>0.93339583708286067</v>
      </c>
      <c r="O249" s="409">
        <f t="shared" si="1895"/>
        <v>0.4997079965037623</v>
      </c>
      <c r="P249" s="409">
        <f t="shared" si="1895"/>
        <v>0.1637623883920562</v>
      </c>
      <c r="Q249" s="410">
        <f t="shared" si="1895"/>
        <v>0.2467078918031019</v>
      </c>
      <c r="R249" s="410">
        <v>0.54576510094938024</v>
      </c>
      <c r="S249" s="410">
        <v>0.35198435076836315</v>
      </c>
      <c r="T249" s="410">
        <v>0.42179690956461896</v>
      </c>
      <c r="U249" s="410">
        <v>0.43973955894485695</v>
      </c>
      <c r="V249" s="410">
        <v>0.45079476061325408</v>
      </c>
      <c r="W249" s="410">
        <v>0.44337097694398764</v>
      </c>
      <c r="X249" s="410">
        <v>0.44279595936770672</v>
      </c>
      <c r="Y249" s="410">
        <f t="shared" ref="Y249:BS249" si="1896">Y172/Y83</f>
        <v>0.15313355323180575</v>
      </c>
      <c r="Z249" s="410">
        <f t="shared" si="1896"/>
        <v>0.15555899180454616</v>
      </c>
      <c r="AA249" s="410">
        <f t="shared" si="1896"/>
        <v>0.16002000250031254</v>
      </c>
      <c r="AB249" s="410">
        <f t="shared" si="1896"/>
        <v>0.190843862111995</v>
      </c>
      <c r="AC249" s="410">
        <f t="shared" si="1896"/>
        <v>0.15428760622447854</v>
      </c>
      <c r="AD249" s="410">
        <f t="shared" si="1896"/>
        <v>0.1555909271786709</v>
      </c>
      <c r="AE249" s="410">
        <f t="shared" si="1896"/>
        <v>0.16500708274310474</v>
      </c>
      <c r="AF249" s="410">
        <f t="shared" si="1896"/>
        <v>0.16649697956967352</v>
      </c>
      <c r="AG249" s="410">
        <f t="shared" si="1896"/>
        <v>0.20184757505773673</v>
      </c>
      <c r="AH249" s="410">
        <f t="shared" si="1896"/>
        <v>0.18353133961491191</v>
      </c>
      <c r="AI249" s="410">
        <f t="shared" si="1896"/>
        <v>0.45409282200225237</v>
      </c>
      <c r="AJ249" s="410">
        <f t="shared" si="1896"/>
        <v>0.18442184154175589</v>
      </c>
      <c r="AK249" s="410">
        <f t="shared" si="1896"/>
        <v>0.18412898010508824</v>
      </c>
      <c r="AL249" s="410">
        <f t="shared" si="1896"/>
        <v>0.24111892387649037</v>
      </c>
      <c r="AM249" s="410">
        <f t="shared" si="1896"/>
        <v>0.1773857066221613</v>
      </c>
      <c r="AN249" s="410">
        <f t="shared" si="1896"/>
        <v>0.14289983265598852</v>
      </c>
      <c r="AO249" s="410">
        <f t="shared" si="1896"/>
        <v>0.46062490036665071</v>
      </c>
      <c r="AP249" s="410">
        <f t="shared" si="1896"/>
        <v>0.36132950786889984</v>
      </c>
      <c r="AQ249" s="410">
        <f t="shared" si="1896"/>
        <v>0.16016592557223433</v>
      </c>
      <c r="AR249" s="410">
        <f t="shared" si="1896"/>
        <v>0.28881759696933501</v>
      </c>
      <c r="AS249" s="410">
        <f t="shared" si="1896"/>
        <v>0.31096463360440335</v>
      </c>
      <c r="AT249" s="410">
        <f t="shared" si="1896"/>
        <v>0.425989918961381</v>
      </c>
      <c r="AU249" s="410">
        <f t="shared" si="1896"/>
        <v>0.46065204543562099</v>
      </c>
      <c r="AV249" s="410">
        <f t="shared" si="1896"/>
        <v>0.44495027984183011</v>
      </c>
      <c r="AW249" s="410">
        <f t="shared" si="1896"/>
        <v>0.36919213059857681</v>
      </c>
      <c r="AX249" s="410">
        <f t="shared" si="1896"/>
        <v>0.44306266617850948</v>
      </c>
      <c r="AY249" s="410">
        <f t="shared" si="1896"/>
        <v>0.44374424787810612</v>
      </c>
      <c r="AZ249" s="410">
        <f t="shared" si="1896"/>
        <v>0.42375116931711881</v>
      </c>
      <c r="BA249" s="410">
        <f t="shared" si="1896"/>
        <v>0.41195397474906448</v>
      </c>
      <c r="BB249" s="410">
        <f t="shared" si="1896"/>
        <v>0.45221232476635514</v>
      </c>
      <c r="BC249" s="410">
        <f t="shared" si="1896"/>
        <v>0.43423524990605034</v>
      </c>
      <c r="BD249" s="410">
        <f t="shared" si="1896"/>
        <v>0.39459774960277572</v>
      </c>
      <c r="BE249" s="410">
        <f t="shared" si="1896"/>
        <v>0.43165133517906584</v>
      </c>
      <c r="BF249" s="410">
        <f t="shared" si="1896"/>
        <v>0.43258982904330223</v>
      </c>
      <c r="BG249" s="410">
        <f t="shared" si="1896"/>
        <v>0.4227239044764054</v>
      </c>
      <c r="BH249" s="410">
        <f t="shared" si="1896"/>
        <v>0.43701389350528486</v>
      </c>
      <c r="BI249" s="410">
        <f t="shared" si="1896"/>
        <v>0.40907730673316706</v>
      </c>
      <c r="BJ249" s="410">
        <f t="shared" si="1896"/>
        <v>0.48222978777562125</v>
      </c>
      <c r="BK249" s="410">
        <f t="shared" si="1896"/>
        <v>0.43224666773727316</v>
      </c>
      <c r="BL249" s="410">
        <f t="shared" si="1896"/>
        <v>0.42304815411977859</v>
      </c>
      <c r="BM249" s="410">
        <f t="shared" si="1896"/>
        <v>0.44335626160061142</v>
      </c>
      <c r="BN249" s="410">
        <f t="shared" si="1896"/>
        <v>0.44053778773680996</v>
      </c>
      <c r="BO249" s="410">
        <f t="shared" si="1896"/>
        <v>0.46268852029966956</v>
      </c>
      <c r="BP249" s="410">
        <f t="shared" si="1896"/>
        <v>0.46618765849535082</v>
      </c>
      <c r="BQ249" s="410">
        <f t="shared" si="1896"/>
        <v>0.49503264263411867</v>
      </c>
      <c r="BR249" s="410">
        <f t="shared" si="1896"/>
        <v>0.44731018045624787</v>
      </c>
      <c r="BS249" s="410">
        <f t="shared" si="1896"/>
        <v>0.47753770892784347</v>
      </c>
      <c r="BT249" s="410">
        <f t="shared" ref="BT249:BU249" si="1897">BT172/BT83</f>
        <v>0.48380715654290302</v>
      </c>
      <c r="BU249" s="410">
        <f t="shared" si="1897"/>
        <v>0.47412347589890669</v>
      </c>
      <c r="BV249" s="410">
        <f t="shared" ref="BV249:BZ249" si="1898">BV172/BV83</f>
        <v>0.48015787197231835</v>
      </c>
      <c r="BW249" s="410">
        <f t="shared" si="1898"/>
        <v>0.48413275871718814</v>
      </c>
      <c r="BX249" s="410">
        <f t="shared" si="1898"/>
        <v>0.48649982182505963</v>
      </c>
      <c r="BY249" s="410">
        <f t="shared" si="1898"/>
        <v>0.42373289136013687</v>
      </c>
      <c r="BZ249" s="410">
        <f t="shared" si="1898"/>
        <v>0.48209718670076729</v>
      </c>
      <c r="CA249" s="410">
        <f t="shared" ref="CA249:CB249" si="1899">CA172/CA83</f>
        <v>0.48357706007856638</v>
      </c>
      <c r="CB249" s="410">
        <f t="shared" si="1899"/>
        <v>0.46830815400879855</v>
      </c>
      <c r="CC249" s="410">
        <f t="shared" ref="CC249:CD249" si="1900">CC172/CC83</f>
        <v>0.45629200086711469</v>
      </c>
      <c r="CD249" s="410">
        <f t="shared" si="1900"/>
        <v>0.46717052432687767</v>
      </c>
      <c r="CE249" s="410">
        <f t="shared" ref="CE249:CG249" si="1901">CE172/CE83</f>
        <v>0.48373522327731788</v>
      </c>
      <c r="CF249" s="410">
        <f t="shared" si="1901"/>
        <v>0.44935805991440797</v>
      </c>
      <c r="CG249" s="410">
        <f t="shared" si="1901"/>
        <v>0.46166298547185602</v>
      </c>
      <c r="CH249" s="410">
        <f t="shared" ref="CH249:CI249" si="1902">CH172/CH83</f>
        <v>0.46897646173885921</v>
      </c>
      <c r="CI249" s="410">
        <f t="shared" si="1902"/>
        <v>0.4640603302489929</v>
      </c>
      <c r="CJ249" s="410">
        <v>0.43202909791126209</v>
      </c>
      <c r="CK249" s="410">
        <f t="shared" ref="CK249:CO249" si="1903">CK172/CK83</f>
        <v>0.46214127733937688</v>
      </c>
      <c r="CL249" s="410" t="e">
        <f t="shared" si="1903"/>
        <v>#DIV/0!</v>
      </c>
      <c r="CM249" s="410" t="e">
        <f t="shared" si="1903"/>
        <v>#DIV/0!</v>
      </c>
      <c r="CN249" s="410">
        <f t="shared" si="1903"/>
        <v>0.44692895938606209</v>
      </c>
      <c r="CO249" s="410" t="e">
        <f t="shared" si="1903"/>
        <v>#DIV/0!</v>
      </c>
    </row>
    <row r="250" spans="1:93" x14ac:dyDescent="0.25">
      <c r="A250" s="340" t="str">
        <f>Language!$G251</f>
        <v>Rio Verde</v>
      </c>
      <c r="B250" s="405">
        <f t="shared" ref="B250:Q250" si="1904">B173/B$84</f>
        <v>0.70732696467195388</v>
      </c>
      <c r="C250" s="405">
        <f t="shared" si="1904"/>
        <v>0.72287458900892443</v>
      </c>
      <c r="D250" s="405">
        <f t="shared" si="1904"/>
        <v>0.72211083144917021</v>
      </c>
      <c r="E250" s="406">
        <f t="shared" si="1904"/>
        <v>0.68402749365845672</v>
      </c>
      <c r="F250" s="405">
        <f t="shared" si="1904"/>
        <v>0.75646705165730554</v>
      </c>
      <c r="G250" s="405">
        <f t="shared" si="1904"/>
        <v>0.69287801314828346</v>
      </c>
      <c r="H250" s="405">
        <f t="shared" si="1904"/>
        <v>0.71704365920388424</v>
      </c>
      <c r="I250" s="406">
        <f t="shared" si="1904"/>
        <v>0.61776661884265904</v>
      </c>
      <c r="J250" s="405">
        <f t="shared" si="1904"/>
        <v>0.50883307294796298</v>
      </c>
      <c r="K250" s="405">
        <f t="shared" si="1904"/>
        <v>0.7529588726596208</v>
      </c>
      <c r="L250" s="405">
        <f t="shared" si="1904"/>
        <v>0.7696302264589443</v>
      </c>
      <c r="M250" s="406">
        <f t="shared" si="1904"/>
        <v>0.66115336085598986</v>
      </c>
      <c r="N250" s="405">
        <f t="shared" si="1904"/>
        <v>0.70668188790981412</v>
      </c>
      <c r="O250" s="405">
        <f t="shared" si="1904"/>
        <v>0.69065608342022933</v>
      </c>
      <c r="P250" s="405">
        <f t="shared" si="1904"/>
        <v>0.31626148812561466</v>
      </c>
      <c r="Q250" s="406">
        <f t="shared" si="1904"/>
        <v>0.40409508516779047</v>
      </c>
      <c r="R250" s="406">
        <v>0.42058802841668425</v>
      </c>
      <c r="S250" s="406">
        <v>0.45969042797817206</v>
      </c>
      <c r="T250" s="406">
        <v>0.45759711828090549</v>
      </c>
      <c r="U250" s="406">
        <v>0.68019391273926733</v>
      </c>
      <c r="V250" s="406">
        <v>0.44037796807420404</v>
      </c>
      <c r="W250" s="406">
        <v>0.44655468175641055</v>
      </c>
      <c r="X250" s="406">
        <v>0.48913766247961887</v>
      </c>
      <c r="Y250" s="406" t="e">
        <f t="shared" ref="Y250:AL250" si="1905">Y173/Y84</f>
        <v>#DIV/0!</v>
      </c>
      <c r="Z250" s="406" t="e">
        <f t="shared" si="1905"/>
        <v>#DIV/0!</v>
      </c>
      <c r="AA250" s="406" t="e">
        <f t="shared" si="1905"/>
        <v>#DIV/0!</v>
      </c>
      <c r="AB250" s="406" t="e">
        <f t="shared" si="1905"/>
        <v>#DIV/0!</v>
      </c>
      <c r="AC250" s="406" t="e">
        <f t="shared" si="1905"/>
        <v>#DIV/0!</v>
      </c>
      <c r="AD250" s="406" t="e">
        <f t="shared" si="1905"/>
        <v>#DIV/0!</v>
      </c>
      <c r="AE250" s="406" t="e">
        <f t="shared" si="1905"/>
        <v>#DIV/0!</v>
      </c>
      <c r="AF250" s="406" t="e">
        <f t="shared" si="1905"/>
        <v>#DIV/0!</v>
      </c>
      <c r="AG250" s="406" t="e">
        <f t="shared" si="1905"/>
        <v>#DIV/0!</v>
      </c>
      <c r="AH250" s="406" t="e">
        <f t="shared" si="1905"/>
        <v>#DIV/0!</v>
      </c>
      <c r="AI250" s="406" t="e">
        <f t="shared" si="1905"/>
        <v>#DIV/0!</v>
      </c>
      <c r="AJ250" s="406" t="e">
        <f t="shared" si="1905"/>
        <v>#DIV/0!</v>
      </c>
      <c r="AK250" s="406" t="e">
        <f t="shared" si="1905"/>
        <v>#DIV/0!</v>
      </c>
      <c r="AL250" s="406" t="e">
        <f t="shared" si="1905"/>
        <v>#DIV/0!</v>
      </c>
      <c r="AM250" s="406"/>
      <c r="AN250" s="406"/>
      <c r="AO250" s="406"/>
      <c r="AP250" s="406"/>
      <c r="AQ250" s="406"/>
      <c r="AR250" s="406"/>
      <c r="AS250" s="406"/>
      <c r="AT250" s="406"/>
      <c r="AU250" s="406"/>
      <c r="AV250" s="406"/>
      <c r="AW250" s="406"/>
      <c r="AX250" s="406"/>
      <c r="AY250" s="406"/>
      <c r="AZ250" s="406"/>
      <c r="BA250" s="406"/>
      <c r="BB250" s="406"/>
      <c r="BC250" s="406"/>
      <c r="BD250" s="406"/>
      <c r="BE250" s="406"/>
      <c r="BF250" s="406"/>
      <c r="BG250" s="406"/>
      <c r="BH250" s="406"/>
      <c r="BI250" s="406"/>
      <c r="BJ250" s="406"/>
      <c r="BK250" s="406"/>
      <c r="BL250" s="406"/>
      <c r="BM250" s="406"/>
      <c r="BN250" s="406"/>
      <c r="BO250" s="406"/>
      <c r="BP250" s="406"/>
      <c r="BQ250" s="406"/>
      <c r="BR250" s="406"/>
      <c r="BS250" s="406"/>
      <c r="BT250" s="406"/>
      <c r="BU250" s="406"/>
      <c r="BV250" s="406"/>
      <c r="BW250" s="406"/>
      <c r="BX250" s="406"/>
      <c r="BY250" s="406"/>
      <c r="BZ250" s="406"/>
      <c r="CA250" s="406"/>
      <c r="CB250" s="406"/>
      <c r="CC250" s="406"/>
      <c r="CD250" s="406"/>
      <c r="CE250" s="406"/>
      <c r="CF250" s="406"/>
      <c r="CG250" s="406"/>
      <c r="CH250" s="406"/>
      <c r="CI250" s="406"/>
      <c r="CJ250" s="406"/>
      <c r="CK250" s="406"/>
      <c r="CL250" s="406"/>
      <c r="CM250" s="406"/>
      <c r="CN250" s="406"/>
      <c r="CO250" s="406"/>
    </row>
    <row r="251" spans="1:93" x14ac:dyDescent="0.25">
      <c r="A251" s="340" t="str">
        <f>Language!$G252</f>
        <v>Rio Canoas</v>
      </c>
      <c r="B251" s="405"/>
      <c r="C251" s="405"/>
      <c r="D251" s="405"/>
      <c r="E251" s="406"/>
      <c r="F251" s="405"/>
      <c r="G251" s="405"/>
      <c r="H251" s="405"/>
      <c r="I251" s="406"/>
      <c r="J251" s="405"/>
      <c r="K251" s="405"/>
      <c r="L251" s="405"/>
      <c r="M251" s="406"/>
      <c r="N251" s="405">
        <f t="shared" ref="N251:Q251" si="1906">N174/N$85</f>
        <v>0.96460680550813704</v>
      </c>
      <c r="O251" s="405">
        <f t="shared" si="1906"/>
        <v>0.23151101768198259</v>
      </c>
      <c r="P251" s="405">
        <f t="shared" si="1906"/>
        <v>-8.7300580647175816E-2</v>
      </c>
      <c r="Q251" s="406">
        <f t="shared" si="1906"/>
        <v>0.16827238757360977</v>
      </c>
      <c r="R251" s="406">
        <v>0.68189158869287569</v>
      </c>
      <c r="S251" s="406">
        <v>-0.25887877898444378</v>
      </c>
      <c r="T251" s="406">
        <v>0.12948537862341974</v>
      </c>
      <c r="U251" s="406">
        <v>0.42552845528455285</v>
      </c>
      <c r="V251" s="406">
        <v>0.51861398646996493</v>
      </c>
      <c r="W251" s="406">
        <v>0.46506580912717238</v>
      </c>
      <c r="X251" s="406">
        <v>0.46120969916107651</v>
      </c>
      <c r="Y251" s="406" t="e">
        <f t="shared" ref="Y251:AL251" si="1907">Y174/Y85</f>
        <v>#DIV/0!</v>
      </c>
      <c r="Z251" s="406" t="e">
        <f t="shared" si="1907"/>
        <v>#DIV/0!</v>
      </c>
      <c r="AA251" s="406" t="e">
        <f t="shared" si="1907"/>
        <v>#DIV/0!</v>
      </c>
      <c r="AB251" s="406" t="e">
        <f t="shared" si="1907"/>
        <v>#DIV/0!</v>
      </c>
      <c r="AC251" s="406" t="e">
        <f t="shared" si="1907"/>
        <v>#DIV/0!</v>
      </c>
      <c r="AD251" s="406" t="e">
        <f t="shared" si="1907"/>
        <v>#DIV/0!</v>
      </c>
      <c r="AE251" s="406" t="e">
        <f t="shared" si="1907"/>
        <v>#DIV/0!</v>
      </c>
      <c r="AF251" s="406" t="e">
        <f t="shared" si="1907"/>
        <v>#DIV/0!</v>
      </c>
      <c r="AG251" s="406" t="e">
        <f t="shared" si="1907"/>
        <v>#DIV/0!</v>
      </c>
      <c r="AH251" s="406" t="e">
        <f t="shared" si="1907"/>
        <v>#DIV/0!</v>
      </c>
      <c r="AI251" s="406" t="e">
        <f t="shared" si="1907"/>
        <v>#DIV/0!</v>
      </c>
      <c r="AJ251" s="406" t="e">
        <f t="shared" si="1907"/>
        <v>#DIV/0!</v>
      </c>
      <c r="AK251" s="406" t="e">
        <f t="shared" si="1907"/>
        <v>#DIV/0!</v>
      </c>
      <c r="AL251" s="406" t="e">
        <f t="shared" si="1907"/>
        <v>#DIV/0!</v>
      </c>
      <c r="AM251" s="406"/>
      <c r="AN251" s="406"/>
      <c r="AO251" s="406"/>
      <c r="AP251" s="406"/>
      <c r="AQ251" s="406"/>
      <c r="AR251" s="406"/>
      <c r="AS251" s="406"/>
      <c r="AT251" s="406"/>
      <c r="AU251" s="406"/>
      <c r="AV251" s="406"/>
      <c r="AW251" s="406"/>
      <c r="AX251" s="406"/>
      <c r="AY251" s="406"/>
      <c r="AZ251" s="406"/>
      <c r="BA251" s="406"/>
      <c r="BB251" s="406"/>
      <c r="BC251" s="406"/>
      <c r="BD251" s="406"/>
      <c r="BE251" s="406"/>
      <c r="BF251" s="406"/>
      <c r="BG251" s="406"/>
      <c r="BH251" s="406"/>
      <c r="BI251" s="406"/>
      <c r="BJ251" s="406"/>
      <c r="BK251" s="406"/>
      <c r="BL251" s="406"/>
      <c r="BM251" s="406"/>
      <c r="BN251" s="406"/>
      <c r="BO251" s="406"/>
      <c r="BP251" s="406"/>
      <c r="BQ251" s="406"/>
      <c r="BR251" s="406"/>
      <c r="BS251" s="406"/>
      <c r="BT251" s="406"/>
      <c r="BU251" s="406"/>
      <c r="BV251" s="406"/>
      <c r="BW251" s="406"/>
      <c r="BX251" s="406"/>
      <c r="BY251" s="406"/>
      <c r="BZ251" s="406"/>
      <c r="CA251" s="406"/>
      <c r="CB251" s="406"/>
      <c r="CC251" s="406"/>
      <c r="CD251" s="406"/>
      <c r="CE251" s="406"/>
      <c r="CF251" s="406"/>
      <c r="CG251" s="406"/>
      <c r="CH251" s="406"/>
      <c r="CI251" s="406"/>
      <c r="CJ251" s="406"/>
      <c r="CK251" s="406"/>
      <c r="CL251" s="406"/>
      <c r="CM251" s="406"/>
      <c r="CN251" s="406"/>
      <c r="CO251" s="406"/>
    </row>
    <row r="252" spans="1:93" x14ac:dyDescent="0.25">
      <c r="A252" s="340" t="str">
        <f>Language!$G253</f>
        <v>Tijoá</v>
      </c>
      <c r="B252" s="405"/>
      <c r="C252" s="405"/>
      <c r="D252" s="405"/>
      <c r="E252" s="406"/>
      <c r="F252" s="405"/>
      <c r="G252" s="405"/>
      <c r="H252" s="405"/>
      <c r="I252" s="406"/>
      <c r="J252" s="405"/>
      <c r="K252" s="405"/>
      <c r="L252" s="405"/>
      <c r="M252" s="406"/>
      <c r="N252" s="405"/>
      <c r="O252" s="405"/>
      <c r="P252" s="405"/>
      <c r="Q252" s="406"/>
      <c r="R252" s="406">
        <v>-9.3938385295314168E-3</v>
      </c>
      <c r="S252" s="406">
        <v>0.13331376577634282</v>
      </c>
      <c r="T252" s="406">
        <v>0.42223215425871535</v>
      </c>
      <c r="U252" s="406">
        <v>2.0813008130081301E-2</v>
      </c>
      <c r="V252" s="406">
        <v>1.5374113619691907E-2</v>
      </c>
      <c r="W252" s="406">
        <v>7.1362046848366639E-2</v>
      </c>
      <c r="X252" s="406">
        <v>6.6431958386856338E-2</v>
      </c>
      <c r="Y252" s="406">
        <f t="shared" ref="Y252:AL252" si="1908">Y175/Y86</f>
        <v>0.15313355323180575</v>
      </c>
      <c r="Z252" s="406">
        <f t="shared" si="1908"/>
        <v>0.15555899180454616</v>
      </c>
      <c r="AA252" s="406">
        <f t="shared" si="1908"/>
        <v>-9.0103619162036335E-3</v>
      </c>
      <c r="AB252" s="406">
        <f t="shared" si="1908"/>
        <v>0.15985100008097822</v>
      </c>
      <c r="AC252" s="406">
        <f t="shared" si="1908"/>
        <v>0.15428760622447854</v>
      </c>
      <c r="AD252" s="406">
        <f t="shared" si="1908"/>
        <v>0.12215590095148041</v>
      </c>
      <c r="AE252" s="406">
        <f t="shared" si="1908"/>
        <v>0.13223355199064754</v>
      </c>
      <c r="AF252" s="406">
        <f t="shared" si="1908"/>
        <v>0.13806415385695234</v>
      </c>
      <c r="AG252" s="406">
        <f t="shared" si="1908"/>
        <v>0.1754039130138387</v>
      </c>
      <c r="AH252" s="406">
        <f t="shared" si="1908"/>
        <v>0.46790710126497559</v>
      </c>
      <c r="AI252" s="406">
        <f t="shared" si="1908"/>
        <v>0.47660908587938772</v>
      </c>
      <c r="AJ252" s="406">
        <f t="shared" si="1908"/>
        <v>0.15700650159081478</v>
      </c>
      <c r="AK252" s="406">
        <f t="shared" si="1908"/>
        <v>0.26292268052990403</v>
      </c>
      <c r="AL252" s="406">
        <f t="shared" si="1908"/>
        <v>0.26899119352760076</v>
      </c>
      <c r="AM252" s="406">
        <f t="shared" ref="AM252:BS252" si="1909">AM175/AM86</f>
        <v>0.15565845022470379</v>
      </c>
      <c r="AN252" s="406">
        <f t="shared" si="1909"/>
        <v>0.15013679890560874</v>
      </c>
      <c r="AO252" s="406">
        <f t="shared" si="1909"/>
        <v>0.4763454861111111</v>
      </c>
      <c r="AP252" s="406">
        <f t="shared" si="1909"/>
        <v>0.40586782075311761</v>
      </c>
      <c r="AQ252" s="406">
        <f t="shared" si="1909"/>
        <v>0.15290384221661094</v>
      </c>
      <c r="AR252" s="406">
        <f t="shared" si="1909"/>
        <v>0.29526611393420699</v>
      </c>
      <c r="AS252" s="406">
        <f t="shared" si="1909"/>
        <v>0.3290577783631648</v>
      </c>
      <c r="AT252" s="406">
        <f t="shared" si="1909"/>
        <v>0.47197082857393902</v>
      </c>
      <c r="AU252" s="406">
        <f t="shared" si="1909"/>
        <v>0.4880541602970081</v>
      </c>
      <c r="AV252" s="406">
        <f t="shared" si="1909"/>
        <v>0.46252165543792106</v>
      </c>
      <c r="AW252" s="406">
        <f t="shared" si="1909"/>
        <v>0.39552900366159183</v>
      </c>
      <c r="AX252" s="406">
        <f t="shared" si="1909"/>
        <v>0.48003592001226536</v>
      </c>
      <c r="AY252" s="406">
        <f t="shared" si="1909"/>
        <v>0.47368494527585436</v>
      </c>
      <c r="AZ252" s="406">
        <f t="shared" si="1909"/>
        <v>0.45290386054090614</v>
      </c>
      <c r="BA252" s="406">
        <f t="shared" si="1909"/>
        <v>0.46571572541571377</v>
      </c>
      <c r="BB252" s="406">
        <f t="shared" si="1909"/>
        <v>0.47964046336833133</v>
      </c>
      <c r="BC252" s="406">
        <f t="shared" si="1909"/>
        <v>0.45605527137447682</v>
      </c>
      <c r="BD252" s="406">
        <f t="shared" si="1909"/>
        <v>0.41469468244254049</v>
      </c>
      <c r="BE252" s="406">
        <f t="shared" si="1909"/>
        <v>0.47267971323386943</v>
      </c>
      <c r="BF252" s="406">
        <f t="shared" si="1909"/>
        <v>0.46655489744970385</v>
      </c>
      <c r="BG252" s="406">
        <f t="shared" si="1909"/>
        <v>0.45282916996616512</v>
      </c>
      <c r="BH252" s="406">
        <f t="shared" si="1909"/>
        <v>0.45452035886818498</v>
      </c>
      <c r="BI252" s="406">
        <f t="shared" si="1909"/>
        <v>0.42382946587944531</v>
      </c>
      <c r="BJ252" s="406">
        <f t="shared" si="1909"/>
        <v>0.50479668049792537</v>
      </c>
      <c r="BK252" s="406">
        <f t="shared" si="1909"/>
        <v>0.44844984398858129</v>
      </c>
      <c r="BL252" s="406">
        <f t="shared" si="1909"/>
        <v>0.43913477422907488</v>
      </c>
      <c r="BM252" s="406">
        <f t="shared" si="1909"/>
        <v>0.46155240998674024</v>
      </c>
      <c r="BN252" s="406">
        <f t="shared" si="1909"/>
        <v>0.45821751729848009</v>
      </c>
      <c r="BO252" s="406">
        <f t="shared" si="1909"/>
        <v>0.47962751294291667</v>
      </c>
      <c r="BP252" s="406">
        <f t="shared" si="1909"/>
        <v>0.48343972460813478</v>
      </c>
      <c r="BQ252" s="406">
        <f t="shared" si="1909"/>
        <v>0.51309007251230376</v>
      </c>
      <c r="BR252" s="406">
        <f t="shared" si="1909"/>
        <v>0.45962244362873622</v>
      </c>
      <c r="BS252" s="406">
        <f t="shared" si="1909"/>
        <v>0.49518159116429517</v>
      </c>
      <c r="BT252" s="406">
        <f t="shared" ref="BT252:BU252" si="1910">BT175/BT86</f>
        <v>0.50172329425781337</v>
      </c>
      <c r="BU252" s="406">
        <f t="shared" si="1910"/>
        <v>0.49046223856871241</v>
      </c>
      <c r="BV252" s="406">
        <f t="shared" ref="BV252:BZ252" si="1911">BV175/BV86</f>
        <v>0.52559113155256798</v>
      </c>
      <c r="BW252" s="406">
        <f t="shared" si="1911"/>
        <v>0.50766435124124387</v>
      </c>
      <c r="BX252" s="406">
        <f t="shared" si="1911"/>
        <v>0.51228151006421518</v>
      </c>
      <c r="BY252" s="406">
        <f t="shared" si="1911"/>
        <v>0.45657304017497408</v>
      </c>
      <c r="BZ252" s="406">
        <f t="shared" si="1911"/>
        <v>0.51660126107853077</v>
      </c>
      <c r="CA252" s="406">
        <f t="shared" ref="CA252:CB252" si="1912">CA175/CA86</f>
        <v>0.51514148923747616</v>
      </c>
      <c r="CB252" s="406">
        <f t="shared" si="1912"/>
        <v>0.50034178835301646</v>
      </c>
      <c r="CC252" s="406">
        <f t="shared" ref="CC252:CD252" si="1913">CC175/CC86</f>
        <v>0.49378459042044565</v>
      </c>
      <c r="CD252" s="406">
        <f t="shared" si="1913"/>
        <v>0.48750398192928096</v>
      </c>
      <c r="CE252" s="406">
        <f t="shared" ref="CE252:CG252" si="1914">CE175/CE86</f>
        <v>0.51057498760173869</v>
      </c>
      <c r="CF252" s="406">
        <f t="shared" si="1914"/>
        <v>0.48328861409239382</v>
      </c>
      <c r="CG252" s="406">
        <f t="shared" si="1914"/>
        <v>0.49064337649546652</v>
      </c>
      <c r="CH252" s="406">
        <f t="shared" ref="CH252:CI252" si="1915">CH175/CH86</f>
        <v>0.49725612411803988</v>
      </c>
      <c r="CI252" s="406">
        <f t="shared" si="1915"/>
        <v>0.493775843149794</v>
      </c>
      <c r="CJ252" s="406">
        <v>0.525259029444477</v>
      </c>
      <c r="CK252" s="406">
        <f t="shared" ref="CK252:CO252" si="1916">CK175/CK86</f>
        <v>0.52591494433301356</v>
      </c>
      <c r="CL252" s="406" t="e">
        <f t="shared" si="1916"/>
        <v>#DIV/0!</v>
      </c>
      <c r="CM252" s="406" t="e">
        <f t="shared" si="1916"/>
        <v>#DIV/0!</v>
      </c>
      <c r="CN252" s="406">
        <f t="shared" si="1916"/>
        <v>0.52558811089882884</v>
      </c>
      <c r="CO252" s="406" t="e">
        <f t="shared" si="1916"/>
        <v>#DIV/0!</v>
      </c>
    </row>
    <row r="253" spans="1:93" s="377" customFormat="1" ht="13" x14ac:dyDescent="0.3">
      <c r="A253" s="366" t="str">
        <f>Language!$G254</f>
        <v>Margem Líquida</v>
      </c>
      <c r="B253" s="409">
        <f t="shared" ref="B253:Q253" si="1917">B167/B$83</f>
        <v>9.4178082191780817E-3</v>
      </c>
      <c r="C253" s="409">
        <f t="shared" si="1917"/>
        <v>1.6909347111319868E-2</v>
      </c>
      <c r="D253" s="409">
        <f t="shared" si="1917"/>
        <v>3.5109423659400195E-2</v>
      </c>
      <c r="E253" s="410">
        <f t="shared" si="1917"/>
        <v>0.26593568447753868</v>
      </c>
      <c r="F253" s="409">
        <f t="shared" si="1917"/>
        <v>0.20215963926904518</v>
      </c>
      <c r="G253" s="409">
        <f t="shared" si="1917"/>
        <v>0.15401753104455806</v>
      </c>
      <c r="H253" s="409">
        <f t="shared" si="1917"/>
        <v>0.17644792108203922</v>
      </c>
      <c r="I253" s="410">
        <f t="shared" si="1917"/>
        <v>0.17168818747011</v>
      </c>
      <c r="J253" s="409">
        <f t="shared" si="1917"/>
        <v>0.28031276778063413</v>
      </c>
      <c r="K253" s="409">
        <f t="shared" si="1917"/>
        <v>0.17187190753275541</v>
      </c>
      <c r="L253" s="409">
        <f t="shared" si="1917"/>
        <v>0.19961110366098966</v>
      </c>
      <c r="M253" s="410">
        <f t="shared" si="1917"/>
        <v>0.49163921501369373</v>
      </c>
      <c r="N253" s="409">
        <f t="shared" si="1917"/>
        <v>0.7579305120145321</v>
      </c>
      <c r="O253" s="409">
        <f t="shared" si="1917"/>
        <v>-0.18388248764916013</v>
      </c>
      <c r="P253" s="409">
        <f t="shared" si="1917"/>
        <v>-0.37391754179168468</v>
      </c>
      <c r="Q253" s="410">
        <f t="shared" si="1917"/>
        <v>-0.25692375851222826</v>
      </c>
      <c r="R253" s="410">
        <v>0.17403092740765308</v>
      </c>
      <c r="S253" s="410">
        <v>-0.1505004934442408</v>
      </c>
      <c r="T253" s="410">
        <v>-0.14836056171858358</v>
      </c>
      <c r="U253" s="410">
        <v>2.4148772493143355E-2</v>
      </c>
      <c r="V253" s="410">
        <v>3.7226034542061137E-2</v>
      </c>
      <c r="W253" s="410">
        <v>-1.0286270429909051E-2</v>
      </c>
      <c r="X253" s="410">
        <v>-4.833646984884702E-3</v>
      </c>
      <c r="Y253" s="410">
        <f t="shared" ref="Y253:BS253" si="1918">Y167/Y83</f>
        <v>7.4321004982805805E-2</v>
      </c>
      <c r="Z253" s="410">
        <f t="shared" si="1918"/>
        <v>5.4584815215710528E-2</v>
      </c>
      <c r="AA253" s="410">
        <f t="shared" si="1918"/>
        <v>2.0752594074259282E-2</v>
      </c>
      <c r="AB253" s="410">
        <f t="shared" si="1918"/>
        <v>0.18507253158633599</v>
      </c>
      <c r="AC253" s="410">
        <f t="shared" si="1918"/>
        <v>6.4930287311922893E-2</v>
      </c>
      <c r="AD253" s="410">
        <f t="shared" si="1918"/>
        <v>5.4886021260872039E-2</v>
      </c>
      <c r="AE253" s="410">
        <f t="shared" si="1918"/>
        <v>8.9659195067077743E-2</v>
      </c>
      <c r="AF253" s="410">
        <f t="shared" si="1918"/>
        <v>0.10174438335708953</v>
      </c>
      <c r="AG253" s="410">
        <f t="shared" si="1918"/>
        <v>0.14338502144506762</v>
      </c>
      <c r="AH253" s="410">
        <f t="shared" si="1918"/>
        <v>0.14147207428649461</v>
      </c>
      <c r="AI253" s="410">
        <f t="shared" si="1918"/>
        <v>0.4334657103906111</v>
      </c>
      <c r="AJ253" s="410">
        <f t="shared" si="1918"/>
        <v>0.12285867237687366</v>
      </c>
      <c r="AK253" s="410">
        <f t="shared" si="1918"/>
        <v>0.12898010508824717</v>
      </c>
      <c r="AL253" s="410">
        <f t="shared" si="1918"/>
        <v>0.19293793946805257</v>
      </c>
      <c r="AM253" s="410">
        <f t="shared" si="1918"/>
        <v>0.10782619061810812</v>
      </c>
      <c r="AN253" s="410">
        <f t="shared" si="1918"/>
        <v>8.6480994501553915E-2</v>
      </c>
      <c r="AO253" s="410">
        <f t="shared" si="1918"/>
        <v>0.30384186194803126</v>
      </c>
      <c r="AP253" s="410">
        <f t="shared" si="1918"/>
        <v>0.24537498423961485</v>
      </c>
      <c r="AQ253" s="410">
        <f t="shared" si="1918"/>
        <v>9.7167925035065203E-2</v>
      </c>
      <c r="AR253" s="410">
        <f t="shared" si="1918"/>
        <v>0.18566236071056808</v>
      </c>
      <c r="AS253" s="410">
        <f t="shared" si="1918"/>
        <v>0.2039001597765113</v>
      </c>
      <c r="AT253" s="410">
        <f t="shared" si="1918"/>
        <v>0.28208772514286728</v>
      </c>
      <c r="AU253" s="410">
        <f t="shared" si="1918"/>
        <v>0.30467780555617613</v>
      </c>
      <c r="AV253" s="410">
        <f t="shared" si="1918"/>
        <v>0.29934756673900187</v>
      </c>
      <c r="AW253" s="410">
        <f t="shared" si="1918"/>
        <v>0.24159341425980188</v>
      </c>
      <c r="AX253" s="410">
        <f t="shared" si="1918"/>
        <v>0.29321441504164342</v>
      </c>
      <c r="AY253" s="410">
        <f t="shared" si="1918"/>
        <v>0.29542898046835053</v>
      </c>
      <c r="AZ253" s="410">
        <f t="shared" si="1918"/>
        <v>0.28099158091674464</v>
      </c>
      <c r="BA253" s="410">
        <f t="shared" si="1918"/>
        <v>0.26579932151225827</v>
      </c>
      <c r="BB253" s="410">
        <f t="shared" si="1918"/>
        <v>0.29691150700934582</v>
      </c>
      <c r="BC253" s="410">
        <f t="shared" si="1918"/>
        <v>0.28648377802831015</v>
      </c>
      <c r="BD253" s="410">
        <f t="shared" si="1918"/>
        <v>0.25811472486137682</v>
      </c>
      <c r="BE253" s="410">
        <f t="shared" si="1918"/>
        <v>0.28102170224167189</v>
      </c>
      <c r="BF253" s="410">
        <f t="shared" si="1918"/>
        <v>0.28300556206421967</v>
      </c>
      <c r="BG253" s="410">
        <f t="shared" si="1918"/>
        <v>0.27654181683451784</v>
      </c>
      <c r="BH253" s="410">
        <f t="shared" si="1918"/>
        <v>0.28335438409891645</v>
      </c>
      <c r="BI253" s="410">
        <f t="shared" si="1918"/>
        <v>0.26620116375727348</v>
      </c>
      <c r="BJ253" s="410">
        <f t="shared" si="1918"/>
        <v>0.3182729326418276</v>
      </c>
      <c r="BK253" s="410">
        <f t="shared" si="1918"/>
        <v>0.28048819656335316</v>
      </c>
      <c r="BL253" s="410">
        <f t="shared" si="1918"/>
        <v>0.27477934209870181</v>
      </c>
      <c r="BM253" s="410">
        <f t="shared" si="1918"/>
        <v>0.28970411616988756</v>
      </c>
      <c r="BN253" s="410">
        <f t="shared" si="1918"/>
        <v>0.28736606233448769</v>
      </c>
      <c r="BO253" s="410">
        <f t="shared" si="1918"/>
        <v>0.30882978375372133</v>
      </c>
      <c r="BP253" s="410">
        <f t="shared" si="1918"/>
        <v>0.30590415501658103</v>
      </c>
      <c r="BQ253" s="410">
        <f t="shared" si="1918"/>
        <v>0.33286971331251775</v>
      </c>
      <c r="BR253" s="410">
        <f t="shared" si="1918"/>
        <v>0.26744977868573372</v>
      </c>
      <c r="BS253" s="410">
        <f t="shared" si="1918"/>
        <v>0.30736241337138198</v>
      </c>
      <c r="BT253" s="410">
        <f t="shared" ref="BT253:BU253" si="1919">BT167/BT83</f>
        <v>0.3172906633524934</v>
      </c>
      <c r="BU253" s="410">
        <f t="shared" si="1919"/>
        <v>0.30396285252543648</v>
      </c>
      <c r="BV253" s="410">
        <f t="shared" ref="BV253:BZ253" si="1920">BV167/BV83</f>
        <v>0.31509515570934254</v>
      </c>
      <c r="BW253" s="410">
        <f t="shared" si="1920"/>
        <v>0.3066547265909218</v>
      </c>
      <c r="BX253" s="410">
        <f t="shared" si="1920"/>
        <v>0.31981031221731859</v>
      </c>
      <c r="BY253" s="410">
        <f t="shared" si="1920"/>
        <v>0.2697818648417451</v>
      </c>
      <c r="BZ253" s="410">
        <f t="shared" si="1920"/>
        <v>0.31094794158897782</v>
      </c>
      <c r="CA253" s="410">
        <f t="shared" ref="CA253:CB253" si="1921">CA167/CA83</f>
        <v>0.31390844909209115</v>
      </c>
      <c r="CB253" s="410">
        <f t="shared" si="1921"/>
        <v>0.30264979708761042</v>
      </c>
      <c r="CC253" s="410">
        <f t="shared" ref="CC253:CD253" si="1922">CC167/CC83</f>
        <v>0.29007695642748754</v>
      </c>
      <c r="CD253" s="410">
        <f t="shared" si="1922"/>
        <v>0.30159215315790938</v>
      </c>
      <c r="CE253" s="410">
        <f t="shared" ref="CE253:CG253" si="1923">CE167/CE83</f>
        <v>0.31632568312062237</v>
      </c>
      <c r="CF253" s="410">
        <f t="shared" si="1923"/>
        <v>0.29619773949303191</v>
      </c>
      <c r="CG253" s="410">
        <f t="shared" si="1923"/>
        <v>0.29576228170057484</v>
      </c>
      <c r="CH253" s="410">
        <f t="shared" ref="CH253:CI253" si="1924">CH167/CH83</f>
        <v>0.30257581595024491</v>
      </c>
      <c r="CI253" s="410">
        <f t="shared" si="1924"/>
        <v>0.30097754801809357</v>
      </c>
      <c r="CJ253" s="410">
        <v>0.25845791768072529</v>
      </c>
      <c r="CK253" s="410">
        <f t="shared" ref="CK253:CO253" si="1925">CK167/CK83</f>
        <v>0.28635010785571907</v>
      </c>
      <c r="CL253" s="410" t="e">
        <f t="shared" si="1925"/>
        <v>#DIV/0!</v>
      </c>
      <c r="CM253" s="410" t="e">
        <f t="shared" si="1925"/>
        <v>#DIV/0!</v>
      </c>
      <c r="CN253" s="410">
        <f t="shared" si="1925"/>
        <v>0.27225930229416057</v>
      </c>
      <c r="CO253" s="410" t="e">
        <f t="shared" si="1925"/>
        <v>#DIV/0!</v>
      </c>
    </row>
    <row r="254" spans="1:93" x14ac:dyDescent="0.25">
      <c r="A254" s="340" t="str">
        <f>Language!$G255</f>
        <v>Rio Verde</v>
      </c>
      <c r="B254" s="405">
        <f t="shared" ref="B254:Q254" si="1926">B168/B$84</f>
        <v>2.6946647440519104E-2</v>
      </c>
      <c r="C254" s="405">
        <f t="shared" si="1926"/>
        <v>6.1860028182245189E-2</v>
      </c>
      <c r="D254" s="405">
        <f t="shared" si="1926"/>
        <v>0.10029435604283093</v>
      </c>
      <c r="E254" s="406">
        <f t="shared" si="1926"/>
        <v>0.16344816299811799</v>
      </c>
      <c r="F254" s="405">
        <f t="shared" si="1926"/>
        <v>0.18855312079740527</v>
      </c>
      <c r="G254" s="405">
        <f t="shared" si="1926"/>
        <v>0.16701972242512783</v>
      </c>
      <c r="H254" s="405">
        <f t="shared" si="1926"/>
        <v>0.17494508882124002</v>
      </c>
      <c r="I254" s="406">
        <f t="shared" si="1926"/>
        <v>0.20197672564960945</v>
      </c>
      <c r="J254" s="405">
        <f t="shared" si="1926"/>
        <v>-9.0453871730160632E-2</v>
      </c>
      <c r="K254" s="405">
        <f t="shared" si="1926"/>
        <v>0.21865969995645806</v>
      </c>
      <c r="L254" s="405">
        <f t="shared" si="1926"/>
        <v>0.50525791568369971</v>
      </c>
      <c r="M254" s="406">
        <f t="shared" si="1926"/>
        <v>0.26624294368446688</v>
      </c>
      <c r="N254" s="405">
        <f t="shared" si="1926"/>
        <v>4.3915664799686061E-2</v>
      </c>
      <c r="O254" s="405">
        <f t="shared" si="1926"/>
        <v>0.29812219395203332</v>
      </c>
      <c r="P254" s="405">
        <f t="shared" si="1926"/>
        <v>8.1074156821396293E-2</v>
      </c>
      <c r="Q254" s="406">
        <f t="shared" si="1926"/>
        <v>0.17229011357216553</v>
      </c>
      <c r="R254" s="406">
        <v>4.0796229865653795E-2</v>
      </c>
      <c r="S254" s="406">
        <v>7.3514775028314508E-2</v>
      </c>
      <c r="T254" s="406">
        <v>0.14936496599695681</v>
      </c>
      <c r="U254" s="406">
        <v>0.21150482282972663</v>
      </c>
      <c r="V254" s="406">
        <v>5.7355265671952892E-2</v>
      </c>
      <c r="W254" s="406">
        <v>9.0360237930804013E-2</v>
      </c>
      <c r="X254" s="406">
        <v>0.11243999526338322</v>
      </c>
      <c r="Y254" s="406" t="e">
        <f t="shared" ref="Y254:AL254" si="1927">Y168/Y84</f>
        <v>#DIV/0!</v>
      </c>
      <c r="Z254" s="406" t="e">
        <f t="shared" si="1927"/>
        <v>#DIV/0!</v>
      </c>
      <c r="AA254" s="406" t="e">
        <f t="shared" si="1927"/>
        <v>#DIV/0!</v>
      </c>
      <c r="AB254" s="406" t="e">
        <f t="shared" si="1927"/>
        <v>#DIV/0!</v>
      </c>
      <c r="AC254" s="406" t="e">
        <f t="shared" si="1927"/>
        <v>#DIV/0!</v>
      </c>
      <c r="AD254" s="406" t="e">
        <f t="shared" si="1927"/>
        <v>#DIV/0!</v>
      </c>
      <c r="AE254" s="406" t="e">
        <f t="shared" si="1927"/>
        <v>#DIV/0!</v>
      </c>
      <c r="AF254" s="406" t="e">
        <f t="shared" si="1927"/>
        <v>#DIV/0!</v>
      </c>
      <c r="AG254" s="406" t="e">
        <f t="shared" si="1927"/>
        <v>#DIV/0!</v>
      </c>
      <c r="AH254" s="406" t="e">
        <f t="shared" si="1927"/>
        <v>#DIV/0!</v>
      </c>
      <c r="AI254" s="406" t="e">
        <f t="shared" si="1927"/>
        <v>#DIV/0!</v>
      </c>
      <c r="AJ254" s="406" t="e">
        <f t="shared" si="1927"/>
        <v>#DIV/0!</v>
      </c>
      <c r="AK254" s="406" t="e">
        <f t="shared" si="1927"/>
        <v>#DIV/0!</v>
      </c>
      <c r="AL254" s="406" t="e">
        <f t="shared" si="1927"/>
        <v>#DIV/0!</v>
      </c>
      <c r="AM254" s="406"/>
      <c r="AN254" s="406"/>
      <c r="AO254" s="406"/>
      <c r="AP254" s="406"/>
      <c r="AQ254" s="406"/>
      <c r="AR254" s="406"/>
      <c r="AS254" s="406"/>
      <c r="AT254" s="406"/>
      <c r="AU254" s="406"/>
      <c r="AV254" s="406"/>
      <c r="AW254" s="406"/>
      <c r="AX254" s="406"/>
      <c r="AY254" s="406"/>
      <c r="AZ254" s="406"/>
      <c r="BA254" s="406"/>
      <c r="BB254" s="406"/>
      <c r="BC254" s="406"/>
      <c r="BD254" s="406"/>
      <c r="BE254" s="406"/>
      <c r="BF254" s="406"/>
      <c r="BG254" s="406"/>
      <c r="BH254" s="406"/>
      <c r="BI254" s="406"/>
      <c r="BJ254" s="406"/>
      <c r="BK254" s="406"/>
      <c r="BL254" s="406"/>
      <c r="BM254" s="406"/>
      <c r="BN254" s="406"/>
      <c r="BO254" s="406"/>
      <c r="BP254" s="406"/>
      <c r="BQ254" s="406"/>
      <c r="BR254" s="406"/>
      <c r="BS254" s="406"/>
      <c r="BT254" s="406"/>
      <c r="BU254" s="406"/>
      <c r="BV254" s="406"/>
      <c r="BW254" s="406"/>
      <c r="BX254" s="406"/>
      <c r="BY254" s="406"/>
      <c r="BZ254" s="406"/>
      <c r="CA254" s="406"/>
      <c r="CB254" s="406"/>
      <c r="CC254" s="406"/>
      <c r="CD254" s="406"/>
      <c r="CE254" s="406"/>
      <c r="CF254" s="406"/>
      <c r="CG254" s="406"/>
      <c r="CH254" s="406"/>
      <c r="CI254" s="406"/>
      <c r="CJ254" s="406"/>
      <c r="CK254" s="406"/>
      <c r="CL254" s="406"/>
      <c r="CM254" s="406"/>
      <c r="CN254" s="406"/>
      <c r="CO254" s="406"/>
    </row>
    <row r="255" spans="1:93" x14ac:dyDescent="0.25">
      <c r="A255" s="340" t="str">
        <f>Language!$G256</f>
        <v>Rio Canoas</v>
      </c>
      <c r="B255" s="405"/>
      <c r="C255" s="405"/>
      <c r="D255" s="405"/>
      <c r="E255" s="406"/>
      <c r="F255" s="405"/>
      <c r="G255" s="405"/>
      <c r="H255" s="405"/>
      <c r="I255" s="406"/>
      <c r="J255" s="405"/>
      <c r="K255" s="405"/>
      <c r="L255" s="405"/>
      <c r="M255" s="406">
        <f>M169/M$84</f>
        <v>0.74060978557114909</v>
      </c>
      <c r="N255" s="405">
        <f t="shared" ref="N255:Q255" si="1928">N169/N$85</f>
        <v>0.85387978453017721</v>
      </c>
      <c r="O255" s="405">
        <f t="shared" si="1928"/>
        <v>-0.89942599832214754</v>
      </c>
      <c r="P255" s="405">
        <f t="shared" si="1928"/>
        <v>-1.1056331581865366</v>
      </c>
      <c r="Q255" s="406">
        <f t="shared" si="1928"/>
        <v>-0.93317335986411798</v>
      </c>
      <c r="R255" s="406">
        <v>0.2728527928794211</v>
      </c>
      <c r="S255" s="406">
        <v>-1.0695039624302907</v>
      </c>
      <c r="T255" s="406">
        <v>-0.98193078789426635</v>
      </c>
      <c r="U255" s="406">
        <v>-0.53552845528455284</v>
      </c>
      <c r="V255" s="406">
        <v>3.9876925584807238E-2</v>
      </c>
      <c r="W255" s="406">
        <v>-0.10073453177992163</v>
      </c>
      <c r="X255" s="406">
        <v>-0.14314033334919199</v>
      </c>
      <c r="Y255" s="406" t="e">
        <f t="shared" ref="Y255:AL255" si="1929">Y169/Y85</f>
        <v>#DIV/0!</v>
      </c>
      <c r="Z255" s="406" t="e">
        <f t="shared" si="1929"/>
        <v>#DIV/0!</v>
      </c>
      <c r="AA255" s="406" t="e">
        <f t="shared" si="1929"/>
        <v>#DIV/0!</v>
      </c>
      <c r="AB255" s="406" t="e">
        <f t="shared" si="1929"/>
        <v>#DIV/0!</v>
      </c>
      <c r="AC255" s="406" t="e">
        <f t="shared" si="1929"/>
        <v>#DIV/0!</v>
      </c>
      <c r="AD255" s="406" t="e">
        <f t="shared" si="1929"/>
        <v>#DIV/0!</v>
      </c>
      <c r="AE255" s="406" t="e">
        <f t="shared" si="1929"/>
        <v>#DIV/0!</v>
      </c>
      <c r="AF255" s="406" t="e">
        <f t="shared" si="1929"/>
        <v>#DIV/0!</v>
      </c>
      <c r="AG255" s="406" t="e">
        <f t="shared" si="1929"/>
        <v>#DIV/0!</v>
      </c>
      <c r="AH255" s="406" t="e">
        <f t="shared" si="1929"/>
        <v>#DIV/0!</v>
      </c>
      <c r="AI255" s="406" t="e">
        <f t="shared" si="1929"/>
        <v>#DIV/0!</v>
      </c>
      <c r="AJ255" s="406" t="e">
        <f t="shared" si="1929"/>
        <v>#DIV/0!</v>
      </c>
      <c r="AK255" s="406" t="e">
        <f t="shared" si="1929"/>
        <v>#DIV/0!</v>
      </c>
      <c r="AL255" s="406" t="e">
        <f t="shared" si="1929"/>
        <v>#DIV/0!</v>
      </c>
      <c r="AM255" s="406"/>
      <c r="AN255" s="406"/>
      <c r="AO255" s="406"/>
      <c r="AP255" s="406"/>
      <c r="AQ255" s="406"/>
      <c r="AR255" s="406"/>
      <c r="AS255" s="406"/>
      <c r="AT255" s="406"/>
      <c r="AU255" s="406"/>
      <c r="AV255" s="406"/>
      <c r="AW255" s="406"/>
      <c r="AX255" s="406"/>
      <c r="AY255" s="406"/>
      <c r="AZ255" s="406"/>
      <c r="BA255" s="406"/>
      <c r="BB255" s="406"/>
      <c r="BC255" s="406"/>
      <c r="BD255" s="406"/>
      <c r="BE255" s="406"/>
      <c r="BF255" s="406"/>
      <c r="BG255" s="406"/>
      <c r="BH255" s="406"/>
      <c r="BI255" s="406"/>
      <c r="BJ255" s="406"/>
      <c r="BK255" s="406"/>
      <c r="BL255" s="406"/>
      <c r="BM255" s="406"/>
      <c r="BN255" s="406"/>
      <c r="BO255" s="406"/>
      <c r="BP255" s="406"/>
      <c r="BQ255" s="406"/>
      <c r="BR255" s="406"/>
      <c r="BS255" s="406"/>
      <c r="BT255" s="406"/>
      <c r="BU255" s="406"/>
      <c r="BV255" s="406"/>
      <c r="BW255" s="406"/>
      <c r="BX255" s="406"/>
      <c r="BY255" s="406"/>
      <c r="BZ255" s="406"/>
      <c r="CA255" s="406"/>
      <c r="CB255" s="406"/>
      <c r="CC255" s="406"/>
      <c r="CD255" s="406"/>
      <c r="CE255" s="406"/>
      <c r="CF255" s="406"/>
      <c r="CG255" s="406"/>
      <c r="CH255" s="406"/>
      <c r="CI255" s="406"/>
      <c r="CJ255" s="406"/>
      <c r="CK255" s="406"/>
      <c r="CL255" s="406"/>
      <c r="CM255" s="406"/>
      <c r="CN255" s="406"/>
      <c r="CO255" s="406"/>
    </row>
    <row r="256" spans="1:93" x14ac:dyDescent="0.25">
      <c r="A256" s="392" t="str">
        <f>Language!$G257</f>
        <v>Tijoá</v>
      </c>
      <c r="B256" s="407"/>
      <c r="C256" s="407"/>
      <c r="D256" s="407"/>
      <c r="E256" s="408"/>
      <c r="F256" s="407"/>
      <c r="G256" s="407"/>
      <c r="H256" s="407"/>
      <c r="I256" s="408"/>
      <c r="J256" s="407"/>
      <c r="K256" s="407"/>
      <c r="L256" s="407"/>
      <c r="M256" s="408"/>
      <c r="N256" s="407"/>
      <c r="O256" s="407"/>
      <c r="P256" s="407"/>
      <c r="Q256" s="408"/>
      <c r="R256" s="408">
        <v>-1.0047215750089378E-2</v>
      </c>
      <c r="S256" s="408">
        <v>9.2750220135016145E-2</v>
      </c>
      <c r="T256" s="408">
        <v>0.3757502234708211</v>
      </c>
      <c r="U256" s="408">
        <v>2.1463414634146343E-2</v>
      </c>
      <c r="V256" s="408">
        <v>7.7940337435813837E-3</v>
      </c>
      <c r="W256" s="408">
        <v>5.8428664311947563E-2</v>
      </c>
      <c r="X256" s="408">
        <v>5.4823413736777835E-2</v>
      </c>
      <c r="Y256" s="408">
        <f t="shared" ref="Y256:AL256" si="1930">Y170/Y86</f>
        <v>7.4321004982805805E-2</v>
      </c>
      <c r="Z256" s="408">
        <f t="shared" si="1930"/>
        <v>5.4584815215710528E-2</v>
      </c>
      <c r="AA256" s="408">
        <f t="shared" si="1930"/>
        <v>-0.17630274816038444</v>
      </c>
      <c r="AB256" s="408">
        <f t="shared" si="1930"/>
        <v>0.15385861203336301</v>
      </c>
      <c r="AC256" s="408">
        <f t="shared" si="1930"/>
        <v>6.4930287311922893E-2</v>
      </c>
      <c r="AD256" s="408">
        <f t="shared" si="1930"/>
        <v>1.7463506884935878E-2</v>
      </c>
      <c r="AE256" s="408">
        <f t="shared" si="1930"/>
        <v>5.3928254421857072E-2</v>
      </c>
      <c r="AF256" s="408">
        <f t="shared" si="1930"/>
        <v>7.1102688285253041E-2</v>
      </c>
      <c r="AG256" s="408">
        <f t="shared" si="1930"/>
        <v>0.11500443111323198</v>
      </c>
      <c r="AH256" s="408">
        <f t="shared" si="1930"/>
        <v>0.43363897998795259</v>
      </c>
      <c r="AI256" s="408">
        <f t="shared" si="1930"/>
        <v>0.43745005225302758</v>
      </c>
      <c r="AJ256" s="408">
        <f t="shared" si="1930"/>
        <v>9.3373910637709223E-2</v>
      </c>
      <c r="AK256" s="408">
        <f t="shared" si="1930"/>
        <v>0.20929384134801743</v>
      </c>
      <c r="AL256" s="408">
        <f t="shared" si="1930"/>
        <v>0.21549008376888379</v>
      </c>
      <c r="AM256" s="408">
        <f t="shared" ref="AM256:BS256" si="1931">AM170/AM86</f>
        <v>9.8461119433474062E-2</v>
      </c>
      <c r="AN256" s="408">
        <f t="shared" si="1931"/>
        <v>8.8372093023255813E-2</v>
      </c>
      <c r="AO256" s="408">
        <f t="shared" si="1931"/>
        <v>0.3049045138888889</v>
      </c>
      <c r="AP256" s="408">
        <f t="shared" si="1931"/>
        <v>0.27598810387439948</v>
      </c>
      <c r="AQ256" s="408">
        <f t="shared" si="1931"/>
        <v>9.3427966969221315E-2</v>
      </c>
      <c r="AR256" s="408">
        <f t="shared" si="1931"/>
        <v>0.18650899782218316</v>
      </c>
      <c r="AS256" s="408">
        <f t="shared" si="1931"/>
        <v>0.21384716476449148</v>
      </c>
      <c r="AT256" s="408">
        <f t="shared" si="1931"/>
        <v>0.31346103154380106</v>
      </c>
      <c r="AU256" s="408">
        <f t="shared" si="1931"/>
        <v>0.32574797990827692</v>
      </c>
      <c r="AV256" s="408">
        <f t="shared" si="1931"/>
        <v>0.31083734359961501</v>
      </c>
      <c r="AW256" s="408">
        <f t="shared" si="1931"/>
        <v>0.26078242435922144</v>
      </c>
      <c r="AX256" s="408">
        <f t="shared" si="1931"/>
        <v>0.31962240182228357</v>
      </c>
      <c r="AY256" s="408">
        <f t="shared" si="1931"/>
        <v>0.31643678802769709</v>
      </c>
      <c r="AZ256" s="408">
        <f t="shared" si="1931"/>
        <v>0.30163870584256536</v>
      </c>
      <c r="BA256" s="408">
        <f t="shared" si="1931"/>
        <v>0.30342261327958447</v>
      </c>
      <c r="BB256" s="408">
        <f t="shared" si="1931"/>
        <v>0.31598930688466159</v>
      </c>
      <c r="BC256" s="408">
        <f t="shared" si="1931"/>
        <v>0.29897694811665448</v>
      </c>
      <c r="BD256" s="408">
        <f t="shared" si="1931"/>
        <v>0.27131782945736432</v>
      </c>
      <c r="BE256" s="408">
        <f t="shared" si="1931"/>
        <v>0.30970742104243365</v>
      </c>
      <c r="BF256" s="408">
        <f t="shared" si="1931"/>
        <v>0.30575407508933378</v>
      </c>
      <c r="BG256" s="408">
        <f t="shared" si="1931"/>
        <v>0.29663991073356849</v>
      </c>
      <c r="BH256" s="408">
        <f t="shared" si="1931"/>
        <v>0.29665286404416841</v>
      </c>
      <c r="BI256" s="408">
        <f t="shared" si="1931"/>
        <v>0.2745777838802691</v>
      </c>
      <c r="BJ256" s="408">
        <f t="shared" si="1931"/>
        <v>0.3332780082987552</v>
      </c>
      <c r="BK256" s="408">
        <f t="shared" si="1931"/>
        <v>0.2914094137953927</v>
      </c>
      <c r="BL256" s="408">
        <f t="shared" si="1931"/>
        <v>0.28558645374449337</v>
      </c>
      <c r="BM256" s="408">
        <f t="shared" si="1931"/>
        <v>0.30186883053594299</v>
      </c>
      <c r="BN256" s="408">
        <f t="shared" si="1931"/>
        <v>0.29920667776247645</v>
      </c>
      <c r="BO256" s="408">
        <f t="shared" si="1931"/>
        <v>0.32105156995898609</v>
      </c>
      <c r="BP256" s="408">
        <f t="shared" si="1931"/>
        <v>0.31656695966043913</v>
      </c>
      <c r="BQ256" s="408">
        <f t="shared" si="1931"/>
        <v>0.34153586301290079</v>
      </c>
      <c r="BR256" s="408">
        <f t="shared" si="1931"/>
        <v>0.2660956709200023</v>
      </c>
      <c r="BS256" s="408">
        <f t="shared" si="1931"/>
        <v>0.31880268825313823</v>
      </c>
      <c r="BT256" s="408">
        <f t="shared" ref="BT256:BU256" si="1932">BT170/BT86</f>
        <v>0.32710678041827118</v>
      </c>
      <c r="BU256" s="408">
        <f t="shared" si="1932"/>
        <v>0.31078764454695634</v>
      </c>
      <c r="BV256" s="408">
        <f t="shared" ref="BV256:BZ256" si="1933">BV170/BV86</f>
        <v>0.33666489769443952</v>
      </c>
      <c r="BW256" s="408">
        <f t="shared" si="1933"/>
        <v>0.31243588616313489</v>
      </c>
      <c r="BX256" s="408">
        <f t="shared" si="1933"/>
        <v>0.3287067699484551</v>
      </c>
      <c r="BY256" s="408">
        <f t="shared" si="1933"/>
        <v>0.28395878899505006</v>
      </c>
      <c r="BZ256" s="408">
        <f t="shared" si="1933"/>
        <v>0.32451460234872204</v>
      </c>
      <c r="CA256" s="408">
        <f t="shared" ref="CA256:CB256" si="1934">CA170/CA86</f>
        <v>0.32593125997431005</v>
      </c>
      <c r="CB256" s="408">
        <f t="shared" si="1934"/>
        <v>0.31532520798184888</v>
      </c>
      <c r="CC256" s="408">
        <f t="shared" ref="CC256:CD256" si="1935">CC170/CC86</f>
        <v>0.3098432383877604</v>
      </c>
      <c r="CD256" s="408">
        <f t="shared" si="1935"/>
        <v>0.30552257391908721</v>
      </c>
      <c r="CE256" s="408">
        <f t="shared" ref="CE256:CG256" si="1936">CE170/CE86</f>
        <v>0.32477610198663903</v>
      </c>
      <c r="CF256" s="408">
        <f t="shared" si="1936"/>
        <v>0.30585044330377975</v>
      </c>
      <c r="CG256" s="408">
        <f t="shared" si="1936"/>
        <v>0.30768228035109063</v>
      </c>
      <c r="CH256" s="408">
        <f t="shared" ref="CH256:CI256" si="1937">CH170/CH86</f>
        <v>0.31335352929220583</v>
      </c>
      <c r="CI256" s="408">
        <f t="shared" si="1937"/>
        <v>0.31148398723920673</v>
      </c>
      <c r="CJ256" s="408">
        <v>0.3339870046244805</v>
      </c>
      <c r="CK256" s="408">
        <f t="shared" ref="CK256:CO256" si="1938">CK170/CK86</f>
        <v>0.33876922182494695</v>
      </c>
      <c r="CL256" s="408" t="e">
        <f t="shared" si="1938"/>
        <v>#DIV/0!</v>
      </c>
      <c r="CM256" s="408" t="e">
        <f t="shared" si="1938"/>
        <v>#DIV/0!</v>
      </c>
      <c r="CN256" s="408">
        <f t="shared" si="1938"/>
        <v>0.3363863082824099</v>
      </c>
      <c r="CO256" s="408" t="e">
        <f t="shared" si="1938"/>
        <v>#DIV/0!</v>
      </c>
    </row>
    <row r="257" spans="1:52" s="377" customFormat="1" ht="13" hidden="1" x14ac:dyDescent="0.3">
      <c r="A257" s="333" t="str">
        <f>Language!$G258</f>
        <v>Tarifa Média</v>
      </c>
      <c r="B257" s="697" t="e">
        <f>B71/#REF!*1000</f>
        <v>#REF!</v>
      </c>
      <c r="C257" s="697" t="e">
        <f>C71/#REF!*1000</f>
        <v>#REF!</v>
      </c>
      <c r="D257" s="697" t="e">
        <f>D71/#REF!*1000</f>
        <v>#REF!</v>
      </c>
      <c r="E257" s="698" t="e">
        <f>E71/#REF!*1000</f>
        <v>#REF!</v>
      </c>
      <c r="F257" s="697" t="e">
        <f>F71/#REF!*1000</f>
        <v>#REF!</v>
      </c>
      <c r="G257" s="697" t="e">
        <f>G71/#REF!*1000</f>
        <v>#REF!</v>
      </c>
      <c r="H257" s="697" t="e">
        <f>H71/#REF!*1000</f>
        <v>#REF!</v>
      </c>
      <c r="I257" s="698" t="e">
        <f>I71/#REF!*1000</f>
        <v>#REF!</v>
      </c>
      <c r="J257" s="697" t="e">
        <f>J71/#REF!*1000</f>
        <v>#REF!</v>
      </c>
      <c r="K257" s="697" t="e">
        <f>K71/#REF!*1000</f>
        <v>#REF!</v>
      </c>
      <c r="L257" s="697" t="e">
        <f>L71/#REF!*1000</f>
        <v>#REF!</v>
      </c>
      <c r="M257" s="698" t="e">
        <f>M71/#REF!*1000</f>
        <v>#REF!</v>
      </c>
      <c r="N257" s="697" t="e">
        <f>N71/#REF!*1000</f>
        <v>#REF!</v>
      </c>
      <c r="O257" s="697" t="e">
        <f>O71/#REF!*1000</f>
        <v>#REF!</v>
      </c>
      <c r="P257" s="697" t="e">
        <f>P71/#REF!*1000</f>
        <v>#REF!</v>
      </c>
      <c r="Q257" s="698" t="e">
        <f>Q71/#REF!*1000</f>
        <v>#REF!</v>
      </c>
      <c r="R257" s="697" t="e">
        <f>R71/#REF!*1000</f>
        <v>#REF!</v>
      </c>
      <c r="S257" s="697" t="e">
        <f>S71/#REF!*1000</f>
        <v>#REF!</v>
      </c>
      <c r="T257" s="697" t="e">
        <f>T71/#REF!*1000</f>
        <v>#REF!</v>
      </c>
      <c r="U257" s="697" t="s">
        <v>637</v>
      </c>
      <c r="V257" s="697" t="s">
        <v>637</v>
      </c>
      <c r="W257" s="697" t="e">
        <f>W71/#REF!*1000</f>
        <v>#REF!</v>
      </c>
      <c r="X257" s="698" t="e">
        <f>X71/#REF!*1000</f>
        <v>#REF!</v>
      </c>
      <c r="Y257" s="697" t="s">
        <v>637</v>
      </c>
      <c r="Z257" s="698" t="s">
        <v>637</v>
      </c>
      <c r="AA257" s="697" t="s">
        <v>637</v>
      </c>
      <c r="AB257" s="697" t="s">
        <v>637</v>
      </c>
      <c r="AC257" s="697" t="s">
        <v>637</v>
      </c>
      <c r="AD257" s="697" t="s">
        <v>637</v>
      </c>
      <c r="AE257" s="698" t="s">
        <v>637</v>
      </c>
      <c r="AF257" s="697" t="s">
        <v>637</v>
      </c>
      <c r="AG257" s="698" t="s">
        <v>637</v>
      </c>
      <c r="AH257" s="697" t="s">
        <v>637</v>
      </c>
      <c r="AI257" s="697" t="s">
        <v>637</v>
      </c>
      <c r="AJ257" s="698" t="s">
        <v>637</v>
      </c>
      <c r="AK257" s="698" t="s">
        <v>637</v>
      </c>
      <c r="AL257" s="698" t="s">
        <v>637</v>
      </c>
      <c r="AM257" s="697" t="s">
        <v>637</v>
      </c>
      <c r="AN257" s="698"/>
      <c r="AO257" s="698"/>
      <c r="AP257" s="698"/>
      <c r="AQ257" s="698" t="s">
        <v>637</v>
      </c>
      <c r="AR257" s="697" t="s">
        <v>637</v>
      </c>
      <c r="AS257" s="698" t="s">
        <v>637</v>
      </c>
      <c r="AT257" s="697" t="s">
        <v>637</v>
      </c>
      <c r="AU257" s="697">
        <v>0.31997991689641031</v>
      </c>
      <c r="AV257" s="697" t="s">
        <v>637</v>
      </c>
      <c r="AW257" s="697"/>
      <c r="AX257" s="697">
        <v>0.31414993839206085</v>
      </c>
      <c r="AY257" s="697" t="s">
        <v>637</v>
      </c>
      <c r="AZ257" s="697"/>
    </row>
    <row r="258" spans="1:52" hidden="1" x14ac:dyDescent="0.25">
      <c r="A258" s="340" t="str">
        <f>Language!$G259</f>
        <v>Rio Verde</v>
      </c>
      <c r="B258" s="411" t="e">
        <f>(B72/B181*1000)/#REF!</f>
        <v>#REF!</v>
      </c>
      <c r="C258" s="411" t="e">
        <f>(C72/C181*1000)/#REF!</f>
        <v>#REF!</v>
      </c>
      <c r="D258" s="411" t="e">
        <f>(D72/D181*1000)/#REF!</f>
        <v>#REF!</v>
      </c>
      <c r="E258" s="412" t="e">
        <f>(E72/E181*1000)/#REF!</f>
        <v>#REF!</v>
      </c>
      <c r="F258" s="411" t="e">
        <f>(F72/F181*1000)/#REF!</f>
        <v>#REF!</v>
      </c>
      <c r="G258" s="411" t="e">
        <f>(G72/G181*1000)/#REF!</f>
        <v>#REF!</v>
      </c>
      <c r="H258" s="411" t="e">
        <f>(H72/H181*1000)/#REF!</f>
        <v>#REF!</v>
      </c>
      <c r="I258" s="412" t="e">
        <f>(I72/I181*1000)/#REF!</f>
        <v>#REF!</v>
      </c>
      <c r="J258" s="411" t="e">
        <f>(J72/J181*1000)/#REF!</f>
        <v>#REF!</v>
      </c>
      <c r="K258" s="411" t="e">
        <f>(K72/K181*1000)/#REF!</f>
        <v>#REF!</v>
      </c>
      <c r="L258" s="411" t="e">
        <f>(L72/L181*1000)/#REF!</f>
        <v>#REF!</v>
      </c>
      <c r="M258" s="412" t="e">
        <f>(M72/M181*1000)/#REF!</f>
        <v>#REF!</v>
      </c>
      <c r="N258" s="411" t="e">
        <f>N72/(#REF!/1000)</f>
        <v>#REF!</v>
      </c>
      <c r="O258" s="411" t="e">
        <f>O72/(#REF!/1000)</f>
        <v>#REF!</v>
      </c>
      <c r="P258" s="411" t="e">
        <f>P72/(#REF!/1000)</f>
        <v>#REF!</v>
      </c>
      <c r="Q258" s="412" t="e">
        <f>Q72/(#REF!/1000)</f>
        <v>#REF!</v>
      </c>
      <c r="R258" s="411" t="e">
        <f>R72/(#REF!/1000)</f>
        <v>#REF!</v>
      </c>
      <c r="S258" s="411" t="e">
        <f>S72/(#REF!/1000)</f>
        <v>#REF!</v>
      </c>
      <c r="T258" s="411" t="e">
        <f>T72/(#REF!/1000)</f>
        <v>#REF!</v>
      </c>
      <c r="U258" s="411" t="s">
        <v>637</v>
      </c>
      <c r="V258" s="411" t="s">
        <v>637</v>
      </c>
      <c r="W258" s="411" t="e">
        <f>W72/(#REF!/1000)</f>
        <v>#REF!</v>
      </c>
      <c r="X258" s="412" t="e">
        <f>X72/(#REF!/1000)</f>
        <v>#REF!</v>
      </c>
      <c r="Y258" s="411" t="s">
        <v>637</v>
      </c>
      <c r="Z258" s="412" t="s">
        <v>637</v>
      </c>
      <c r="AA258" s="411" t="s">
        <v>637</v>
      </c>
      <c r="AB258" s="411" t="s">
        <v>637</v>
      </c>
      <c r="AC258" s="411" t="s">
        <v>637</v>
      </c>
      <c r="AD258" s="411" t="s">
        <v>637</v>
      </c>
      <c r="AE258" s="412" t="s">
        <v>637</v>
      </c>
      <c r="AF258" s="411" t="s">
        <v>637</v>
      </c>
      <c r="AG258" s="412" t="s">
        <v>637</v>
      </c>
      <c r="AH258" s="411" t="s">
        <v>637</v>
      </c>
      <c r="AI258" s="411" t="s">
        <v>637</v>
      </c>
      <c r="AJ258" s="412" t="s">
        <v>637</v>
      </c>
      <c r="AK258" s="412" t="s">
        <v>637</v>
      </c>
      <c r="AL258" s="412" t="s">
        <v>637</v>
      </c>
      <c r="AM258" s="411" t="s">
        <v>637</v>
      </c>
      <c r="AN258" s="412"/>
      <c r="AO258" s="412"/>
      <c r="AP258" s="412"/>
      <c r="AQ258" s="412" t="s">
        <v>637</v>
      </c>
      <c r="AR258" s="411" t="s">
        <v>637</v>
      </c>
      <c r="AS258" s="412" t="s">
        <v>637</v>
      </c>
      <c r="AT258" s="411" t="s">
        <v>637</v>
      </c>
      <c r="AU258" s="411"/>
      <c r="AV258" s="411" t="s">
        <v>637</v>
      </c>
      <c r="AW258" s="411"/>
      <c r="AX258" s="411" t="s">
        <v>637</v>
      </c>
      <c r="AY258" s="411" t="s">
        <v>637</v>
      </c>
      <c r="AZ258" s="411"/>
    </row>
    <row r="259" spans="1:52" hidden="1" x14ac:dyDescent="0.25">
      <c r="A259" s="340" t="str">
        <f>Language!$G260</f>
        <v>Rio Canoas</v>
      </c>
      <c r="B259" s="411"/>
      <c r="C259" s="411"/>
      <c r="D259" s="411"/>
      <c r="E259" s="412"/>
      <c r="F259" s="411"/>
      <c r="G259" s="411"/>
      <c r="H259" s="411"/>
      <c r="I259" s="412"/>
      <c r="J259" s="411"/>
      <c r="K259" s="411"/>
      <c r="L259" s="411" t="e">
        <f>(L73/L182*1000)/#REF!</f>
        <v>#REF!</v>
      </c>
      <c r="M259" s="412" t="e">
        <f>(M73/M182*1000)/#REF!</f>
        <v>#REF!</v>
      </c>
      <c r="N259" s="411" t="e">
        <f>N73/((#REF!+#REF!)/1000)</f>
        <v>#REF!</v>
      </c>
      <c r="O259" s="411" t="e">
        <f>O73/((#REF!+#REF!)/1000)</f>
        <v>#REF!</v>
      </c>
      <c r="P259" s="411" t="e">
        <f>P73/((#REF!+#REF!)/1000)</f>
        <v>#REF!</v>
      </c>
      <c r="Q259" s="412" t="e">
        <f>Q73/((#REF!+#REF!)/1000)</f>
        <v>#REF!</v>
      </c>
      <c r="R259" s="411" t="e">
        <f>R73/((#REF!+#REF!)/1000)</f>
        <v>#REF!</v>
      </c>
      <c r="S259" s="411" t="e">
        <f>S73/((#REF!+#REF!)/1000)</f>
        <v>#REF!</v>
      </c>
      <c r="T259" s="411" t="e">
        <f>T73/((#REF!+#REF!)/1000)</f>
        <v>#REF!</v>
      </c>
      <c r="U259" s="411" t="s">
        <v>637</v>
      </c>
      <c r="V259" s="411" t="s">
        <v>637</v>
      </c>
      <c r="W259" s="411" t="e">
        <f>W73/((#REF!+#REF!)/1000)</f>
        <v>#REF!</v>
      </c>
      <c r="X259" s="412" t="e">
        <f>X73/((#REF!+#REF!)/1000)</f>
        <v>#REF!</v>
      </c>
      <c r="Y259" s="411" t="s">
        <v>637</v>
      </c>
      <c r="Z259" s="412" t="s">
        <v>637</v>
      </c>
      <c r="AA259" s="411" t="s">
        <v>637</v>
      </c>
      <c r="AB259" s="411" t="s">
        <v>637</v>
      </c>
      <c r="AC259" s="411" t="s">
        <v>637</v>
      </c>
      <c r="AD259" s="411" t="s">
        <v>637</v>
      </c>
      <c r="AE259" s="412" t="s">
        <v>637</v>
      </c>
      <c r="AF259" s="411" t="s">
        <v>637</v>
      </c>
      <c r="AG259" s="412" t="s">
        <v>637</v>
      </c>
      <c r="AH259" s="411" t="s">
        <v>637</v>
      </c>
      <c r="AI259" s="411" t="s">
        <v>637</v>
      </c>
      <c r="AJ259" s="412" t="s">
        <v>637</v>
      </c>
      <c r="AK259" s="412" t="s">
        <v>637</v>
      </c>
      <c r="AL259" s="412" t="s">
        <v>637</v>
      </c>
      <c r="AM259" s="411" t="s">
        <v>637</v>
      </c>
      <c r="AN259" s="412"/>
      <c r="AO259" s="412"/>
      <c r="AP259" s="412"/>
      <c r="AQ259" s="412" t="s">
        <v>637</v>
      </c>
      <c r="AR259" s="411" t="s">
        <v>637</v>
      </c>
      <c r="AS259" s="412" t="s">
        <v>637</v>
      </c>
      <c r="AT259" s="411" t="s">
        <v>637</v>
      </c>
      <c r="AU259" s="411"/>
      <c r="AV259" s="411" t="s">
        <v>637</v>
      </c>
      <c r="AW259" s="411"/>
      <c r="AX259" s="411" t="s">
        <v>637</v>
      </c>
      <c r="AY259" s="411" t="s">
        <v>637</v>
      </c>
      <c r="AZ259" s="411"/>
    </row>
    <row r="260" spans="1:52" hidden="1" x14ac:dyDescent="0.25">
      <c r="A260" s="340" t="s">
        <v>599</v>
      </c>
      <c r="B260" s="411"/>
      <c r="C260" s="411"/>
      <c r="D260" s="411"/>
      <c r="E260" s="412"/>
      <c r="F260" s="411"/>
      <c r="G260" s="411"/>
      <c r="H260" s="411"/>
      <c r="I260" s="412"/>
      <c r="J260" s="411"/>
      <c r="K260" s="411"/>
      <c r="L260" s="411"/>
      <c r="M260" s="412">
        <v>0</v>
      </c>
      <c r="N260" s="411">
        <v>0</v>
      </c>
      <c r="O260" s="411">
        <v>0</v>
      </c>
      <c r="P260" s="411">
        <v>0</v>
      </c>
      <c r="Q260" s="412">
        <v>0</v>
      </c>
      <c r="R260" s="411">
        <v>0</v>
      </c>
      <c r="S260" s="411">
        <v>0</v>
      </c>
      <c r="T260" s="411">
        <v>0</v>
      </c>
      <c r="U260" s="411" t="s">
        <v>637</v>
      </c>
      <c r="V260" s="411" t="s">
        <v>637</v>
      </c>
      <c r="W260" s="411">
        <v>0</v>
      </c>
      <c r="X260" s="412">
        <v>0</v>
      </c>
      <c r="Y260" s="411" t="s">
        <v>637</v>
      </c>
      <c r="Z260" s="412" t="s">
        <v>637</v>
      </c>
      <c r="AA260" s="411" t="s">
        <v>637</v>
      </c>
      <c r="AB260" s="411" t="s">
        <v>637</v>
      </c>
      <c r="AC260" s="411" t="s">
        <v>637</v>
      </c>
      <c r="AD260" s="411" t="s">
        <v>637</v>
      </c>
      <c r="AE260" s="412" t="s">
        <v>637</v>
      </c>
      <c r="AF260" s="411" t="s">
        <v>637</v>
      </c>
      <c r="AG260" s="412" t="s">
        <v>637</v>
      </c>
      <c r="AH260" s="411" t="s">
        <v>637</v>
      </c>
      <c r="AI260" s="411" t="s">
        <v>637</v>
      </c>
      <c r="AJ260" s="412" t="s">
        <v>637</v>
      </c>
      <c r="AK260" s="412" t="s">
        <v>637</v>
      </c>
      <c r="AL260" s="412" t="s">
        <v>637</v>
      </c>
      <c r="AM260" s="411" t="s">
        <v>637</v>
      </c>
      <c r="AN260" s="412"/>
      <c r="AO260" s="412"/>
      <c r="AP260" s="412"/>
      <c r="AQ260" s="412" t="s">
        <v>637</v>
      </c>
      <c r="AR260" s="411" t="s">
        <v>637</v>
      </c>
      <c r="AS260" s="412" t="s">
        <v>637</v>
      </c>
      <c r="AT260" s="411" t="s">
        <v>637</v>
      </c>
      <c r="AU260" s="411"/>
      <c r="AV260" s="411" t="s">
        <v>637</v>
      </c>
      <c r="AW260" s="411"/>
      <c r="AX260" s="411" t="s">
        <v>637</v>
      </c>
      <c r="AY260" s="411" t="s">
        <v>637</v>
      </c>
      <c r="AZ260" s="411"/>
    </row>
    <row r="261" spans="1:52" ht="13" hidden="1" x14ac:dyDescent="0.3">
      <c r="A261" s="366" t="str">
        <f>Language!$G261</f>
        <v>Crescimento Anual da Tarifa Média</v>
      </c>
      <c r="B261" s="409" t="s">
        <v>116</v>
      </c>
      <c r="C261" s="409" t="s">
        <v>116</v>
      </c>
      <c r="D261" s="409" t="s">
        <v>116</v>
      </c>
      <c r="E261" s="410" t="e">
        <f t="shared" ref="E261:K261" si="1939">E257/B257-1</f>
        <v>#REF!</v>
      </c>
      <c r="F261" s="409" t="e">
        <f t="shared" si="1939"/>
        <v>#REF!</v>
      </c>
      <c r="G261" s="409" t="e">
        <f t="shared" si="1939"/>
        <v>#REF!</v>
      </c>
      <c r="H261" s="409" t="e">
        <f t="shared" si="1939"/>
        <v>#REF!</v>
      </c>
      <c r="I261" s="410" t="e">
        <f t="shared" si="1939"/>
        <v>#REF!</v>
      </c>
      <c r="J261" s="409" t="e">
        <f t="shared" si="1939"/>
        <v>#REF!</v>
      </c>
      <c r="K261" s="409" t="e">
        <f t="shared" si="1939"/>
        <v>#REF!</v>
      </c>
      <c r="L261" s="409" t="e">
        <f t="shared" ref="L261:T261" si="1940">L257/I257-1</f>
        <v>#REF!</v>
      </c>
      <c r="M261" s="410" t="e">
        <f t="shared" si="1940"/>
        <v>#REF!</v>
      </c>
      <c r="N261" s="409" t="e">
        <f t="shared" si="1940"/>
        <v>#REF!</v>
      </c>
      <c r="O261" s="409" t="e">
        <f t="shared" si="1940"/>
        <v>#REF!</v>
      </c>
      <c r="P261" s="409" t="e">
        <f t="shared" si="1940"/>
        <v>#REF!</v>
      </c>
      <c r="Q261" s="410" t="e">
        <f t="shared" si="1940"/>
        <v>#REF!</v>
      </c>
      <c r="R261" s="409" t="e">
        <f t="shared" si="1940"/>
        <v>#REF!</v>
      </c>
      <c r="S261" s="409" t="e">
        <f t="shared" si="1940"/>
        <v>#REF!</v>
      </c>
      <c r="T261" s="409" t="e">
        <f t="shared" si="1940"/>
        <v>#REF!</v>
      </c>
      <c r="U261" s="409" t="s">
        <v>637</v>
      </c>
      <c r="V261" s="409" t="s">
        <v>637</v>
      </c>
      <c r="W261" s="409" t="e">
        <f>T261</f>
        <v>#REF!</v>
      </c>
      <c r="X261" s="410" t="s">
        <v>637</v>
      </c>
      <c r="Y261" s="409" t="s">
        <v>637</v>
      </c>
      <c r="Z261" s="410" t="s">
        <v>637</v>
      </c>
      <c r="AA261" s="409" t="s">
        <v>637</v>
      </c>
      <c r="AB261" s="409" t="s">
        <v>637</v>
      </c>
      <c r="AC261" s="409" t="s">
        <v>637</v>
      </c>
      <c r="AD261" s="409" t="s">
        <v>637</v>
      </c>
      <c r="AE261" s="410" t="s">
        <v>637</v>
      </c>
      <c r="AF261" s="409" t="s">
        <v>637</v>
      </c>
      <c r="AG261" s="410" t="s">
        <v>637</v>
      </c>
      <c r="AH261" s="409" t="s">
        <v>637</v>
      </c>
      <c r="AI261" s="409" t="s">
        <v>637</v>
      </c>
      <c r="AJ261" s="410" t="s">
        <v>637</v>
      </c>
      <c r="AK261" s="410" t="s">
        <v>637</v>
      </c>
      <c r="AL261" s="410" t="s">
        <v>637</v>
      </c>
      <c r="AM261" s="409" t="s">
        <v>637</v>
      </c>
      <c r="AN261" s="410"/>
      <c r="AO261" s="410"/>
      <c r="AP261" s="410"/>
      <c r="AQ261" s="410" t="s">
        <v>637</v>
      </c>
      <c r="AR261" s="409" t="s">
        <v>637</v>
      </c>
      <c r="AS261" s="410" t="s">
        <v>637</v>
      </c>
      <c r="AT261" s="409" t="s">
        <v>637</v>
      </c>
      <c r="AU261" s="409"/>
      <c r="AV261" s="409" t="s">
        <v>637</v>
      </c>
      <c r="AW261" s="409"/>
      <c r="AX261" s="409" t="s">
        <v>637</v>
      </c>
      <c r="AY261" s="409" t="s">
        <v>637</v>
      </c>
      <c r="AZ261" s="409"/>
    </row>
    <row r="262" spans="1:52" hidden="1" x14ac:dyDescent="0.25">
      <c r="A262" s="340" t="str">
        <f>Language!$G262</f>
        <v>Rio Verde</v>
      </c>
      <c r="B262" s="405" t="s">
        <v>116</v>
      </c>
      <c r="C262" s="405" t="s">
        <v>116</v>
      </c>
      <c r="D262" s="405" t="s">
        <v>116</v>
      </c>
      <c r="E262" s="406" t="s">
        <v>116</v>
      </c>
      <c r="F262" s="405" t="e">
        <f t="shared" ref="F262:J262" si="1941">F258/B258-1</f>
        <v>#REF!</v>
      </c>
      <c r="G262" s="405" t="e">
        <f t="shared" si="1941"/>
        <v>#REF!</v>
      </c>
      <c r="H262" s="405" t="e">
        <f t="shared" si="1941"/>
        <v>#REF!</v>
      </c>
      <c r="I262" s="406" t="e">
        <f t="shared" si="1941"/>
        <v>#REF!</v>
      </c>
      <c r="J262" s="405" t="e">
        <f t="shared" si="1941"/>
        <v>#REF!</v>
      </c>
      <c r="K262" s="405" t="e">
        <f t="shared" ref="K262:T263" si="1942">K258/G258-1</f>
        <v>#REF!</v>
      </c>
      <c r="L262" s="405" t="e">
        <f t="shared" si="1942"/>
        <v>#REF!</v>
      </c>
      <c r="M262" s="406" t="e">
        <f t="shared" si="1942"/>
        <v>#REF!</v>
      </c>
      <c r="N262" s="405" t="e">
        <f t="shared" si="1942"/>
        <v>#REF!</v>
      </c>
      <c r="O262" s="405" t="e">
        <f t="shared" si="1942"/>
        <v>#REF!</v>
      </c>
      <c r="P262" s="405" t="e">
        <f t="shared" si="1942"/>
        <v>#REF!</v>
      </c>
      <c r="Q262" s="406" t="e">
        <f t="shared" si="1942"/>
        <v>#REF!</v>
      </c>
      <c r="R262" s="405" t="e">
        <f t="shared" si="1942"/>
        <v>#REF!</v>
      </c>
      <c r="S262" s="405" t="e">
        <f t="shared" si="1942"/>
        <v>#REF!</v>
      </c>
      <c r="T262" s="405" t="e">
        <f t="shared" si="1942"/>
        <v>#REF!</v>
      </c>
      <c r="U262" s="405" t="s">
        <v>637</v>
      </c>
      <c r="V262" s="405" t="s">
        <v>637</v>
      </c>
      <c r="W262" s="405" t="e">
        <f t="shared" ref="W262:W263" si="1943">T262</f>
        <v>#REF!</v>
      </c>
      <c r="X262" s="406" t="s">
        <v>637</v>
      </c>
      <c r="Y262" s="405" t="s">
        <v>637</v>
      </c>
      <c r="Z262" s="406" t="s">
        <v>637</v>
      </c>
      <c r="AA262" s="405" t="s">
        <v>637</v>
      </c>
      <c r="AB262" s="405" t="s">
        <v>637</v>
      </c>
      <c r="AC262" s="405" t="s">
        <v>637</v>
      </c>
      <c r="AD262" s="405" t="s">
        <v>637</v>
      </c>
      <c r="AE262" s="406" t="s">
        <v>637</v>
      </c>
      <c r="AF262" s="405" t="s">
        <v>637</v>
      </c>
      <c r="AG262" s="406" t="s">
        <v>637</v>
      </c>
      <c r="AH262" s="405" t="s">
        <v>637</v>
      </c>
      <c r="AI262" s="405" t="s">
        <v>637</v>
      </c>
      <c r="AJ262" s="406" t="s">
        <v>637</v>
      </c>
      <c r="AK262" s="406" t="s">
        <v>637</v>
      </c>
      <c r="AL262" s="406" t="s">
        <v>637</v>
      </c>
      <c r="AM262" s="405" t="s">
        <v>637</v>
      </c>
      <c r="AN262" s="406"/>
      <c r="AO262" s="406"/>
      <c r="AP262" s="406"/>
      <c r="AQ262" s="406" t="s">
        <v>637</v>
      </c>
      <c r="AR262" s="405" t="s">
        <v>637</v>
      </c>
      <c r="AS262" s="406" t="s">
        <v>637</v>
      </c>
      <c r="AT262" s="405" t="s">
        <v>637</v>
      </c>
      <c r="AU262" s="405"/>
      <c r="AV262" s="405" t="s">
        <v>637</v>
      </c>
      <c r="AW262" s="405"/>
      <c r="AX262" s="405" t="s">
        <v>637</v>
      </c>
      <c r="AY262" s="405" t="s">
        <v>637</v>
      </c>
      <c r="AZ262" s="405"/>
    </row>
    <row r="263" spans="1:52" hidden="1" x14ac:dyDescent="0.25">
      <c r="A263" s="392" t="str">
        <f>Language!$G263</f>
        <v>Rio Canoas</v>
      </c>
      <c r="B263" s="407" t="s">
        <v>116</v>
      </c>
      <c r="C263" s="407" t="s">
        <v>116</v>
      </c>
      <c r="D263" s="407" t="s">
        <v>116</v>
      </c>
      <c r="E263" s="408" t="s">
        <v>116</v>
      </c>
      <c r="F263" s="407" t="s">
        <v>116</v>
      </c>
      <c r="G263" s="407" t="s">
        <v>116</v>
      </c>
      <c r="H263" s="407" t="s">
        <v>116</v>
      </c>
      <c r="I263" s="408" t="s">
        <v>116</v>
      </c>
      <c r="J263" s="407" t="s">
        <v>116</v>
      </c>
      <c r="K263" s="407" t="s">
        <v>116</v>
      </c>
      <c r="L263" s="407" t="s">
        <v>116</v>
      </c>
      <c r="M263" s="408" t="s">
        <v>116</v>
      </c>
      <c r="N263" s="407" t="s">
        <v>116</v>
      </c>
      <c r="O263" s="407" t="s">
        <v>116</v>
      </c>
      <c r="P263" s="407" t="s">
        <v>116</v>
      </c>
      <c r="Q263" s="408" t="e">
        <f t="shared" si="1942"/>
        <v>#REF!</v>
      </c>
      <c r="R263" s="407" t="e">
        <f t="shared" si="1942"/>
        <v>#REF!</v>
      </c>
      <c r="S263" s="407" t="e">
        <f t="shared" si="1942"/>
        <v>#REF!</v>
      </c>
      <c r="T263" s="407" t="e">
        <f t="shared" si="1942"/>
        <v>#REF!</v>
      </c>
      <c r="U263" s="407" t="s">
        <v>637</v>
      </c>
      <c r="V263" s="407" t="s">
        <v>637</v>
      </c>
      <c r="W263" s="407" t="e">
        <f t="shared" si="1943"/>
        <v>#REF!</v>
      </c>
      <c r="X263" s="408" t="s">
        <v>637</v>
      </c>
      <c r="Y263" s="407" t="s">
        <v>637</v>
      </c>
      <c r="Z263" s="408" t="s">
        <v>637</v>
      </c>
      <c r="AA263" s="407" t="s">
        <v>637</v>
      </c>
      <c r="AB263" s="407" t="s">
        <v>637</v>
      </c>
      <c r="AC263" s="407" t="s">
        <v>637</v>
      </c>
      <c r="AD263" s="407" t="s">
        <v>637</v>
      </c>
      <c r="AE263" s="408" t="s">
        <v>637</v>
      </c>
      <c r="AF263" s="407" t="s">
        <v>637</v>
      </c>
      <c r="AG263" s="408" t="s">
        <v>637</v>
      </c>
      <c r="AH263" s="407" t="s">
        <v>637</v>
      </c>
      <c r="AI263" s="407" t="s">
        <v>637</v>
      </c>
      <c r="AJ263" s="408" t="s">
        <v>637</v>
      </c>
      <c r="AK263" s="408" t="s">
        <v>637</v>
      </c>
      <c r="AL263" s="408" t="s">
        <v>637</v>
      </c>
      <c r="AM263" s="407" t="s">
        <v>637</v>
      </c>
      <c r="AN263" s="408"/>
      <c r="AO263" s="408"/>
      <c r="AP263" s="408"/>
      <c r="AQ263" s="408" t="s">
        <v>637</v>
      </c>
      <c r="AR263" s="407" t="s">
        <v>637</v>
      </c>
      <c r="AS263" s="408" t="s">
        <v>637</v>
      </c>
      <c r="AT263" s="407" t="s">
        <v>637</v>
      </c>
      <c r="AU263" s="407"/>
      <c r="AV263" s="407" t="s">
        <v>637</v>
      </c>
      <c r="AW263" s="407"/>
      <c r="AX263" s="407"/>
      <c r="AY263" s="407" t="s">
        <v>637</v>
      </c>
      <c r="AZ263" s="407"/>
    </row>
    <row r="272" spans="1:52" s="415" customFormat="1" ht="13" x14ac:dyDescent="0.3">
      <c r="A272" s="414"/>
      <c r="B272" s="414"/>
      <c r="C272" s="414"/>
      <c r="D272" s="414"/>
      <c r="E272" s="413"/>
      <c r="F272" s="414"/>
      <c r="G272" s="414"/>
      <c r="H272" s="414"/>
      <c r="I272" s="413"/>
      <c r="J272" s="414"/>
      <c r="K272" s="414"/>
      <c r="L272" s="414"/>
      <c r="AK272" s="414"/>
      <c r="AN272" s="414"/>
      <c r="AO272" s="414"/>
      <c r="AP272" s="414"/>
      <c r="AQ272" s="414"/>
      <c r="AR272" s="414"/>
    </row>
    <row r="276" spans="1:44" s="415" customFormat="1" ht="13" x14ac:dyDescent="0.3">
      <c r="A276" s="414"/>
      <c r="B276" s="414"/>
      <c r="C276" s="414"/>
      <c r="D276" s="414"/>
      <c r="E276" s="413"/>
      <c r="F276" s="414"/>
      <c r="G276" s="414"/>
      <c r="H276" s="414"/>
      <c r="I276" s="413"/>
      <c r="J276" s="414"/>
      <c r="K276" s="414"/>
      <c r="L276" s="414"/>
      <c r="AK276" s="414"/>
      <c r="AN276" s="414"/>
      <c r="AO276" s="414"/>
      <c r="AP276" s="414"/>
      <c r="AQ276" s="414"/>
      <c r="AR276" s="414"/>
    </row>
  </sheetData>
  <phoneticPr fontId="41" type="noConversion"/>
  <pageMargins left="0.25" right="0.25" top="0.75" bottom="0.75" header="0.3" footer="0.3"/>
  <pageSetup paperSize="9" scale="32" fitToHeight="0" orientation="landscape" r:id="rId1"/>
  <rowBreaks count="2" manualBreakCount="2">
    <brk id="69" max="16383" man="1"/>
    <brk id="178" max="16383" man="1"/>
  </rowBreaks>
  <colBreaks count="1" manualBreakCount="1">
    <brk id="5" max="1048575" man="1"/>
  </colBreaks>
  <ignoredErrors>
    <ignoredError sqref="B56:P56 Q56" formulaRange="1"/>
    <ignoredError sqref="Q204" 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520BB-C6DE-4AB2-8797-28552589141C}">
  <sheetPr>
    <tabColor theme="3"/>
    <pageSetUpPr fitToPage="1"/>
  </sheetPr>
  <dimension ref="A1:CO47"/>
  <sheetViews>
    <sheetView showGridLines="0" zoomScale="80" zoomScaleNormal="80" workbookViewId="0">
      <pane xSplit="1" ySplit="5" topLeftCell="CD44" activePane="bottomRight" state="frozen"/>
      <selection activeCell="B6" sqref="B6"/>
      <selection pane="topRight" activeCell="B6" sqref="B6"/>
      <selection pane="bottomLeft" activeCell="B6" sqref="B6"/>
      <selection pane="bottomRight" activeCell="CG19" sqref="CG19"/>
    </sheetView>
  </sheetViews>
  <sheetFormatPr defaultColWidth="12.7265625" defaultRowHeight="12.5" x14ac:dyDescent="0.25"/>
  <cols>
    <col min="1" max="1" width="49.1796875" style="701" bestFit="1" customWidth="1"/>
    <col min="2" max="4" width="12.7265625" style="686" hidden="1" customWidth="1"/>
    <col min="5" max="36" width="12.7265625" style="704" hidden="1" customWidth="1"/>
    <col min="37" max="37" width="12.7265625" style="686" hidden="1" customWidth="1"/>
    <col min="38" max="39" width="12.7265625" style="704" hidden="1" customWidth="1"/>
    <col min="40" max="44" width="12.7265625" style="686" hidden="1" customWidth="1"/>
    <col min="45" max="45" width="12.7265625" style="704" hidden="1" customWidth="1"/>
    <col min="46" max="52" width="12.7265625" style="704" customWidth="1"/>
    <col min="53" max="16384" width="12.7265625" style="686"/>
  </cols>
  <sheetData>
    <row r="1" spans="1:93" s="701" customFormat="1" x14ac:dyDescent="0.25">
      <c r="E1" s="702"/>
      <c r="F1" s="702"/>
      <c r="G1" s="702"/>
      <c r="H1" s="702"/>
      <c r="I1" s="702"/>
      <c r="J1" s="702"/>
      <c r="K1" s="702"/>
      <c r="L1" s="702"/>
      <c r="M1" s="702"/>
      <c r="N1" s="702"/>
      <c r="O1" s="702"/>
      <c r="P1" s="702"/>
      <c r="Q1" s="702"/>
      <c r="R1" s="702"/>
      <c r="S1" s="702"/>
      <c r="T1" s="702"/>
      <c r="U1" s="702"/>
      <c r="V1" s="702"/>
      <c r="W1" s="702"/>
      <c r="X1" s="702"/>
      <c r="Y1" s="702"/>
      <c r="Z1" s="702"/>
      <c r="AA1" s="702"/>
      <c r="AB1" s="702"/>
      <c r="AC1" s="702"/>
      <c r="AD1" s="702"/>
      <c r="AE1" s="702"/>
      <c r="AF1" s="702"/>
      <c r="AG1" s="702"/>
      <c r="AH1" s="702"/>
      <c r="AI1" s="702"/>
      <c r="AJ1" s="702"/>
      <c r="AL1" s="702"/>
      <c r="AM1" s="702"/>
      <c r="AS1" s="702"/>
      <c r="AT1" s="702"/>
      <c r="AU1" s="702"/>
      <c r="AV1" s="702"/>
      <c r="AW1" s="702"/>
      <c r="AX1" s="702"/>
      <c r="AY1" s="702"/>
      <c r="AZ1" s="702"/>
    </row>
    <row r="2" spans="1:93" s="701" customFormat="1" x14ac:dyDescent="0.25">
      <c r="E2" s="702"/>
      <c r="F2" s="702"/>
      <c r="G2" s="702"/>
      <c r="H2" s="702"/>
      <c r="I2" s="702"/>
      <c r="J2" s="702"/>
      <c r="K2" s="702"/>
      <c r="L2" s="702"/>
      <c r="M2" s="702"/>
      <c r="N2" s="702"/>
      <c r="O2" s="702"/>
      <c r="P2" s="702"/>
      <c r="Q2" s="702"/>
      <c r="R2" s="702"/>
      <c r="S2" s="702"/>
      <c r="T2" s="702"/>
      <c r="U2" s="702"/>
      <c r="V2" s="702"/>
      <c r="W2" s="702"/>
      <c r="X2" s="702"/>
      <c r="Y2" s="702"/>
      <c r="Z2" s="702"/>
      <c r="AA2" s="702"/>
      <c r="AB2" s="702"/>
      <c r="AC2" s="702"/>
      <c r="AD2" s="702"/>
      <c r="AE2" s="702"/>
      <c r="AF2" s="702"/>
      <c r="AG2" s="702"/>
      <c r="AH2" s="702"/>
      <c r="AI2" s="702"/>
      <c r="AJ2" s="702"/>
      <c r="AL2" s="702"/>
      <c r="AM2" s="702"/>
      <c r="AS2" s="702"/>
      <c r="AT2" s="702"/>
      <c r="AU2" s="702"/>
      <c r="AV2" s="702"/>
      <c r="AW2" s="702"/>
      <c r="AX2" s="702"/>
      <c r="AY2" s="702"/>
      <c r="AZ2" s="702"/>
    </row>
    <row r="3" spans="1:93" s="701" customFormat="1" x14ac:dyDescent="0.25">
      <c r="E3" s="702"/>
      <c r="F3" s="702"/>
      <c r="G3" s="702"/>
      <c r="H3" s="702"/>
      <c r="I3" s="702"/>
      <c r="J3" s="702"/>
      <c r="K3" s="702"/>
      <c r="L3" s="702"/>
      <c r="M3" s="702"/>
      <c r="N3" s="702"/>
      <c r="O3" s="702"/>
      <c r="P3" s="702"/>
      <c r="Q3" s="702"/>
      <c r="R3" s="702"/>
      <c r="S3" s="702"/>
      <c r="T3" s="702"/>
      <c r="U3" s="702"/>
      <c r="V3" s="702"/>
      <c r="W3" s="702"/>
      <c r="X3" s="702"/>
      <c r="Y3" s="702"/>
      <c r="Z3" s="702"/>
      <c r="AA3" s="702"/>
      <c r="AB3" s="702"/>
      <c r="AC3" s="702"/>
      <c r="AD3" s="702"/>
      <c r="AE3" s="702"/>
      <c r="AF3" s="702"/>
      <c r="AG3" s="702"/>
      <c r="AH3" s="702"/>
      <c r="AI3" s="702"/>
      <c r="AJ3" s="702"/>
      <c r="AL3" s="702"/>
      <c r="AM3" s="702"/>
      <c r="AS3" s="702"/>
      <c r="AT3" s="702"/>
      <c r="AU3" s="702"/>
      <c r="AV3" s="702"/>
      <c r="AW3" s="702"/>
      <c r="AX3" s="702"/>
      <c r="AY3" s="702"/>
      <c r="AZ3" s="702"/>
    </row>
    <row r="4" spans="1:93" s="762" customFormat="1" x14ac:dyDescent="0.25">
      <c r="E4" s="763"/>
      <c r="F4" s="763"/>
      <c r="G4" s="763"/>
      <c r="H4" s="763"/>
      <c r="I4" s="763"/>
      <c r="J4" s="763"/>
      <c r="K4" s="763"/>
      <c r="L4" s="763"/>
      <c r="M4" s="763"/>
      <c r="N4" s="763"/>
      <c r="O4" s="763"/>
      <c r="P4" s="763"/>
      <c r="Q4" s="763"/>
      <c r="R4" s="763"/>
      <c r="S4" s="763"/>
      <c r="T4" s="763"/>
      <c r="U4" s="763"/>
      <c r="V4" s="763"/>
      <c r="W4" s="763"/>
      <c r="X4" s="763"/>
      <c r="Y4" s="763"/>
      <c r="Z4" s="763"/>
      <c r="AA4" s="763"/>
      <c r="AB4" s="763"/>
      <c r="AC4" s="763"/>
      <c r="AD4" s="763"/>
      <c r="AE4" s="763"/>
      <c r="AF4" s="763"/>
      <c r="AG4" s="763"/>
      <c r="AH4" s="763"/>
      <c r="AI4" s="763"/>
      <c r="AJ4" s="763"/>
      <c r="AL4" s="763"/>
      <c r="AM4" s="763"/>
      <c r="AS4" s="763"/>
      <c r="AT4" s="763"/>
      <c r="AU4" s="763"/>
      <c r="AV4" s="763"/>
      <c r="AW4" s="763"/>
      <c r="AX4" s="763"/>
      <c r="AY4" s="763"/>
      <c r="AZ4" s="763"/>
    </row>
    <row r="5" spans="1:93" s="422" customFormat="1" ht="13" x14ac:dyDescent="0.3">
      <c r="A5" s="651" t="s">
        <v>430</v>
      </c>
      <c r="B5" s="651" t="s">
        <v>18</v>
      </c>
      <c r="C5" s="651" t="s">
        <v>19</v>
      </c>
      <c r="D5" s="651" t="s">
        <v>20</v>
      </c>
      <c r="E5" s="652" t="s">
        <v>21</v>
      </c>
      <c r="F5" s="651" t="s">
        <v>22</v>
      </c>
      <c r="G5" s="651" t="s">
        <v>23</v>
      </c>
      <c r="H5" s="651" t="s">
        <v>24</v>
      </c>
      <c r="I5" s="652" t="s">
        <v>25</v>
      </c>
      <c r="J5" s="651" t="s">
        <v>26</v>
      </c>
      <c r="K5" s="651" t="s">
        <v>27</v>
      </c>
      <c r="L5" s="651" t="s">
        <v>235</v>
      </c>
      <c r="M5" s="652" t="s">
        <v>236</v>
      </c>
      <c r="N5" s="651" t="s">
        <v>237</v>
      </c>
      <c r="O5" s="651" t="s">
        <v>238</v>
      </c>
      <c r="P5" s="651" t="s">
        <v>239</v>
      </c>
      <c r="Q5" s="652" t="s">
        <v>240</v>
      </c>
      <c r="R5" s="651" t="s">
        <v>241</v>
      </c>
      <c r="S5" s="651" t="s">
        <v>242</v>
      </c>
      <c r="T5" s="651" t="s">
        <v>243</v>
      </c>
      <c r="U5" s="651" t="s">
        <v>244</v>
      </c>
      <c r="V5" s="651" t="s">
        <v>638</v>
      </c>
      <c r="W5" s="651" t="s">
        <v>635</v>
      </c>
      <c r="X5" s="652" t="s">
        <v>636</v>
      </c>
      <c r="Y5" s="653" t="s">
        <v>245</v>
      </c>
      <c r="Z5" s="651" t="s">
        <v>246</v>
      </c>
      <c r="AA5" s="651" t="s">
        <v>247</v>
      </c>
      <c r="AB5" s="651" t="s">
        <v>248</v>
      </c>
      <c r="AC5" s="653" t="s">
        <v>641</v>
      </c>
      <c r="AD5" s="651" t="s">
        <v>643</v>
      </c>
      <c r="AE5" s="651" t="s">
        <v>645</v>
      </c>
      <c r="AF5" s="653" t="s">
        <v>249</v>
      </c>
      <c r="AG5" s="651" t="s">
        <v>250</v>
      </c>
      <c r="AH5" s="651" t="s">
        <v>251</v>
      </c>
      <c r="AI5" s="651" t="s">
        <v>252</v>
      </c>
      <c r="AJ5" s="651" t="s">
        <v>648</v>
      </c>
      <c r="AK5" s="651" t="s">
        <v>649</v>
      </c>
      <c r="AL5" s="651" t="s">
        <v>652</v>
      </c>
      <c r="AM5" s="653" t="s">
        <v>253</v>
      </c>
      <c r="AN5" s="651" t="s">
        <v>254</v>
      </c>
      <c r="AO5" s="651" t="s">
        <v>255</v>
      </c>
      <c r="AP5" s="651" t="s">
        <v>256</v>
      </c>
      <c r="AQ5" s="651" t="s">
        <v>669</v>
      </c>
      <c r="AR5" s="651" t="s">
        <v>681</v>
      </c>
      <c r="AS5" s="651" t="s">
        <v>683</v>
      </c>
      <c r="AT5" s="653" t="s">
        <v>257</v>
      </c>
      <c r="AU5" s="653" t="s">
        <v>258</v>
      </c>
      <c r="AV5" s="653" t="s">
        <v>259</v>
      </c>
      <c r="AW5" s="653" t="s">
        <v>260</v>
      </c>
      <c r="AX5" s="653" t="s">
        <v>688</v>
      </c>
      <c r="AY5" s="653" t="s">
        <v>689</v>
      </c>
      <c r="AZ5" s="653" t="s">
        <v>691</v>
      </c>
      <c r="BA5" s="653" t="s">
        <v>261</v>
      </c>
      <c r="BB5" s="653" t="s">
        <v>262</v>
      </c>
      <c r="BC5" s="653" t="s">
        <v>263</v>
      </c>
      <c r="BD5" s="653" t="s">
        <v>264</v>
      </c>
      <c r="BE5" s="653" t="s">
        <v>692</v>
      </c>
      <c r="BF5" s="653" t="s">
        <v>697</v>
      </c>
      <c r="BG5" s="653" t="s">
        <v>698</v>
      </c>
      <c r="BH5" s="653" t="s">
        <v>265</v>
      </c>
      <c r="BI5" s="653" t="s">
        <v>266</v>
      </c>
      <c r="BJ5" s="653" t="s">
        <v>267</v>
      </c>
      <c r="BK5" s="653" t="s">
        <v>268</v>
      </c>
      <c r="BL5" s="653" t="s">
        <v>699</v>
      </c>
      <c r="BM5" s="653" t="s">
        <v>710</v>
      </c>
      <c r="BN5" s="653" t="s">
        <v>717</v>
      </c>
      <c r="BO5" s="653" t="s">
        <v>720</v>
      </c>
      <c r="BP5" s="653" t="s">
        <v>727</v>
      </c>
      <c r="BQ5" s="653" t="s">
        <v>728</v>
      </c>
      <c r="BR5" s="653" t="s">
        <v>729</v>
      </c>
      <c r="BS5" s="653" t="s">
        <v>730</v>
      </c>
      <c r="BT5" s="653" t="s">
        <v>736</v>
      </c>
      <c r="BU5" s="653" t="s">
        <v>739</v>
      </c>
      <c r="BV5" s="653" t="s">
        <v>740</v>
      </c>
      <c r="BW5" s="653" t="s">
        <v>741</v>
      </c>
      <c r="BX5" s="653" t="s">
        <v>742</v>
      </c>
      <c r="BY5" s="653" t="s">
        <v>743</v>
      </c>
      <c r="BZ5" s="653" t="s">
        <v>744</v>
      </c>
      <c r="CA5" s="653" t="s">
        <v>749</v>
      </c>
      <c r="CB5" s="653" t="s">
        <v>750</v>
      </c>
      <c r="CC5" s="653" t="s">
        <v>753</v>
      </c>
      <c r="CD5" s="653" t="s">
        <v>754</v>
      </c>
      <c r="CE5" s="653" t="s">
        <v>755</v>
      </c>
      <c r="CF5" s="653" t="s">
        <v>756</v>
      </c>
      <c r="CG5" s="653" t="s">
        <v>757</v>
      </c>
      <c r="CH5" s="653" t="s">
        <v>758</v>
      </c>
      <c r="CI5" s="653" t="s">
        <v>759</v>
      </c>
      <c r="CJ5" s="653" t="s">
        <v>763</v>
      </c>
      <c r="CK5" s="653" t="s">
        <v>768</v>
      </c>
      <c r="CL5" s="653" t="s">
        <v>769</v>
      </c>
      <c r="CM5" s="653" t="s">
        <v>770</v>
      </c>
      <c r="CN5" s="653" t="s">
        <v>771</v>
      </c>
      <c r="CO5" s="653" t="s">
        <v>772</v>
      </c>
    </row>
    <row r="6" spans="1:93" s="423" customFormat="1" ht="13" x14ac:dyDescent="0.3">
      <c r="A6" s="654" t="s">
        <v>179</v>
      </c>
      <c r="B6" s="655"/>
      <c r="C6" s="655"/>
      <c r="D6" s="655"/>
      <c r="E6" s="656"/>
      <c r="F6" s="655"/>
      <c r="G6" s="655"/>
      <c r="H6" s="655"/>
      <c r="I6" s="656"/>
      <c r="J6" s="655"/>
      <c r="K6" s="655"/>
      <c r="L6" s="655"/>
      <c r="M6" s="656"/>
      <c r="N6" s="655"/>
      <c r="O6" s="655"/>
      <c r="P6" s="655"/>
      <c r="Q6" s="656"/>
      <c r="R6" s="655"/>
      <c r="S6" s="655"/>
      <c r="T6" s="655"/>
      <c r="U6" s="655"/>
      <c r="V6" s="655"/>
      <c r="W6" s="655"/>
      <c r="X6" s="656"/>
      <c r="Y6" s="657"/>
      <c r="Z6" s="655"/>
      <c r="AA6" s="655"/>
      <c r="AB6" s="655"/>
      <c r="AC6" s="657"/>
      <c r="AD6" s="655"/>
      <c r="AE6" s="655"/>
      <c r="AF6" s="657"/>
      <c r="AG6" s="655"/>
      <c r="AH6" s="655"/>
      <c r="AI6" s="655"/>
      <c r="AJ6" s="655"/>
      <c r="AK6" s="655"/>
      <c r="AL6" s="655"/>
      <c r="AM6" s="657"/>
      <c r="AN6" s="655"/>
      <c r="AO6" s="655"/>
      <c r="AP6" s="655"/>
      <c r="AQ6" s="655"/>
      <c r="AR6" s="655"/>
      <c r="AS6" s="655"/>
      <c r="AT6" s="657"/>
      <c r="AU6" s="657"/>
      <c r="AV6" s="657"/>
      <c r="AW6" s="657"/>
      <c r="AX6" s="657"/>
      <c r="AY6" s="657"/>
      <c r="AZ6" s="657"/>
      <c r="BA6" s="657"/>
      <c r="BB6" s="657"/>
      <c r="BC6" s="657"/>
      <c r="BD6" s="657"/>
      <c r="BE6" s="657"/>
      <c r="BF6" s="657"/>
      <c r="BG6" s="657"/>
      <c r="BH6" s="657"/>
      <c r="BI6" s="657"/>
      <c r="BJ6" s="657"/>
      <c r="BK6" s="657"/>
      <c r="BL6" s="657"/>
      <c r="BM6" s="657"/>
      <c r="BN6" s="657"/>
      <c r="BO6" s="657"/>
      <c r="BP6" s="657"/>
      <c r="BQ6" s="657"/>
      <c r="BR6" s="657"/>
      <c r="BS6" s="657"/>
      <c r="BT6" s="657"/>
      <c r="BU6" s="657"/>
      <c r="BV6" s="657"/>
      <c r="BW6" s="657"/>
      <c r="BX6" s="657"/>
      <c r="BY6" s="657"/>
      <c r="BZ6" s="657"/>
      <c r="CA6" s="657"/>
      <c r="CB6" s="657"/>
      <c r="CC6" s="657"/>
      <c r="CD6" s="657"/>
      <c r="CE6" s="657"/>
      <c r="CF6" s="657"/>
      <c r="CG6" s="657"/>
      <c r="CH6" s="657"/>
      <c r="CI6" s="657"/>
      <c r="CJ6" s="657"/>
      <c r="CK6" s="657"/>
      <c r="CL6" s="657"/>
      <c r="CM6" s="657"/>
      <c r="CN6" s="657"/>
      <c r="CO6" s="657"/>
    </row>
    <row r="7" spans="1:93" ht="13" x14ac:dyDescent="0.3">
      <c r="A7" s="632" t="s">
        <v>180</v>
      </c>
      <c r="B7" s="658">
        <v>0</v>
      </c>
      <c r="C7" s="658">
        <v>0</v>
      </c>
      <c r="D7" s="658">
        <v>0</v>
      </c>
      <c r="E7" s="659">
        <v>0</v>
      </c>
      <c r="F7" s="658">
        <v>0</v>
      </c>
      <c r="G7" s="658">
        <v>0</v>
      </c>
      <c r="H7" s="658">
        <v>0</v>
      </c>
      <c r="I7" s="659">
        <v>0</v>
      </c>
      <c r="J7" s="658">
        <v>0</v>
      </c>
      <c r="K7" s="658">
        <v>0</v>
      </c>
      <c r="L7" s="658">
        <v>0</v>
      </c>
      <c r="M7" s="659">
        <v>0</v>
      </c>
      <c r="N7" s="658">
        <v>0</v>
      </c>
      <c r="O7" s="658">
        <v>0</v>
      </c>
      <c r="P7" s="658">
        <v>0</v>
      </c>
      <c r="Q7" s="659">
        <v>0</v>
      </c>
      <c r="R7" s="658">
        <v>0</v>
      </c>
      <c r="S7" s="658">
        <v>0</v>
      </c>
      <c r="T7" s="658">
        <v>0</v>
      </c>
      <c r="U7" s="658">
        <v>0</v>
      </c>
      <c r="V7" s="658">
        <v>0</v>
      </c>
      <c r="W7" s="658">
        <v>0</v>
      </c>
      <c r="X7" s="659">
        <v>0</v>
      </c>
      <c r="Y7" s="660">
        <v>0</v>
      </c>
      <c r="Z7" s="658">
        <v>0</v>
      </c>
      <c r="AA7" s="658">
        <v>0</v>
      </c>
      <c r="AB7" s="658">
        <v>0</v>
      </c>
      <c r="AC7" s="660">
        <v>0</v>
      </c>
      <c r="AD7" s="658">
        <v>0</v>
      </c>
      <c r="AE7" s="658">
        <v>0</v>
      </c>
      <c r="AF7" s="660">
        <v>0</v>
      </c>
      <c r="AG7" s="658">
        <v>0</v>
      </c>
      <c r="AH7" s="658">
        <v>0</v>
      </c>
      <c r="AI7" s="658">
        <v>0</v>
      </c>
      <c r="AJ7" s="658">
        <v>0</v>
      </c>
      <c r="AK7" s="658">
        <v>0</v>
      </c>
      <c r="AL7" s="658">
        <v>0</v>
      </c>
      <c r="AM7" s="660">
        <v>0</v>
      </c>
      <c r="AN7" s="658">
        <f>AQ7-AM7</f>
        <v>0</v>
      </c>
      <c r="AO7" s="658">
        <f>AR7-AQ7</f>
        <v>0</v>
      </c>
      <c r="AP7" s="658">
        <f>AS7-AR7</f>
        <v>0</v>
      </c>
      <c r="AQ7" s="658">
        <v>0</v>
      </c>
      <c r="AR7" s="658"/>
      <c r="AS7" s="658"/>
      <c r="AT7" s="660"/>
      <c r="AU7" s="660"/>
      <c r="AV7" s="660"/>
      <c r="AW7" s="660"/>
      <c r="AX7" s="660"/>
      <c r="AY7" s="660"/>
      <c r="AZ7" s="660"/>
      <c r="BA7" s="660"/>
      <c r="BB7" s="660"/>
      <c r="BC7" s="660"/>
      <c r="BD7" s="660"/>
      <c r="BE7" s="660"/>
      <c r="BF7" s="660"/>
      <c r="BG7" s="660"/>
      <c r="BH7" s="660"/>
      <c r="BI7" s="660"/>
      <c r="BJ7" s="660"/>
      <c r="BK7" s="660"/>
      <c r="BL7" s="660"/>
      <c r="BM7" s="660"/>
      <c r="BN7" s="660"/>
      <c r="BO7" s="660"/>
      <c r="BP7" s="660"/>
      <c r="BQ7" s="660"/>
      <c r="BR7" s="660"/>
      <c r="BS7" s="660"/>
      <c r="BT7" s="660"/>
      <c r="BU7" s="660"/>
      <c r="BV7" s="660"/>
      <c r="BW7" s="660"/>
      <c r="BX7" s="660"/>
      <c r="BY7" s="660"/>
      <c r="BZ7" s="660"/>
      <c r="CA7" s="660"/>
      <c r="CB7" s="660"/>
      <c r="CC7" s="660"/>
      <c r="CD7" s="660"/>
      <c r="CE7" s="660"/>
      <c r="CF7" s="660"/>
      <c r="CG7" s="660"/>
      <c r="CH7" s="660"/>
      <c r="CI7" s="660"/>
      <c r="CJ7" s="660"/>
      <c r="CK7" s="660"/>
      <c r="CL7" s="660"/>
      <c r="CM7" s="660"/>
      <c r="CN7" s="660"/>
      <c r="CO7" s="660"/>
    </row>
    <row r="8" spans="1:93" x14ac:dyDescent="0.25">
      <c r="A8" s="703" t="s">
        <v>184</v>
      </c>
      <c r="B8" s="280">
        <v>0</v>
      </c>
      <c r="C8" s="280">
        <v>0</v>
      </c>
      <c r="D8" s="280">
        <v>0</v>
      </c>
      <c r="E8" s="416">
        <v>0</v>
      </c>
      <c r="F8" s="280">
        <v>0</v>
      </c>
      <c r="G8" s="280">
        <v>0</v>
      </c>
      <c r="H8" s="280">
        <v>0</v>
      </c>
      <c r="I8" s="416">
        <v>0</v>
      </c>
      <c r="J8" s="280">
        <v>0</v>
      </c>
      <c r="K8" s="280">
        <v>0</v>
      </c>
      <c r="L8" s="280">
        <v>0</v>
      </c>
      <c r="M8" s="416">
        <v>0</v>
      </c>
      <c r="N8" s="280">
        <v>0</v>
      </c>
      <c r="O8" s="280">
        <v>0</v>
      </c>
      <c r="P8" s="280">
        <v>0</v>
      </c>
      <c r="Q8" s="416">
        <v>0</v>
      </c>
      <c r="R8" s="280">
        <v>0</v>
      </c>
      <c r="S8" s="280">
        <v>0</v>
      </c>
      <c r="T8" s="280">
        <v>0</v>
      </c>
      <c r="U8" s="280">
        <v>0</v>
      </c>
      <c r="V8" s="280">
        <v>0</v>
      </c>
      <c r="W8" s="280">
        <v>0</v>
      </c>
      <c r="X8" s="416">
        <v>0</v>
      </c>
      <c r="Y8" s="279">
        <v>0</v>
      </c>
      <c r="Z8" s="280">
        <v>0</v>
      </c>
      <c r="AA8" s="280">
        <v>0</v>
      </c>
      <c r="AB8" s="280">
        <v>0</v>
      </c>
      <c r="AC8" s="279">
        <v>0</v>
      </c>
      <c r="AD8" s="280">
        <v>0</v>
      </c>
      <c r="AE8" s="280">
        <v>0</v>
      </c>
      <c r="AF8" s="279">
        <v>0</v>
      </c>
      <c r="AG8" s="280">
        <v>0</v>
      </c>
      <c r="AH8" s="280">
        <v>0</v>
      </c>
      <c r="AI8" s="280">
        <v>0</v>
      </c>
      <c r="AJ8" s="280">
        <v>0</v>
      </c>
      <c r="AK8" s="280">
        <v>0</v>
      </c>
      <c r="AL8" s="280">
        <v>0</v>
      </c>
      <c r="AM8" s="279">
        <v>0</v>
      </c>
      <c r="AN8" s="280">
        <f t="shared" ref="AN8:AN24" si="0">AQ8-AM8</f>
        <v>0</v>
      </c>
      <c r="AO8" s="280">
        <f t="shared" ref="AO8:AP33" si="1">AR8-AQ8</f>
        <v>0</v>
      </c>
      <c r="AP8" s="280">
        <f t="shared" si="1"/>
        <v>0</v>
      </c>
      <c r="AQ8" s="280">
        <v>0</v>
      </c>
      <c r="AR8" s="280"/>
      <c r="AS8" s="280"/>
      <c r="AT8" s="279"/>
      <c r="AU8" s="279"/>
      <c r="AV8" s="279"/>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c r="CN8" s="279"/>
      <c r="CO8" s="279"/>
    </row>
    <row r="9" spans="1:93" s="423" customFormat="1" ht="13" x14ac:dyDescent="0.3">
      <c r="A9" s="661" t="s">
        <v>185</v>
      </c>
      <c r="B9" s="461">
        <f>SUM(B7,B8)</f>
        <v>0</v>
      </c>
      <c r="C9" s="461">
        <f t="shared" ref="C9:M9" si="2">SUM(C7,C8)</f>
        <v>0</v>
      </c>
      <c r="D9" s="461">
        <f t="shared" si="2"/>
        <v>0</v>
      </c>
      <c r="E9" s="646">
        <f t="shared" si="2"/>
        <v>0</v>
      </c>
      <c r="F9" s="461">
        <f t="shared" si="2"/>
        <v>0</v>
      </c>
      <c r="G9" s="461">
        <f t="shared" si="2"/>
        <v>0</v>
      </c>
      <c r="H9" s="461">
        <f t="shared" si="2"/>
        <v>0</v>
      </c>
      <c r="I9" s="646">
        <f t="shared" si="2"/>
        <v>0</v>
      </c>
      <c r="J9" s="461">
        <f t="shared" si="2"/>
        <v>0</v>
      </c>
      <c r="K9" s="461">
        <f t="shared" si="2"/>
        <v>0</v>
      </c>
      <c r="L9" s="461">
        <f t="shared" si="2"/>
        <v>0</v>
      </c>
      <c r="M9" s="646">
        <f t="shared" si="2"/>
        <v>0</v>
      </c>
      <c r="N9" s="461">
        <v>0</v>
      </c>
      <c r="O9" s="461">
        <v>0</v>
      </c>
      <c r="P9" s="461">
        <v>0</v>
      </c>
      <c r="Q9" s="646">
        <v>0</v>
      </c>
      <c r="R9" s="461">
        <v>0</v>
      </c>
      <c r="S9" s="461">
        <v>0</v>
      </c>
      <c r="T9" s="461">
        <v>0</v>
      </c>
      <c r="U9" s="461">
        <v>0</v>
      </c>
      <c r="V9" s="461">
        <v>0</v>
      </c>
      <c r="W9" s="461">
        <v>0</v>
      </c>
      <c r="X9" s="646">
        <v>0</v>
      </c>
      <c r="Y9" s="462">
        <v>0</v>
      </c>
      <c r="Z9" s="461">
        <v>0</v>
      </c>
      <c r="AA9" s="461">
        <v>0</v>
      </c>
      <c r="AB9" s="461">
        <v>0</v>
      </c>
      <c r="AC9" s="462">
        <v>0</v>
      </c>
      <c r="AD9" s="461">
        <v>0</v>
      </c>
      <c r="AE9" s="461">
        <v>0</v>
      </c>
      <c r="AF9" s="462">
        <v>0</v>
      </c>
      <c r="AG9" s="461">
        <v>0</v>
      </c>
      <c r="AH9" s="461">
        <v>0</v>
      </c>
      <c r="AI9" s="461">
        <v>0</v>
      </c>
      <c r="AJ9" s="461">
        <v>0</v>
      </c>
      <c r="AK9" s="461">
        <v>0</v>
      </c>
      <c r="AL9" s="461">
        <v>0</v>
      </c>
      <c r="AM9" s="462">
        <v>0</v>
      </c>
      <c r="AN9" s="461">
        <f t="shared" si="0"/>
        <v>0</v>
      </c>
      <c r="AO9" s="461">
        <f t="shared" si="1"/>
        <v>0</v>
      </c>
      <c r="AP9" s="461">
        <f t="shared" si="1"/>
        <v>0</v>
      </c>
      <c r="AQ9" s="461">
        <v>0</v>
      </c>
      <c r="AR9" s="461"/>
      <c r="AS9" s="461"/>
      <c r="AT9" s="462"/>
      <c r="AU9" s="462"/>
      <c r="AV9" s="462"/>
      <c r="AW9" s="462"/>
      <c r="AX9" s="462"/>
      <c r="AY9" s="462"/>
      <c r="AZ9" s="462"/>
      <c r="BA9" s="462"/>
      <c r="BB9" s="462"/>
      <c r="BC9" s="462"/>
      <c r="BD9" s="462"/>
      <c r="BE9" s="462"/>
      <c r="BF9" s="462"/>
      <c r="BG9" s="462"/>
      <c r="BH9" s="462"/>
      <c r="BI9" s="462"/>
      <c r="BJ9" s="462"/>
      <c r="BK9" s="462"/>
      <c r="BL9" s="462"/>
      <c r="BM9" s="462"/>
      <c r="BN9" s="462"/>
      <c r="BO9" s="462"/>
      <c r="BP9" s="462"/>
      <c r="BQ9" s="462"/>
      <c r="BR9" s="462"/>
      <c r="BS9" s="462"/>
      <c r="BT9" s="462"/>
      <c r="BU9" s="462"/>
      <c r="BV9" s="462"/>
      <c r="BW9" s="462"/>
      <c r="BX9" s="462"/>
      <c r="BY9" s="462"/>
      <c r="BZ9" s="462"/>
      <c r="CA9" s="462"/>
      <c r="CB9" s="462"/>
      <c r="CC9" s="462"/>
      <c r="CD9" s="462"/>
      <c r="CE9" s="462"/>
      <c r="CF9" s="462"/>
      <c r="CG9" s="462"/>
      <c r="CH9" s="462"/>
      <c r="CI9" s="462"/>
      <c r="CJ9" s="462"/>
      <c r="CK9" s="462"/>
      <c r="CL9" s="462"/>
      <c r="CM9" s="462"/>
      <c r="CN9" s="462"/>
      <c r="CO9" s="462"/>
    </row>
    <row r="10" spans="1:93" s="423" customFormat="1" ht="13" x14ac:dyDescent="0.3">
      <c r="A10" s="661" t="s">
        <v>186</v>
      </c>
      <c r="B10" s="461">
        <f>SUM(B11,B12)</f>
        <v>0</v>
      </c>
      <c r="C10" s="461">
        <f t="shared" ref="C10:M10" si="3">SUM(C11,C12)</f>
        <v>0</v>
      </c>
      <c r="D10" s="461">
        <f t="shared" si="3"/>
        <v>0</v>
      </c>
      <c r="E10" s="646">
        <f t="shared" si="3"/>
        <v>0</v>
      </c>
      <c r="F10" s="461">
        <f t="shared" si="3"/>
        <v>0</v>
      </c>
      <c r="G10" s="461">
        <f t="shared" si="3"/>
        <v>0</v>
      </c>
      <c r="H10" s="461">
        <f t="shared" si="3"/>
        <v>0</v>
      </c>
      <c r="I10" s="646">
        <f t="shared" si="3"/>
        <v>0</v>
      </c>
      <c r="J10" s="461">
        <f t="shared" si="3"/>
        <v>0</v>
      </c>
      <c r="K10" s="461">
        <f t="shared" si="3"/>
        <v>0</v>
      </c>
      <c r="L10" s="461">
        <f t="shared" si="3"/>
        <v>0</v>
      </c>
      <c r="M10" s="646">
        <f t="shared" si="3"/>
        <v>0</v>
      </c>
      <c r="N10" s="461">
        <v>0</v>
      </c>
      <c r="O10" s="461">
        <v>0</v>
      </c>
      <c r="P10" s="461">
        <v>0</v>
      </c>
      <c r="Q10" s="646">
        <v>0</v>
      </c>
      <c r="R10" s="461">
        <v>0</v>
      </c>
      <c r="S10" s="461">
        <v>0</v>
      </c>
      <c r="T10" s="461">
        <v>0</v>
      </c>
      <c r="U10" s="461">
        <v>0</v>
      </c>
      <c r="V10" s="461">
        <v>0</v>
      </c>
      <c r="W10" s="461">
        <v>0</v>
      </c>
      <c r="X10" s="646">
        <v>0</v>
      </c>
      <c r="Y10" s="462">
        <v>0</v>
      </c>
      <c r="Z10" s="461">
        <v>0</v>
      </c>
      <c r="AA10" s="461">
        <v>0</v>
      </c>
      <c r="AB10" s="461">
        <v>0</v>
      </c>
      <c r="AC10" s="462">
        <v>0</v>
      </c>
      <c r="AD10" s="461">
        <v>0</v>
      </c>
      <c r="AE10" s="461">
        <v>0</v>
      </c>
      <c r="AF10" s="462">
        <v>0</v>
      </c>
      <c r="AG10" s="461">
        <v>0</v>
      </c>
      <c r="AH10" s="461">
        <v>0</v>
      </c>
      <c r="AI10" s="461">
        <v>0</v>
      </c>
      <c r="AJ10" s="461">
        <v>0</v>
      </c>
      <c r="AK10" s="461">
        <v>0</v>
      </c>
      <c r="AL10" s="461">
        <v>0</v>
      </c>
      <c r="AM10" s="462">
        <v>0</v>
      </c>
      <c r="AN10" s="461">
        <f t="shared" si="0"/>
        <v>0</v>
      </c>
      <c r="AO10" s="461">
        <f t="shared" si="1"/>
        <v>0</v>
      </c>
      <c r="AP10" s="461">
        <f t="shared" si="1"/>
        <v>0</v>
      </c>
      <c r="AQ10" s="461">
        <v>0</v>
      </c>
      <c r="AR10" s="461"/>
      <c r="AS10" s="461"/>
      <c r="AT10" s="462"/>
      <c r="AU10" s="462"/>
      <c r="AV10" s="462"/>
      <c r="AW10" s="462"/>
      <c r="AX10" s="462"/>
      <c r="AY10" s="462"/>
      <c r="AZ10" s="462"/>
      <c r="BA10" s="462"/>
      <c r="BB10" s="462"/>
      <c r="BC10" s="462"/>
      <c r="BD10" s="462"/>
      <c r="BE10" s="462"/>
      <c r="BF10" s="462"/>
      <c r="BG10" s="462"/>
      <c r="BH10" s="462"/>
      <c r="BI10" s="462"/>
      <c r="BJ10" s="462"/>
      <c r="BK10" s="462"/>
      <c r="BL10" s="462"/>
      <c r="BM10" s="462"/>
      <c r="BN10" s="462"/>
      <c r="BO10" s="462"/>
      <c r="BP10" s="462"/>
      <c r="BQ10" s="462"/>
      <c r="BR10" s="462"/>
      <c r="BS10" s="462"/>
      <c r="BT10" s="462"/>
      <c r="BU10" s="462"/>
      <c r="BV10" s="462"/>
      <c r="BW10" s="462"/>
      <c r="BX10" s="462"/>
      <c r="BY10" s="462"/>
      <c r="BZ10" s="462"/>
      <c r="CA10" s="462"/>
      <c r="CB10" s="462"/>
      <c r="CC10" s="462"/>
      <c r="CD10" s="462"/>
      <c r="CE10" s="462"/>
      <c r="CF10" s="462"/>
      <c r="CG10" s="462"/>
      <c r="CH10" s="462"/>
      <c r="CI10" s="462"/>
      <c r="CJ10" s="462"/>
      <c r="CK10" s="462"/>
      <c r="CL10" s="462"/>
      <c r="CM10" s="462"/>
      <c r="CN10" s="462"/>
      <c r="CO10" s="462"/>
    </row>
    <row r="11" spans="1:93" x14ac:dyDescent="0.25">
      <c r="A11" s="703" t="s">
        <v>189</v>
      </c>
      <c r="B11" s="280">
        <v>0</v>
      </c>
      <c r="C11" s="280">
        <v>0</v>
      </c>
      <c r="D11" s="280">
        <v>0</v>
      </c>
      <c r="E11" s="416">
        <v>0</v>
      </c>
      <c r="F11" s="280">
        <v>0</v>
      </c>
      <c r="G11" s="280">
        <v>0</v>
      </c>
      <c r="H11" s="280">
        <v>0</v>
      </c>
      <c r="I11" s="416">
        <v>0</v>
      </c>
      <c r="J11" s="280">
        <v>0</v>
      </c>
      <c r="K11" s="280">
        <v>0</v>
      </c>
      <c r="L11" s="280">
        <v>0</v>
      </c>
      <c r="M11" s="416">
        <v>0</v>
      </c>
      <c r="N11" s="280">
        <v>0</v>
      </c>
      <c r="O11" s="280">
        <v>0</v>
      </c>
      <c r="P11" s="280">
        <v>0</v>
      </c>
      <c r="Q11" s="416">
        <v>0</v>
      </c>
      <c r="R11" s="280">
        <v>0</v>
      </c>
      <c r="S11" s="280">
        <v>0</v>
      </c>
      <c r="T11" s="280">
        <v>0</v>
      </c>
      <c r="U11" s="280">
        <v>0</v>
      </c>
      <c r="V11" s="280">
        <v>0</v>
      </c>
      <c r="W11" s="280">
        <v>0</v>
      </c>
      <c r="X11" s="416">
        <v>0</v>
      </c>
      <c r="Y11" s="279">
        <v>0</v>
      </c>
      <c r="Z11" s="280">
        <v>0</v>
      </c>
      <c r="AA11" s="280">
        <v>0</v>
      </c>
      <c r="AB11" s="280">
        <v>0</v>
      </c>
      <c r="AC11" s="279">
        <v>0</v>
      </c>
      <c r="AD11" s="280">
        <v>0</v>
      </c>
      <c r="AE11" s="280">
        <v>0</v>
      </c>
      <c r="AF11" s="279">
        <v>0</v>
      </c>
      <c r="AG11" s="280">
        <v>0</v>
      </c>
      <c r="AH11" s="280">
        <v>0</v>
      </c>
      <c r="AI11" s="280">
        <v>0</v>
      </c>
      <c r="AJ11" s="280">
        <v>0</v>
      </c>
      <c r="AK11" s="280">
        <v>0</v>
      </c>
      <c r="AL11" s="280">
        <v>0</v>
      </c>
      <c r="AM11" s="279">
        <v>0</v>
      </c>
      <c r="AN11" s="280">
        <f t="shared" si="0"/>
        <v>0</v>
      </c>
      <c r="AO11" s="280">
        <f t="shared" si="1"/>
        <v>0</v>
      </c>
      <c r="AP11" s="280">
        <f t="shared" si="1"/>
        <v>0</v>
      </c>
      <c r="AQ11" s="280">
        <v>0</v>
      </c>
      <c r="AR11" s="280"/>
      <c r="AS11" s="280"/>
      <c r="AT11" s="279"/>
      <c r="AU11" s="279"/>
      <c r="AV11" s="279"/>
      <c r="AW11" s="279"/>
      <c r="AX11" s="279"/>
      <c r="AY11" s="279"/>
      <c r="AZ11" s="279"/>
      <c r="BA11" s="279"/>
      <c r="BB11" s="279"/>
      <c r="BC11" s="279"/>
      <c r="BD11" s="279"/>
      <c r="BE11" s="279"/>
      <c r="BF11" s="279"/>
      <c r="BG11" s="279"/>
      <c r="BH11" s="279"/>
      <c r="BI11" s="279"/>
      <c r="BJ11" s="279"/>
      <c r="BK11" s="279"/>
      <c r="BL11" s="279"/>
      <c r="BM11" s="279"/>
      <c r="BN11" s="279"/>
      <c r="BO11" s="279"/>
      <c r="BP11" s="279"/>
      <c r="BQ11" s="279"/>
      <c r="BR11" s="279"/>
      <c r="BS11" s="279"/>
      <c r="BT11" s="279"/>
      <c r="BU11" s="279"/>
      <c r="BV11" s="279"/>
      <c r="BW11" s="279"/>
      <c r="BX11" s="279"/>
      <c r="BY11" s="279"/>
      <c r="BZ11" s="279"/>
      <c r="CA11" s="279"/>
      <c r="CB11" s="279"/>
      <c r="CC11" s="279"/>
      <c r="CD11" s="279"/>
      <c r="CE11" s="279"/>
      <c r="CF11" s="279"/>
      <c r="CG11" s="279"/>
      <c r="CH11" s="279"/>
      <c r="CI11" s="279"/>
      <c r="CJ11" s="279"/>
      <c r="CK11" s="279"/>
      <c r="CL11" s="279"/>
      <c r="CM11" s="279"/>
      <c r="CN11" s="279"/>
      <c r="CO11" s="279"/>
    </row>
    <row r="12" spans="1:93" x14ac:dyDescent="0.25">
      <c r="A12" s="703" t="s">
        <v>190</v>
      </c>
      <c r="B12" s="280">
        <v>0</v>
      </c>
      <c r="C12" s="280">
        <v>0</v>
      </c>
      <c r="D12" s="280">
        <v>0</v>
      </c>
      <c r="E12" s="416">
        <v>0</v>
      </c>
      <c r="F12" s="280">
        <v>0</v>
      </c>
      <c r="G12" s="280">
        <v>0</v>
      </c>
      <c r="H12" s="280">
        <v>0</v>
      </c>
      <c r="I12" s="416">
        <v>0</v>
      </c>
      <c r="J12" s="280">
        <v>0</v>
      </c>
      <c r="K12" s="280">
        <v>0</v>
      </c>
      <c r="L12" s="280">
        <v>0</v>
      </c>
      <c r="M12" s="416">
        <v>0</v>
      </c>
      <c r="N12" s="280">
        <v>0</v>
      </c>
      <c r="O12" s="280">
        <v>0</v>
      </c>
      <c r="P12" s="280">
        <v>0</v>
      </c>
      <c r="Q12" s="416">
        <v>0</v>
      </c>
      <c r="R12" s="280">
        <v>0</v>
      </c>
      <c r="S12" s="280">
        <v>0</v>
      </c>
      <c r="T12" s="280">
        <v>0</v>
      </c>
      <c r="U12" s="280">
        <v>0</v>
      </c>
      <c r="V12" s="280">
        <v>0</v>
      </c>
      <c r="W12" s="280">
        <v>0</v>
      </c>
      <c r="X12" s="416">
        <v>0</v>
      </c>
      <c r="Y12" s="279">
        <v>0</v>
      </c>
      <c r="Z12" s="280">
        <v>0</v>
      </c>
      <c r="AA12" s="280">
        <v>0</v>
      </c>
      <c r="AB12" s="280">
        <v>0</v>
      </c>
      <c r="AC12" s="279">
        <v>0</v>
      </c>
      <c r="AD12" s="280">
        <v>0</v>
      </c>
      <c r="AE12" s="280">
        <v>0</v>
      </c>
      <c r="AF12" s="279">
        <v>0</v>
      </c>
      <c r="AG12" s="280">
        <v>0</v>
      </c>
      <c r="AH12" s="280">
        <v>0</v>
      </c>
      <c r="AI12" s="280">
        <v>0</v>
      </c>
      <c r="AJ12" s="280">
        <v>0</v>
      </c>
      <c r="AK12" s="280">
        <v>0</v>
      </c>
      <c r="AL12" s="280">
        <v>0</v>
      </c>
      <c r="AM12" s="279">
        <v>0</v>
      </c>
      <c r="AN12" s="280">
        <f t="shared" si="0"/>
        <v>0</v>
      </c>
      <c r="AO12" s="280">
        <f t="shared" si="1"/>
        <v>0</v>
      </c>
      <c r="AP12" s="280">
        <f t="shared" si="1"/>
        <v>0</v>
      </c>
      <c r="AQ12" s="280">
        <v>0</v>
      </c>
      <c r="AR12" s="280"/>
      <c r="AS12" s="280"/>
      <c r="AT12" s="279"/>
      <c r="AU12" s="279"/>
      <c r="AV12" s="279"/>
      <c r="AW12" s="279"/>
      <c r="AX12" s="279"/>
      <c r="AY12" s="279"/>
      <c r="AZ12" s="279"/>
      <c r="BA12" s="279"/>
      <c r="BB12" s="279"/>
      <c r="BC12" s="279"/>
      <c r="BD12" s="279"/>
      <c r="BE12" s="279"/>
      <c r="BF12" s="279"/>
      <c r="BG12" s="279"/>
      <c r="BH12" s="279"/>
      <c r="BI12" s="279"/>
      <c r="BJ12" s="279"/>
      <c r="BK12" s="279"/>
      <c r="BL12" s="279"/>
      <c r="BM12" s="279"/>
      <c r="BN12" s="279"/>
      <c r="BO12" s="279"/>
      <c r="BP12" s="279"/>
      <c r="BQ12" s="279"/>
      <c r="BR12" s="279"/>
      <c r="BS12" s="279"/>
      <c r="BT12" s="279"/>
      <c r="BU12" s="279"/>
      <c r="BV12" s="279"/>
      <c r="BW12" s="279"/>
      <c r="BX12" s="279"/>
      <c r="BY12" s="279"/>
      <c r="BZ12" s="279"/>
      <c r="CA12" s="279"/>
      <c r="CB12" s="279"/>
      <c r="CC12" s="279"/>
      <c r="CD12" s="279"/>
      <c r="CE12" s="279"/>
      <c r="CF12" s="279"/>
      <c r="CG12" s="279"/>
      <c r="CH12" s="279"/>
      <c r="CI12" s="279"/>
      <c r="CJ12" s="279"/>
      <c r="CK12" s="279"/>
      <c r="CL12" s="279"/>
      <c r="CM12" s="279"/>
      <c r="CN12" s="279"/>
      <c r="CO12" s="279"/>
    </row>
    <row r="13" spans="1:93" s="461" customFormat="1" ht="13" x14ac:dyDescent="0.3">
      <c r="A13" s="661" t="s">
        <v>191</v>
      </c>
      <c r="B13" s="461">
        <f>SUM(B14,B15,B16)</f>
        <v>-7145</v>
      </c>
      <c r="C13" s="461">
        <f t="shared" ref="C13:W13" si="4">SUM(C14,C15,C16)</f>
        <v>-6830</v>
      </c>
      <c r="D13" s="461">
        <f t="shared" si="4"/>
        <v>-7064</v>
      </c>
      <c r="E13" s="646">
        <f t="shared" si="4"/>
        <v>1801</v>
      </c>
      <c r="F13" s="461">
        <f t="shared" si="4"/>
        <v>-3307</v>
      </c>
      <c r="G13" s="461">
        <f t="shared" si="4"/>
        <v>-8105</v>
      </c>
      <c r="H13" s="461">
        <f t="shared" si="4"/>
        <v>-10853</v>
      </c>
      <c r="I13" s="646">
        <f t="shared" si="4"/>
        <v>-6441</v>
      </c>
      <c r="J13" s="461">
        <f t="shared" si="4"/>
        <v>-5438.7670118249998</v>
      </c>
      <c r="K13" s="461">
        <f t="shared" si="4"/>
        <v>-11376.003388175001</v>
      </c>
      <c r="L13" s="461">
        <f t="shared" si="4"/>
        <v>-7032.1699999999992</v>
      </c>
      <c r="M13" s="646">
        <f t="shared" si="4"/>
        <v>-10782.059600000004</v>
      </c>
      <c r="N13" s="461">
        <f t="shared" si="4"/>
        <v>-4063</v>
      </c>
      <c r="O13" s="461">
        <f t="shared" si="4"/>
        <v>468</v>
      </c>
      <c r="P13" s="461">
        <f t="shared" si="4"/>
        <v>6532</v>
      </c>
      <c r="Q13" s="646">
        <f t="shared" si="4"/>
        <v>-625629</v>
      </c>
      <c r="R13" s="461">
        <f t="shared" si="4"/>
        <v>-6212</v>
      </c>
      <c r="S13" s="461">
        <f t="shared" si="4"/>
        <v>-19586</v>
      </c>
      <c r="T13" s="461">
        <f t="shared" si="4"/>
        <v>-2308</v>
      </c>
      <c r="U13" s="461">
        <f t="shared" si="4"/>
        <v>170784</v>
      </c>
      <c r="V13" s="461">
        <f t="shared" si="4"/>
        <v>-25798</v>
      </c>
      <c r="W13" s="461">
        <f t="shared" si="4"/>
        <v>-28106</v>
      </c>
      <c r="X13" s="646">
        <f>SUM(X14,X15,X16)</f>
        <v>142678</v>
      </c>
      <c r="Y13" s="462">
        <f>SUM(Y14,Y15,Y16)</f>
        <v>-7440</v>
      </c>
      <c r="Z13" s="462">
        <f>SUM(Z14,Z15,Z16)</f>
        <v>7288</v>
      </c>
      <c r="AA13" s="462">
        <f>SUM(AA14,AA15,AA16)</f>
        <v>-5499</v>
      </c>
      <c r="AB13" s="461">
        <f t="shared" ref="AB13:AK13" si="5">SUM(AB14,AB15,AB16)</f>
        <v>-4696</v>
      </c>
      <c r="AC13" s="462">
        <f t="shared" si="5"/>
        <v>-152</v>
      </c>
      <c r="AD13" s="461">
        <f t="shared" si="5"/>
        <v>-5651</v>
      </c>
      <c r="AE13" s="461">
        <f t="shared" si="5"/>
        <v>-10347</v>
      </c>
      <c r="AF13" s="462">
        <f t="shared" si="5"/>
        <v>-6263</v>
      </c>
      <c r="AG13" s="462">
        <f t="shared" si="5"/>
        <v>5717</v>
      </c>
      <c r="AH13" s="462">
        <f>SUM(AH14,AH15,AH16)</f>
        <v>-668838</v>
      </c>
      <c r="AI13" s="461">
        <f t="shared" ref="AI13" si="6">SUM(AI14,AI15,AI16)</f>
        <v>876708</v>
      </c>
      <c r="AJ13" s="461">
        <f t="shared" si="5"/>
        <v>-546</v>
      </c>
      <c r="AK13" s="461">
        <f t="shared" si="5"/>
        <v>-669384</v>
      </c>
      <c r="AL13" s="461">
        <f>SUM(AL14,AL15,AL16)</f>
        <v>207324</v>
      </c>
      <c r="AM13" s="462">
        <f>SUM(AM14,AM15,AM16)</f>
        <v>-6288</v>
      </c>
      <c r="AN13" s="461">
        <f t="shared" si="0"/>
        <v>-12018</v>
      </c>
      <c r="AO13" s="461">
        <f t="shared" si="1"/>
        <v>-45677</v>
      </c>
      <c r="AP13" s="461">
        <f t="shared" si="1"/>
        <v>-49019</v>
      </c>
      <c r="AQ13" s="461">
        <f>SUM(AQ14,AQ15,AQ16)</f>
        <v>-18306</v>
      </c>
      <c r="AR13" s="461">
        <f>SUM(AR14:AR16)</f>
        <v>-63983</v>
      </c>
      <c r="AS13" s="461">
        <f>SUM(AS14:AS16)</f>
        <v>-113002</v>
      </c>
      <c r="AT13" s="462">
        <f>SUM(AT14:AT16)</f>
        <v>-6341</v>
      </c>
      <c r="AU13" s="462">
        <f>SUM(AU14:AU16)</f>
        <v>-13412</v>
      </c>
      <c r="AV13" s="462">
        <f t="shared" ref="AV13:AZ13" si="7">SUM(AV14:AV16)</f>
        <v>-14139</v>
      </c>
      <c r="AW13" s="462">
        <f t="shared" ref="AW13" si="8">SUM(AW14:AW16)</f>
        <v>-45677</v>
      </c>
      <c r="AX13" s="462">
        <f t="shared" si="7"/>
        <v>-19753</v>
      </c>
      <c r="AY13" s="462">
        <f t="shared" si="7"/>
        <v>-34687</v>
      </c>
      <c r="AZ13" s="462">
        <f t="shared" si="7"/>
        <v>-38730</v>
      </c>
      <c r="BA13" s="462">
        <f t="shared" ref="BA13:BD13" si="9">SUM(BA14:BA16)</f>
        <v>-5415</v>
      </c>
      <c r="BB13" s="462">
        <f t="shared" si="9"/>
        <v>-6743</v>
      </c>
      <c r="BC13" s="462">
        <f t="shared" si="9"/>
        <v>-4152</v>
      </c>
      <c r="BD13" s="462">
        <f t="shared" si="9"/>
        <v>43028</v>
      </c>
      <c r="BE13" s="462">
        <f t="shared" ref="BE13:BF13" si="10">SUM(BE14:BE16)</f>
        <v>-12158</v>
      </c>
      <c r="BF13" s="462">
        <f t="shared" si="10"/>
        <v>-16310</v>
      </c>
      <c r="BG13" s="462">
        <f t="shared" ref="BG13:BH13" si="11">SUM(BG14:BG16)</f>
        <v>26718</v>
      </c>
      <c r="BH13" s="462" t="e">
        <f t="shared" si="11"/>
        <v>#REF!</v>
      </c>
      <c r="BI13" s="462" t="e">
        <f t="shared" ref="BI13:BK13" si="12">SUM(BI14:BI16)</f>
        <v>#REF!</v>
      </c>
      <c r="BJ13" s="462">
        <f t="shared" si="12"/>
        <v>-6687</v>
      </c>
      <c r="BK13" s="462">
        <f t="shared" si="12"/>
        <v>681</v>
      </c>
      <c r="BL13" s="462">
        <f>SUM(BL14:BL16)</f>
        <v>-14070</v>
      </c>
      <c r="BM13" s="462">
        <f t="shared" ref="BM13:BN13" si="13">SUM(BM14:BM16)</f>
        <v>-20757</v>
      </c>
      <c r="BN13" s="462">
        <f t="shared" si="13"/>
        <v>-20076</v>
      </c>
      <c r="BO13" s="462">
        <f t="shared" ref="BO13:BR13" si="14">SUM(BO14:BO16)</f>
        <v>-6685</v>
      </c>
      <c r="BP13" s="462">
        <f t="shared" si="14"/>
        <v>-7604</v>
      </c>
      <c r="BQ13" s="462">
        <f t="shared" si="14"/>
        <v>-3674</v>
      </c>
      <c r="BR13" s="462">
        <f t="shared" si="14"/>
        <v>-12646</v>
      </c>
      <c r="BS13" s="462">
        <f t="shared" ref="BS13:BZ13" si="15">SUM(BS14:BS16)</f>
        <v>-14289</v>
      </c>
      <c r="BT13" s="462">
        <f t="shared" si="15"/>
        <v>-17963</v>
      </c>
      <c r="BU13" s="462">
        <f t="shared" si="15"/>
        <v>-30609</v>
      </c>
      <c r="BV13" s="462">
        <f t="shared" si="15"/>
        <v>-6918</v>
      </c>
      <c r="BW13" s="462">
        <f t="shared" si="15"/>
        <v>-6895</v>
      </c>
      <c r="BX13" s="462">
        <f t="shared" si="15"/>
        <v>-9022</v>
      </c>
      <c r="BY13" s="462">
        <f t="shared" si="15"/>
        <v>-15241</v>
      </c>
      <c r="BZ13" s="462">
        <f t="shared" si="15"/>
        <v>-13813</v>
      </c>
      <c r="CA13" s="462">
        <f t="shared" ref="CA13:CB13" si="16">SUM(CA14:CA16)</f>
        <v>-22835</v>
      </c>
      <c r="CB13" s="462">
        <f t="shared" si="16"/>
        <v>-38076</v>
      </c>
      <c r="CC13" s="462">
        <f t="shared" ref="CC13:CD13" si="17">SUM(CC14:CC16)</f>
        <v>-5561.751549999999</v>
      </c>
      <c r="CD13" s="462">
        <f t="shared" si="17"/>
        <v>891.75154999999904</v>
      </c>
      <c r="CE13" s="462">
        <f t="shared" ref="CE13:CF13" si="18">SUM(CE14:CE16)</f>
        <v>-1879</v>
      </c>
      <c r="CF13" s="462">
        <f t="shared" si="18"/>
        <v>-18686</v>
      </c>
      <c r="CG13" s="462">
        <f t="shared" ref="CG13:CH13" si="19">SUM(CG14:CG16)</f>
        <v>-4670</v>
      </c>
      <c r="CH13" s="462">
        <f t="shared" si="19"/>
        <v>-6549</v>
      </c>
      <c r="CI13" s="462">
        <f t="shared" ref="CI13" si="20">SUM(CI14:CI16)</f>
        <v>-25235</v>
      </c>
      <c r="CJ13" s="462">
        <v>-6936.2793100000035</v>
      </c>
      <c r="CK13" s="462">
        <f t="shared" ref="CK13:CO13" si="21">SUM(CK14:CK16)</f>
        <v>-9032.7206899999965</v>
      </c>
      <c r="CL13" s="462">
        <f t="shared" si="21"/>
        <v>0</v>
      </c>
      <c r="CM13" s="462">
        <f t="shared" si="21"/>
        <v>0</v>
      </c>
      <c r="CN13" s="462">
        <f t="shared" si="21"/>
        <v>-15969</v>
      </c>
      <c r="CO13" s="462">
        <f t="shared" si="21"/>
        <v>0</v>
      </c>
    </row>
    <row r="14" spans="1:93" s="704" customFormat="1" x14ac:dyDescent="0.25">
      <c r="A14" s="703" t="s">
        <v>192</v>
      </c>
      <c r="B14" s="280">
        <v>-6526</v>
      </c>
      <c r="C14" s="280">
        <v>-6182</v>
      </c>
      <c r="D14" s="280">
        <v>-6435</v>
      </c>
      <c r="E14" s="416">
        <v>-6359</v>
      </c>
      <c r="F14" s="280">
        <v>-4842</v>
      </c>
      <c r="G14" s="280">
        <v>-7464</v>
      </c>
      <c r="H14" s="280">
        <v>-4330</v>
      </c>
      <c r="I14" s="416">
        <v>-5815</v>
      </c>
      <c r="J14" s="280">
        <v>-6535.5575771269996</v>
      </c>
      <c r="K14" s="280">
        <v>-12471.791622873001</v>
      </c>
      <c r="L14" s="280">
        <v>-9522.3803999999982</v>
      </c>
      <c r="M14" s="416">
        <v>-12298.270400000003</v>
      </c>
      <c r="N14" s="280">
        <v>-8659</v>
      </c>
      <c r="O14" s="280">
        <v>-8634</v>
      </c>
      <c r="P14" s="280">
        <v>-9683</v>
      </c>
      <c r="Q14" s="416">
        <f>-4196-3140-2729-1181-315-84</f>
        <v>-11645</v>
      </c>
      <c r="R14" s="280">
        <v>-10259</v>
      </c>
      <c r="S14" s="280">
        <v>-12030</v>
      </c>
      <c r="T14" s="280">
        <f>W14-S14-R14</f>
        <v>-9506</v>
      </c>
      <c r="U14" s="280">
        <f>X14-T14-S14-R14</f>
        <v>9922</v>
      </c>
      <c r="V14" s="280">
        <f>R14+S14</f>
        <v>-22289</v>
      </c>
      <c r="W14" s="280">
        <v>-31795</v>
      </c>
      <c r="X14" s="416">
        <v>-21873</v>
      </c>
      <c r="Y14" s="279">
        <v>-5771</v>
      </c>
      <c r="Z14" s="280">
        <f>AC14-Y14</f>
        <v>-4272</v>
      </c>
      <c r="AA14" s="280">
        <f>AD14-Z14-Y14</f>
        <v>-18360</v>
      </c>
      <c r="AB14" s="280">
        <f>AE14-AA14-Z14-Y14</f>
        <v>7289</v>
      </c>
      <c r="AC14" s="279">
        <v>-10043</v>
      </c>
      <c r="AD14" s="280">
        <v>-28403</v>
      </c>
      <c r="AE14" s="280">
        <v>-21114</v>
      </c>
      <c r="AF14" s="279">
        <v>-4567</v>
      </c>
      <c r="AG14" s="280">
        <f>AJ14-AF14</f>
        <v>-5265</v>
      </c>
      <c r="AH14" s="280">
        <f>AK14-AG14-AF14</f>
        <v>-6477</v>
      </c>
      <c r="AI14" s="280">
        <f>AL14-AH14-AG14-AF14</f>
        <v>-29039</v>
      </c>
      <c r="AJ14" s="280">
        <v>-9832</v>
      </c>
      <c r="AK14" s="280">
        <v>-16309</v>
      </c>
      <c r="AL14" s="280">
        <v>-45348</v>
      </c>
      <c r="AM14" s="279">
        <v>-4773</v>
      </c>
      <c r="AN14" s="280">
        <f t="shared" si="0"/>
        <v>-11104</v>
      </c>
      <c r="AO14" s="280">
        <f t="shared" si="1"/>
        <v>-9258</v>
      </c>
      <c r="AP14" s="280">
        <f t="shared" si="1"/>
        <v>-8695</v>
      </c>
      <c r="AQ14" s="280">
        <v>-15877</v>
      </c>
      <c r="AR14" s="280">
        <v>-25135</v>
      </c>
      <c r="AS14" s="280">
        <v>-33830</v>
      </c>
      <c r="AT14" s="559">
        <v>-6462</v>
      </c>
      <c r="AU14" s="279">
        <v>-10204</v>
      </c>
      <c r="AV14" s="279">
        <v>-4050</v>
      </c>
      <c r="AW14" s="279">
        <v>-9258</v>
      </c>
      <c r="AX14" s="279">
        <v>-16666</v>
      </c>
      <c r="AY14" s="559">
        <v>-21875</v>
      </c>
      <c r="AZ14" s="279">
        <v>-32592</v>
      </c>
      <c r="BA14" s="279">
        <v>-3970</v>
      </c>
      <c r="BB14" s="559">
        <f>BE14-BA14</f>
        <v>-3923</v>
      </c>
      <c r="BC14" s="279">
        <f>BF14-BE14</f>
        <v>-4594</v>
      </c>
      <c r="BD14" s="279">
        <f>BG14-BF14</f>
        <v>-7756</v>
      </c>
      <c r="BE14" s="559">
        <v>-7893</v>
      </c>
      <c r="BF14" s="559">
        <v>-12487</v>
      </c>
      <c r="BG14" s="559">
        <v>-20243</v>
      </c>
      <c r="BH14" s="559" t="e">
        <f>#REF!</f>
        <v>#REF!</v>
      </c>
      <c r="BI14" s="559" t="e">
        <f>BL14-BH14</f>
        <v>#REF!</v>
      </c>
      <c r="BJ14" s="559">
        <f>BM14-BL14</f>
        <v>-4968</v>
      </c>
      <c r="BK14" s="559">
        <f>BN14-BM14</f>
        <v>-10877</v>
      </c>
      <c r="BL14" s="559">
        <v>-12268</v>
      </c>
      <c r="BM14" s="559">
        <v>-17236</v>
      </c>
      <c r="BN14" s="559">
        <v>-28113</v>
      </c>
      <c r="BO14" s="559">
        <v>-5688</v>
      </c>
      <c r="BP14" s="559">
        <f>BS14-BO14</f>
        <v>-5755</v>
      </c>
      <c r="BQ14" s="559">
        <f>BT14-BS14</f>
        <v>-4532</v>
      </c>
      <c r="BR14" s="559">
        <f>BU14-BT14</f>
        <v>-12342</v>
      </c>
      <c r="BS14" s="559">
        <v>-11443</v>
      </c>
      <c r="BT14" s="559">
        <v>-15975</v>
      </c>
      <c r="BU14" s="559">
        <v>-28317</v>
      </c>
      <c r="BV14" s="559">
        <v>-6811</v>
      </c>
      <c r="BW14" s="559">
        <f>BZ14-BV14</f>
        <v>-5249</v>
      </c>
      <c r="BX14" s="559">
        <f>CA14-BZ14</f>
        <v>-6772</v>
      </c>
      <c r="BY14" s="559">
        <f>CB14-CA14</f>
        <v>-14392</v>
      </c>
      <c r="BZ14" s="559">
        <v>-12060</v>
      </c>
      <c r="CA14" s="559">
        <v>-18832</v>
      </c>
      <c r="CB14" s="559">
        <v>-33224</v>
      </c>
      <c r="CC14" s="559">
        <v>-5359.3713599999992</v>
      </c>
      <c r="CD14" s="559">
        <f>CG14-CC14</f>
        <v>-9851.6286400000008</v>
      </c>
      <c r="CE14" s="559">
        <f>CH14-CG14</f>
        <v>-15297</v>
      </c>
      <c r="CF14" s="559">
        <f>CI14-CH14</f>
        <v>-11688</v>
      </c>
      <c r="CG14" s="559">
        <v>-15211</v>
      </c>
      <c r="CH14" s="559">
        <v>-30508</v>
      </c>
      <c r="CI14" s="559">
        <v>-42196</v>
      </c>
      <c r="CJ14" s="559">
        <v>-9962.121909999998</v>
      </c>
      <c r="CK14" s="559">
        <f>CN14-CJ14</f>
        <v>-5807.878090000002</v>
      </c>
      <c r="CL14" s="559"/>
      <c r="CM14" s="559"/>
      <c r="CN14" s="559">
        <v>-15770</v>
      </c>
      <c r="CO14" s="559"/>
    </row>
    <row r="15" spans="1:93" s="704" customFormat="1" x14ac:dyDescent="0.25">
      <c r="A15" s="703" t="s">
        <v>190</v>
      </c>
      <c r="B15" s="280">
        <v>-726</v>
      </c>
      <c r="C15" s="280">
        <v>-727</v>
      </c>
      <c r="D15" s="280">
        <v>-731</v>
      </c>
      <c r="E15" s="416">
        <v>-737</v>
      </c>
      <c r="F15" s="280">
        <v>-739</v>
      </c>
      <c r="G15" s="280">
        <v>-740</v>
      </c>
      <c r="H15" s="280">
        <v>-743</v>
      </c>
      <c r="I15" s="416">
        <v>-751</v>
      </c>
      <c r="J15" s="280">
        <v>-752.209434698</v>
      </c>
      <c r="K15" s="280">
        <v>-753.211765302</v>
      </c>
      <c r="L15" s="280">
        <v>-794.84220000000028</v>
      </c>
      <c r="M15" s="416">
        <v>-818.73659999999995</v>
      </c>
      <c r="N15" s="280">
        <v>-825</v>
      </c>
      <c r="O15" s="280">
        <v>-824</v>
      </c>
      <c r="P15" s="280">
        <v>-817</v>
      </c>
      <c r="Q15" s="416">
        <f>-805-11</f>
        <v>-816</v>
      </c>
      <c r="R15" s="280">
        <v>-814</v>
      </c>
      <c r="S15" s="280">
        <v>-802</v>
      </c>
      <c r="T15" s="280">
        <f t="shared" ref="T15:T16" si="22">W15-S15-R15</f>
        <v>-788</v>
      </c>
      <c r="U15" s="280">
        <f>X15-T15-S15-R15</f>
        <v>-837</v>
      </c>
      <c r="V15" s="280">
        <f t="shared" ref="V15:V16" si="23">R15+S15</f>
        <v>-1616</v>
      </c>
      <c r="W15" s="280">
        <v>-2404</v>
      </c>
      <c r="X15" s="416">
        <v>-3241</v>
      </c>
      <c r="Y15" s="279">
        <v>-1482</v>
      </c>
      <c r="Z15" s="280">
        <f t="shared" ref="Z15:Z18" si="24">AC15-Y15</f>
        <v>-1481</v>
      </c>
      <c r="AA15" s="280">
        <f t="shared" ref="AA15:AA16" si="25">AD15-Z15-Y15</f>
        <v>-1471</v>
      </c>
      <c r="AB15" s="280">
        <f>AE15-AA15-Z15-Y15</f>
        <v>-1986</v>
      </c>
      <c r="AC15" s="279">
        <v>-2963</v>
      </c>
      <c r="AD15" s="280">
        <v>-4434</v>
      </c>
      <c r="AE15" s="280">
        <v>-6420</v>
      </c>
      <c r="AF15" s="279">
        <v>-1613</v>
      </c>
      <c r="AG15" s="280">
        <f>AJ15-AF15</f>
        <v>-1350</v>
      </c>
      <c r="AH15" s="280">
        <f t="shared" ref="AH15:AH16" si="26">AK15-AG15-AF15</f>
        <v>-1372</v>
      </c>
      <c r="AI15" s="280">
        <f>AL15-AH15-AG15-AF15</f>
        <v>-904</v>
      </c>
      <c r="AJ15" s="280">
        <v>-2963</v>
      </c>
      <c r="AK15" s="280">
        <v>-4335</v>
      </c>
      <c r="AL15" s="280">
        <v>-5239</v>
      </c>
      <c r="AM15" s="279">
        <v>-902</v>
      </c>
      <c r="AN15" s="280">
        <f t="shared" si="0"/>
        <v>-972</v>
      </c>
      <c r="AO15" s="280">
        <f t="shared" si="1"/>
        <v>-1781</v>
      </c>
      <c r="AP15" s="280">
        <f t="shared" si="1"/>
        <v>-1230</v>
      </c>
      <c r="AQ15" s="280">
        <v>-1874</v>
      </c>
      <c r="AR15" s="280">
        <v>-3655</v>
      </c>
      <c r="AS15" s="280">
        <v>-4885</v>
      </c>
      <c r="AT15" s="279">
        <v>-689</v>
      </c>
      <c r="AU15" s="279">
        <v>-683</v>
      </c>
      <c r="AV15" s="279">
        <v>-376</v>
      </c>
      <c r="AW15" s="279">
        <v>-1781</v>
      </c>
      <c r="AX15" s="279">
        <v>-1372</v>
      </c>
      <c r="AY15" s="279">
        <v>-1308</v>
      </c>
      <c r="AZ15" s="279">
        <v>-2620</v>
      </c>
      <c r="BA15" s="279">
        <v>-644</v>
      </c>
      <c r="BB15" s="559">
        <f t="shared" ref="BB15:BB16" si="27">BE15-BA15</f>
        <v>-448</v>
      </c>
      <c r="BC15" s="279">
        <f t="shared" ref="BC15:BC16" si="28">BF15-BE15</f>
        <v>-345</v>
      </c>
      <c r="BD15" s="279">
        <f t="shared" ref="BD15:BD16" si="29">BG15-BF15</f>
        <v>-688</v>
      </c>
      <c r="BE15" s="279">
        <v>-1092</v>
      </c>
      <c r="BF15" s="279">
        <v>-1437</v>
      </c>
      <c r="BG15" s="279">
        <v>-2125</v>
      </c>
      <c r="BH15" s="279">
        <v>-609</v>
      </c>
      <c r="BI15" s="559">
        <f t="shared" ref="BI15:BI16" si="30">BL15-BH15</f>
        <v>-697</v>
      </c>
      <c r="BJ15" s="559">
        <f t="shared" ref="BJ15:BJ16" si="31">BM15-BL15</f>
        <v>-600</v>
      </c>
      <c r="BK15" s="559">
        <f t="shared" ref="BK15:BK16" si="32">BN15-BM15</f>
        <v>-635</v>
      </c>
      <c r="BL15" s="279">
        <v>-1306</v>
      </c>
      <c r="BM15" s="279">
        <v>-1906</v>
      </c>
      <c r="BN15" s="279">
        <v>-2541</v>
      </c>
      <c r="BO15" s="279">
        <v>-634</v>
      </c>
      <c r="BP15" s="559">
        <f t="shared" ref="BP15:BP16" si="33">BS15-BO15</f>
        <v>-659</v>
      </c>
      <c r="BQ15" s="559">
        <f t="shared" ref="BQ15:BQ16" si="34">BT15-BS15</f>
        <v>-635</v>
      </c>
      <c r="BR15" s="559">
        <f t="shared" ref="BR15:BR16" si="35">BU15-BT15</f>
        <v>-566</v>
      </c>
      <c r="BS15" s="279">
        <v>-1293</v>
      </c>
      <c r="BT15" s="279">
        <v>-1928</v>
      </c>
      <c r="BU15" s="279">
        <v>-2494</v>
      </c>
      <c r="BV15" s="279">
        <v>-732</v>
      </c>
      <c r="BW15" s="559">
        <f t="shared" ref="BW15:BW16" si="36">BZ15-BV15</f>
        <v>-744</v>
      </c>
      <c r="BX15" s="559">
        <f>CA15-BZ15</f>
        <v>-799</v>
      </c>
      <c r="BY15" s="559">
        <f t="shared" ref="BY15:BY16" si="37">CB15-CA15</f>
        <v>-703</v>
      </c>
      <c r="BZ15" s="279">
        <v>-1476</v>
      </c>
      <c r="CA15" s="279">
        <v>-2275</v>
      </c>
      <c r="CB15" s="279">
        <v>-2978</v>
      </c>
      <c r="CC15" s="279">
        <v>-670.37681999999995</v>
      </c>
      <c r="CD15" s="559">
        <f t="shared" ref="CD15:CD16" si="38">CG15-CC15</f>
        <v>-648.62318000000005</v>
      </c>
      <c r="CE15" s="559">
        <f t="shared" ref="CE15:CE16" si="39">CH15-CG15</f>
        <v>-464</v>
      </c>
      <c r="CF15" s="559">
        <f t="shared" ref="CF15:CF16" si="40">CI15-CH15</f>
        <v>-447</v>
      </c>
      <c r="CG15" s="279">
        <v>-1319</v>
      </c>
      <c r="CH15" s="279">
        <v>-1783</v>
      </c>
      <c r="CI15" s="279">
        <v>-2230</v>
      </c>
      <c r="CJ15" s="279">
        <v>-225.02009000000544</v>
      </c>
      <c r="CK15" s="559">
        <f t="shared" ref="CK15:CK16" si="41">CN15-CJ15</f>
        <v>-233.97990999999456</v>
      </c>
      <c r="CL15" s="279"/>
      <c r="CM15" s="279"/>
      <c r="CN15" s="279">
        <v>-459</v>
      </c>
      <c r="CO15" s="279"/>
    </row>
    <row r="16" spans="1:93" s="704" customFormat="1" x14ac:dyDescent="0.25">
      <c r="A16" s="703" t="s">
        <v>323</v>
      </c>
      <c r="B16" s="280">
        <v>107</v>
      </c>
      <c r="C16" s="280">
        <v>79</v>
      </c>
      <c r="D16" s="280">
        <v>102</v>
      </c>
      <c r="E16" s="416">
        <v>8897</v>
      </c>
      <c r="F16" s="280">
        <v>2274</v>
      </c>
      <c r="G16" s="280">
        <v>99</v>
      </c>
      <c r="H16" s="280">
        <v>-5780</v>
      </c>
      <c r="I16" s="416">
        <v>125</v>
      </c>
      <c r="J16" s="280">
        <v>1849</v>
      </c>
      <c r="K16" s="280">
        <v>1849</v>
      </c>
      <c r="L16" s="280">
        <v>3285.0526</v>
      </c>
      <c r="M16" s="416">
        <v>2334.9474</v>
      </c>
      <c r="N16" s="280">
        <v>5421</v>
      </c>
      <c r="O16" s="280">
        <v>9926</v>
      </c>
      <c r="P16" s="280">
        <v>17032</v>
      </c>
      <c r="Q16" s="416">
        <f>-69-613099</f>
        <v>-613168</v>
      </c>
      <c r="R16" s="280">
        <v>4861</v>
      </c>
      <c r="S16" s="280">
        <v>-6754</v>
      </c>
      <c r="T16" s="280">
        <f t="shared" si="22"/>
        <v>7986</v>
      </c>
      <c r="U16" s="280">
        <f>X16-T16-S16-R16</f>
        <v>161699</v>
      </c>
      <c r="V16" s="280">
        <f t="shared" si="23"/>
        <v>-1893</v>
      </c>
      <c r="W16" s="280">
        <v>6093</v>
      </c>
      <c r="X16" s="416">
        <v>167792</v>
      </c>
      <c r="Y16" s="279">
        <v>-187</v>
      </c>
      <c r="Z16" s="280">
        <f t="shared" si="24"/>
        <v>13041</v>
      </c>
      <c r="AA16" s="280">
        <f t="shared" si="25"/>
        <v>14332</v>
      </c>
      <c r="AB16" s="280">
        <f>AE16-AA16-Z16-Y16</f>
        <v>-9999</v>
      </c>
      <c r="AC16" s="279">
        <v>12854</v>
      </c>
      <c r="AD16" s="280">
        <v>27186</v>
      </c>
      <c r="AE16" s="280">
        <v>17187</v>
      </c>
      <c r="AF16" s="279">
        <v>-83</v>
      </c>
      <c r="AG16" s="280">
        <f>AJ16-AF16</f>
        <v>12332</v>
      </c>
      <c r="AH16" s="280">
        <f t="shared" si="26"/>
        <v>-660989</v>
      </c>
      <c r="AI16" s="280">
        <f>AL16-AH16-AG16-AF16</f>
        <v>906651</v>
      </c>
      <c r="AJ16" s="280">
        <v>12249</v>
      </c>
      <c r="AK16" s="280">
        <v>-648740</v>
      </c>
      <c r="AL16" s="280">
        <v>257911</v>
      </c>
      <c r="AM16" s="279">
        <v>-613</v>
      </c>
      <c r="AN16" s="280">
        <f t="shared" si="0"/>
        <v>58</v>
      </c>
      <c r="AO16" s="280">
        <f t="shared" si="1"/>
        <v>-34638</v>
      </c>
      <c r="AP16" s="280">
        <f t="shared" si="1"/>
        <v>-39094</v>
      </c>
      <c r="AQ16" s="280">
        <v>-555</v>
      </c>
      <c r="AR16" s="280">
        <v>-35193</v>
      </c>
      <c r="AS16" s="280">
        <v>-74287</v>
      </c>
      <c r="AT16" s="279">
        <v>810</v>
      </c>
      <c r="AU16" s="279">
        <v>-2525</v>
      </c>
      <c r="AV16" s="279">
        <v>-9713</v>
      </c>
      <c r="AW16" s="279">
        <v>-34638</v>
      </c>
      <c r="AX16" s="279">
        <v>-1715</v>
      </c>
      <c r="AY16" s="279">
        <v>-11504</v>
      </c>
      <c r="AZ16" s="279">
        <v>-3518</v>
      </c>
      <c r="BA16" s="279">
        <v>-801</v>
      </c>
      <c r="BB16" s="559">
        <f t="shared" si="27"/>
        <v>-2372</v>
      </c>
      <c r="BC16" s="279">
        <f t="shared" si="28"/>
        <v>787</v>
      </c>
      <c r="BD16" s="279">
        <f t="shared" si="29"/>
        <v>51472</v>
      </c>
      <c r="BE16" s="279">
        <v>-3173</v>
      </c>
      <c r="BF16" s="279">
        <v>-2386</v>
      </c>
      <c r="BG16" s="279">
        <v>49086</v>
      </c>
      <c r="BH16" s="279">
        <v>-2533</v>
      </c>
      <c r="BI16" s="559">
        <f t="shared" si="30"/>
        <v>2037</v>
      </c>
      <c r="BJ16" s="559">
        <f t="shared" si="31"/>
        <v>-1119</v>
      </c>
      <c r="BK16" s="559">
        <f t="shared" si="32"/>
        <v>12193</v>
      </c>
      <c r="BL16" s="279">
        <v>-496</v>
      </c>
      <c r="BM16" s="279">
        <v>-1615</v>
      </c>
      <c r="BN16" s="279">
        <v>10578</v>
      </c>
      <c r="BO16" s="279">
        <v>-363</v>
      </c>
      <c r="BP16" s="559">
        <f t="shared" si="33"/>
        <v>-1190</v>
      </c>
      <c r="BQ16" s="559">
        <f t="shared" si="34"/>
        <v>1493</v>
      </c>
      <c r="BR16" s="559">
        <f t="shared" si="35"/>
        <v>262</v>
      </c>
      <c r="BS16" s="279">
        <v>-1553</v>
      </c>
      <c r="BT16" s="279">
        <v>-60</v>
      </c>
      <c r="BU16" s="279">
        <v>202</v>
      </c>
      <c r="BV16" s="279">
        <v>625</v>
      </c>
      <c r="BW16" s="559">
        <f t="shared" si="36"/>
        <v>-902</v>
      </c>
      <c r="BX16" s="559">
        <f>CA16-BZ16</f>
        <v>-1451</v>
      </c>
      <c r="BY16" s="559">
        <f t="shared" si="37"/>
        <v>-146</v>
      </c>
      <c r="BZ16" s="279">
        <v>-277</v>
      </c>
      <c r="CA16" s="279">
        <v>-1728</v>
      </c>
      <c r="CB16" s="279">
        <v>-1874</v>
      </c>
      <c r="CC16" s="279">
        <v>467.9966300000001</v>
      </c>
      <c r="CD16" s="559">
        <f t="shared" si="38"/>
        <v>11392.00337</v>
      </c>
      <c r="CE16" s="559">
        <f t="shared" si="39"/>
        <v>13882</v>
      </c>
      <c r="CF16" s="559">
        <f t="shared" si="40"/>
        <v>-6551</v>
      </c>
      <c r="CG16" s="279">
        <v>11860</v>
      </c>
      <c r="CH16" s="279">
        <v>25742</v>
      </c>
      <c r="CI16" s="279">
        <v>19191</v>
      </c>
      <c r="CJ16" s="279">
        <v>3250.8626899999999</v>
      </c>
      <c r="CK16" s="559">
        <f t="shared" si="41"/>
        <v>-2990.8626899999999</v>
      </c>
      <c r="CL16" s="279"/>
      <c r="CM16" s="279"/>
      <c r="CN16" s="279">
        <v>260</v>
      </c>
      <c r="CO16" s="279"/>
    </row>
    <row r="17" spans="1:93" ht="13" x14ac:dyDescent="0.3">
      <c r="A17" s="632" t="s">
        <v>193</v>
      </c>
      <c r="B17" s="633">
        <f t="shared" ref="B17:AM17" si="42">SUM(B9,B10,B13)</f>
        <v>-7145</v>
      </c>
      <c r="C17" s="633">
        <f t="shared" si="42"/>
        <v>-6830</v>
      </c>
      <c r="D17" s="633">
        <f t="shared" si="42"/>
        <v>-7064</v>
      </c>
      <c r="E17" s="634">
        <f t="shared" si="42"/>
        <v>1801</v>
      </c>
      <c r="F17" s="633">
        <f t="shared" si="42"/>
        <v>-3307</v>
      </c>
      <c r="G17" s="633">
        <f t="shared" si="42"/>
        <v>-8105</v>
      </c>
      <c r="H17" s="633">
        <f t="shared" si="42"/>
        <v>-10853</v>
      </c>
      <c r="I17" s="634">
        <f t="shared" si="42"/>
        <v>-6441</v>
      </c>
      <c r="J17" s="633">
        <f t="shared" si="42"/>
        <v>-5438.7670118249998</v>
      </c>
      <c r="K17" s="633">
        <f t="shared" si="42"/>
        <v>-11376.003388175001</v>
      </c>
      <c r="L17" s="633">
        <f t="shared" si="42"/>
        <v>-7032.1699999999992</v>
      </c>
      <c r="M17" s="634">
        <f t="shared" si="42"/>
        <v>-10782.059600000004</v>
      </c>
      <c r="N17" s="633">
        <f t="shared" si="42"/>
        <v>-4063</v>
      </c>
      <c r="O17" s="633">
        <f t="shared" si="42"/>
        <v>468</v>
      </c>
      <c r="P17" s="633">
        <f t="shared" si="42"/>
        <v>6532</v>
      </c>
      <c r="Q17" s="634">
        <f t="shared" si="42"/>
        <v>-625629</v>
      </c>
      <c r="R17" s="633">
        <f t="shared" si="42"/>
        <v>-6212</v>
      </c>
      <c r="S17" s="633">
        <f t="shared" si="42"/>
        <v>-19586</v>
      </c>
      <c r="T17" s="633">
        <f t="shared" si="42"/>
        <v>-2308</v>
      </c>
      <c r="U17" s="633">
        <f t="shared" si="42"/>
        <v>170784</v>
      </c>
      <c r="V17" s="633">
        <f t="shared" si="42"/>
        <v>-25798</v>
      </c>
      <c r="W17" s="633">
        <f t="shared" si="42"/>
        <v>-28106</v>
      </c>
      <c r="X17" s="634">
        <f t="shared" si="42"/>
        <v>142678</v>
      </c>
      <c r="Y17" s="635">
        <f t="shared" si="42"/>
        <v>-7440</v>
      </c>
      <c r="Z17" s="635">
        <f t="shared" si="42"/>
        <v>7288</v>
      </c>
      <c r="AA17" s="635">
        <f t="shared" si="42"/>
        <v>-5499</v>
      </c>
      <c r="AB17" s="633">
        <f t="shared" si="42"/>
        <v>-4696</v>
      </c>
      <c r="AC17" s="635">
        <f t="shared" si="42"/>
        <v>-152</v>
      </c>
      <c r="AD17" s="633">
        <f t="shared" si="42"/>
        <v>-5651</v>
      </c>
      <c r="AE17" s="633">
        <f t="shared" si="42"/>
        <v>-10347</v>
      </c>
      <c r="AF17" s="635">
        <f t="shared" si="42"/>
        <v>-6263</v>
      </c>
      <c r="AG17" s="635">
        <f t="shared" si="42"/>
        <v>5717</v>
      </c>
      <c r="AH17" s="635">
        <f t="shared" si="42"/>
        <v>-668838</v>
      </c>
      <c r="AI17" s="633">
        <f t="shared" si="42"/>
        <v>876708</v>
      </c>
      <c r="AJ17" s="633">
        <f t="shared" si="42"/>
        <v>-546</v>
      </c>
      <c r="AK17" s="633">
        <f t="shared" si="42"/>
        <v>-669384</v>
      </c>
      <c r="AL17" s="633">
        <f t="shared" si="42"/>
        <v>207324</v>
      </c>
      <c r="AM17" s="635">
        <f t="shared" si="42"/>
        <v>-6288</v>
      </c>
      <c r="AN17" s="633">
        <f t="shared" si="0"/>
        <v>-12018</v>
      </c>
      <c r="AO17" s="633">
        <f t="shared" si="1"/>
        <v>-45677</v>
      </c>
      <c r="AP17" s="633">
        <f t="shared" si="1"/>
        <v>-49019</v>
      </c>
      <c r="AQ17" s="633">
        <f>SUM(AQ9,AQ10,AQ13)</f>
        <v>-18306</v>
      </c>
      <c r="AR17" s="633">
        <f t="shared" ref="AR17:BS17" si="43">AR13</f>
        <v>-63983</v>
      </c>
      <c r="AS17" s="633">
        <f t="shared" si="43"/>
        <v>-113002</v>
      </c>
      <c r="AT17" s="635">
        <f t="shared" si="43"/>
        <v>-6341</v>
      </c>
      <c r="AU17" s="635">
        <f t="shared" si="43"/>
        <v>-13412</v>
      </c>
      <c r="AV17" s="635">
        <f t="shared" si="43"/>
        <v>-14139</v>
      </c>
      <c r="AW17" s="635">
        <f t="shared" si="43"/>
        <v>-45677</v>
      </c>
      <c r="AX17" s="635">
        <f t="shared" si="43"/>
        <v>-19753</v>
      </c>
      <c r="AY17" s="635">
        <f t="shared" si="43"/>
        <v>-34687</v>
      </c>
      <c r="AZ17" s="635">
        <f t="shared" si="43"/>
        <v>-38730</v>
      </c>
      <c r="BA17" s="635">
        <f t="shared" si="43"/>
        <v>-5415</v>
      </c>
      <c r="BB17" s="635">
        <f t="shared" si="43"/>
        <v>-6743</v>
      </c>
      <c r="BC17" s="635">
        <f t="shared" si="43"/>
        <v>-4152</v>
      </c>
      <c r="BD17" s="635">
        <f t="shared" si="43"/>
        <v>43028</v>
      </c>
      <c r="BE17" s="635">
        <f t="shared" si="43"/>
        <v>-12158</v>
      </c>
      <c r="BF17" s="635">
        <f t="shared" si="43"/>
        <v>-16310</v>
      </c>
      <c r="BG17" s="635">
        <f t="shared" si="43"/>
        <v>26718</v>
      </c>
      <c r="BH17" s="635" t="e">
        <f t="shared" si="43"/>
        <v>#REF!</v>
      </c>
      <c r="BI17" s="635" t="e">
        <f t="shared" si="43"/>
        <v>#REF!</v>
      </c>
      <c r="BJ17" s="635">
        <f t="shared" si="43"/>
        <v>-6687</v>
      </c>
      <c r="BK17" s="635">
        <f t="shared" si="43"/>
        <v>681</v>
      </c>
      <c r="BL17" s="635">
        <f t="shared" si="43"/>
        <v>-14070</v>
      </c>
      <c r="BM17" s="635">
        <f t="shared" si="43"/>
        <v>-20757</v>
      </c>
      <c r="BN17" s="635">
        <f t="shared" si="43"/>
        <v>-20076</v>
      </c>
      <c r="BO17" s="635">
        <f t="shared" si="43"/>
        <v>-6685</v>
      </c>
      <c r="BP17" s="635">
        <f t="shared" si="43"/>
        <v>-7604</v>
      </c>
      <c r="BQ17" s="635">
        <f t="shared" si="43"/>
        <v>-3674</v>
      </c>
      <c r="BR17" s="635">
        <f t="shared" si="43"/>
        <v>-12646</v>
      </c>
      <c r="BS17" s="635">
        <f t="shared" si="43"/>
        <v>-14289</v>
      </c>
      <c r="BT17" s="635">
        <f t="shared" ref="BT17:BU17" si="44">BT13</f>
        <v>-17963</v>
      </c>
      <c r="BU17" s="635">
        <f t="shared" si="44"/>
        <v>-30609</v>
      </c>
      <c r="BV17" s="635">
        <f t="shared" ref="BV17:BW17" si="45">BV13</f>
        <v>-6918</v>
      </c>
      <c r="BW17" s="635">
        <f t="shared" si="45"/>
        <v>-6895</v>
      </c>
      <c r="BX17" s="635">
        <f t="shared" ref="BX17:BZ17" si="46">BX13</f>
        <v>-9022</v>
      </c>
      <c r="BY17" s="635">
        <f t="shared" si="46"/>
        <v>-15241</v>
      </c>
      <c r="BZ17" s="635">
        <f t="shared" si="46"/>
        <v>-13813</v>
      </c>
      <c r="CA17" s="635">
        <f t="shared" ref="CA17:CB17" si="47">CA13</f>
        <v>-22835</v>
      </c>
      <c r="CB17" s="635">
        <f t="shared" si="47"/>
        <v>-38076</v>
      </c>
      <c r="CC17" s="635">
        <f t="shared" ref="CC17:CD17" si="48">CC13</f>
        <v>-5561.751549999999</v>
      </c>
      <c r="CD17" s="635">
        <f t="shared" si="48"/>
        <v>891.75154999999904</v>
      </c>
      <c r="CE17" s="635">
        <f t="shared" ref="CE17:CF17" si="49">CE13</f>
        <v>-1879</v>
      </c>
      <c r="CF17" s="635">
        <f t="shared" si="49"/>
        <v>-18686</v>
      </c>
      <c r="CG17" s="635">
        <f t="shared" ref="CG17:CH17" si="50">CG13</f>
        <v>-4670</v>
      </c>
      <c r="CH17" s="635">
        <f t="shared" si="50"/>
        <v>-6549</v>
      </c>
      <c r="CI17" s="635">
        <f t="shared" ref="CI17" si="51">CI13</f>
        <v>-25235</v>
      </c>
      <c r="CJ17" s="635">
        <v>-6936.2793100000035</v>
      </c>
      <c r="CK17" s="635">
        <f t="shared" ref="CK17:CO17" si="52">CK13</f>
        <v>-9032.7206899999965</v>
      </c>
      <c r="CL17" s="635">
        <f t="shared" si="52"/>
        <v>0</v>
      </c>
      <c r="CM17" s="635">
        <f t="shared" si="52"/>
        <v>0</v>
      </c>
      <c r="CN17" s="635">
        <f t="shared" si="52"/>
        <v>-15969</v>
      </c>
      <c r="CO17" s="635">
        <f t="shared" si="52"/>
        <v>0</v>
      </c>
    </row>
    <row r="18" spans="1:93" s="423" customFormat="1" ht="13" x14ac:dyDescent="0.3">
      <c r="A18" s="524" t="s">
        <v>330</v>
      </c>
      <c r="B18" s="636">
        <v>25207</v>
      </c>
      <c r="C18" s="636">
        <v>15999</v>
      </c>
      <c r="D18" s="636">
        <v>-4292</v>
      </c>
      <c r="E18" s="662">
        <v>41344</v>
      </c>
      <c r="F18" s="636">
        <v>33044</v>
      </c>
      <c r="G18" s="636">
        <v>5516</v>
      </c>
      <c r="H18" s="636">
        <v>22600</v>
      </c>
      <c r="I18" s="662">
        <v>30257</v>
      </c>
      <c r="J18" s="636">
        <v>50108.934986957996</v>
      </c>
      <c r="K18" s="636">
        <v>10729.891713042001</v>
      </c>
      <c r="L18" s="636">
        <v>27715.174200000001</v>
      </c>
      <c r="M18" s="662">
        <v>-57368.000899999999</v>
      </c>
      <c r="N18" s="636">
        <v>-1372</v>
      </c>
      <c r="O18" s="636">
        <v>-1770</v>
      </c>
      <c r="P18" s="636">
        <v>25515</v>
      </c>
      <c r="Q18" s="662">
        <f>-514406</f>
        <v>-514406</v>
      </c>
      <c r="R18" s="636">
        <v>0</v>
      </c>
      <c r="S18" s="636">
        <v>2875</v>
      </c>
      <c r="T18" s="636">
        <f>W18-S18-R18</f>
        <v>-665</v>
      </c>
      <c r="U18" s="280">
        <f>X18-T18-S18-R18</f>
        <v>164714</v>
      </c>
      <c r="V18" s="280">
        <f>R18+S18</f>
        <v>2875</v>
      </c>
      <c r="W18" s="636">
        <v>2210</v>
      </c>
      <c r="X18" s="662">
        <v>166924</v>
      </c>
      <c r="Y18" s="663">
        <v>3933</v>
      </c>
      <c r="Z18" s="664">
        <f t="shared" si="24"/>
        <v>-33649</v>
      </c>
      <c r="AA18" s="664">
        <f>AD18-Z18-Y18</f>
        <v>-20389</v>
      </c>
      <c r="AB18" s="280">
        <f>AE18-AA18-Z18-Y18</f>
        <v>-145579</v>
      </c>
      <c r="AC18" s="663">
        <v>-29716</v>
      </c>
      <c r="AD18" s="664">
        <v>-50105</v>
      </c>
      <c r="AE18" s="664">
        <v>-195684</v>
      </c>
      <c r="AF18" s="663">
        <v>-56510</v>
      </c>
      <c r="AG18" s="664">
        <f>AJ18-AF18</f>
        <v>-23154</v>
      </c>
      <c r="AH18" s="664">
        <f>AK18-AG18-AF18</f>
        <v>-3158</v>
      </c>
      <c r="AI18" s="280">
        <f>AL18-AH18-AG18-AF18</f>
        <v>-223026</v>
      </c>
      <c r="AJ18" s="664">
        <v>-79664</v>
      </c>
      <c r="AK18" s="664">
        <v>-82822</v>
      </c>
      <c r="AL18" s="664">
        <v>-305848</v>
      </c>
      <c r="AM18" s="663">
        <v>0</v>
      </c>
      <c r="AN18" s="665">
        <f t="shared" si="0"/>
        <v>0</v>
      </c>
      <c r="AO18" s="665">
        <f t="shared" si="1"/>
        <v>0</v>
      </c>
      <c r="AP18" s="665">
        <f t="shared" si="1"/>
        <v>0</v>
      </c>
      <c r="AQ18" s="665">
        <v>0</v>
      </c>
      <c r="AR18" s="665"/>
      <c r="AS18" s="664"/>
      <c r="AT18" s="663"/>
      <c r="AU18" s="663"/>
      <c r="AV18" s="663"/>
      <c r="AW18" s="663"/>
      <c r="AX18" s="663"/>
      <c r="AY18" s="663"/>
      <c r="AZ18" s="663"/>
      <c r="BA18" s="663"/>
      <c r="BB18" s="663"/>
      <c r="BC18" s="663"/>
      <c r="BD18" s="663"/>
      <c r="BE18" s="663"/>
      <c r="BF18" s="663"/>
      <c r="BG18" s="663"/>
      <c r="BH18" s="663"/>
      <c r="BI18" s="663"/>
      <c r="BJ18" s="663"/>
      <c r="BK18" s="663"/>
      <c r="BL18" s="663"/>
      <c r="BM18" s="663"/>
      <c r="BN18" s="663"/>
      <c r="BO18" s="462">
        <v>0</v>
      </c>
      <c r="BP18" s="663"/>
      <c r="BQ18" s="663"/>
      <c r="BR18" s="462">
        <f>BU18-BT18</f>
        <v>-1</v>
      </c>
      <c r="BS18" s="663"/>
      <c r="BT18" s="663"/>
      <c r="BU18" s="462">
        <v>-1</v>
      </c>
      <c r="BV18" s="462">
        <v>0</v>
      </c>
      <c r="BW18" s="462"/>
      <c r="BX18" s="462"/>
      <c r="BY18" s="462"/>
      <c r="BZ18" s="462"/>
      <c r="CA18" s="462"/>
      <c r="CB18" s="462"/>
      <c r="CC18" s="462"/>
      <c r="CD18" s="462"/>
      <c r="CE18" s="462"/>
      <c r="CF18" s="462"/>
      <c r="CG18" s="462"/>
      <c r="CH18" s="462"/>
      <c r="CI18" s="462"/>
      <c r="CJ18" s="462"/>
      <c r="CK18" s="462"/>
      <c r="CL18" s="462"/>
      <c r="CM18" s="462"/>
      <c r="CN18" s="462"/>
      <c r="CO18" s="462"/>
    </row>
    <row r="19" spans="1:93" s="423" customFormat="1" ht="13" x14ac:dyDescent="0.3">
      <c r="A19" s="524" t="s">
        <v>194</v>
      </c>
      <c r="B19" s="423">
        <f>B30</f>
        <v>-9579</v>
      </c>
      <c r="C19" s="423">
        <f t="shared" ref="C19:AM19" si="53">C30</f>
        <v>-9983</v>
      </c>
      <c r="D19" s="423">
        <f t="shared" si="53"/>
        <v>-3620</v>
      </c>
      <c r="E19" s="646">
        <f t="shared" si="53"/>
        <v>-14385</v>
      </c>
      <c r="F19" s="423">
        <f t="shared" si="53"/>
        <v>-14789</v>
      </c>
      <c r="G19" s="423">
        <f t="shared" si="53"/>
        <v>-7163</v>
      </c>
      <c r="H19" s="423">
        <f t="shared" si="53"/>
        <v>-16492</v>
      </c>
      <c r="I19" s="646">
        <f t="shared" si="53"/>
        <v>-15358</v>
      </c>
      <c r="J19" s="423">
        <f t="shared" si="53"/>
        <v>-27121</v>
      </c>
      <c r="K19" s="423">
        <f t="shared" si="53"/>
        <v>-17103.228599999999</v>
      </c>
      <c r="L19" s="423">
        <f t="shared" si="53"/>
        <v>-16278.004399999998</v>
      </c>
      <c r="M19" s="646">
        <f t="shared" si="53"/>
        <v>-34502.767000000022</v>
      </c>
      <c r="N19" s="423">
        <f t="shared" si="53"/>
        <v>-38966</v>
      </c>
      <c r="O19" s="423">
        <f t="shared" si="53"/>
        <v>-41902</v>
      </c>
      <c r="P19" s="423">
        <f t="shared" si="53"/>
        <v>-34301</v>
      </c>
      <c r="Q19" s="646">
        <f t="shared" si="53"/>
        <v>-41618</v>
      </c>
      <c r="R19" s="423">
        <f t="shared" si="53"/>
        <v>-49039</v>
      </c>
      <c r="S19" s="423">
        <f t="shared" si="53"/>
        <v>-54708</v>
      </c>
      <c r="T19" s="423">
        <f t="shared" si="53"/>
        <v>-47224</v>
      </c>
      <c r="U19" s="423">
        <f>U30</f>
        <v>-93023</v>
      </c>
      <c r="V19" s="423">
        <f>V30</f>
        <v>-103747</v>
      </c>
      <c r="W19" s="423">
        <f t="shared" si="53"/>
        <v>-150971</v>
      </c>
      <c r="X19" s="646">
        <f t="shared" si="53"/>
        <v>-243994</v>
      </c>
      <c r="Y19" s="462">
        <f t="shared" si="53"/>
        <v>-21621</v>
      </c>
      <c r="Z19" s="462">
        <f t="shared" si="53"/>
        <v>-18097</v>
      </c>
      <c r="AA19" s="462">
        <f t="shared" si="53"/>
        <v>-29982</v>
      </c>
      <c r="AB19" s="423">
        <f t="shared" si="53"/>
        <v>-43760</v>
      </c>
      <c r="AC19" s="462">
        <f t="shared" si="53"/>
        <v>-39718</v>
      </c>
      <c r="AD19" s="461">
        <f t="shared" si="53"/>
        <v>-69700</v>
      </c>
      <c r="AE19" s="461">
        <f t="shared" si="53"/>
        <v>-113460</v>
      </c>
      <c r="AF19" s="462">
        <f t="shared" si="53"/>
        <v>-34804</v>
      </c>
      <c r="AG19" s="462">
        <f t="shared" si="53"/>
        <v>-59743</v>
      </c>
      <c r="AH19" s="462">
        <f t="shared" si="53"/>
        <v>-3578</v>
      </c>
      <c r="AI19" s="423">
        <f t="shared" si="53"/>
        <v>-29489</v>
      </c>
      <c r="AJ19" s="461">
        <f t="shared" si="53"/>
        <v>-94547</v>
      </c>
      <c r="AK19" s="461">
        <f t="shared" si="53"/>
        <v>-98125</v>
      </c>
      <c r="AL19" s="461">
        <f t="shared" si="53"/>
        <v>-127614</v>
      </c>
      <c r="AM19" s="462">
        <f t="shared" si="53"/>
        <v>10406</v>
      </c>
      <c r="AN19" s="461">
        <f t="shared" si="0"/>
        <v>2569</v>
      </c>
      <c r="AO19" s="461">
        <f t="shared" si="1"/>
        <v>2825</v>
      </c>
      <c r="AP19" s="461">
        <f t="shared" si="1"/>
        <v>-1517</v>
      </c>
      <c r="AQ19" s="461">
        <v>12975</v>
      </c>
      <c r="AR19" s="461">
        <v>15800</v>
      </c>
      <c r="AS19" s="461">
        <v>14283</v>
      </c>
      <c r="AT19" s="462">
        <v>-6341</v>
      </c>
      <c r="AU19" s="462">
        <v>1810</v>
      </c>
      <c r="AV19" s="462">
        <v>-2478</v>
      </c>
      <c r="AW19" s="462">
        <v>-2478</v>
      </c>
      <c r="AX19" s="462">
        <v>-244</v>
      </c>
      <c r="AY19" s="462">
        <v>-3238</v>
      </c>
      <c r="AZ19" s="462">
        <v>-5769</v>
      </c>
      <c r="BA19" s="752">
        <v>-3703</v>
      </c>
      <c r="BB19" s="462">
        <f>BE19-BA19</f>
        <v>328</v>
      </c>
      <c r="BC19" s="462">
        <f>BF19-BE19</f>
        <v>-4745</v>
      </c>
      <c r="BD19" s="462">
        <f>BG19-BF19</f>
        <v>50479</v>
      </c>
      <c r="BE19" s="462">
        <v>-3375</v>
      </c>
      <c r="BF19" s="462">
        <v>-8120</v>
      </c>
      <c r="BG19" s="462">
        <v>42359</v>
      </c>
      <c r="BH19" s="462">
        <v>-1555</v>
      </c>
      <c r="BI19" s="752">
        <f>BL19-BH19</f>
        <v>20909</v>
      </c>
      <c r="BJ19" s="462">
        <f>BM19-BL19</f>
        <v>3862</v>
      </c>
      <c r="BK19" s="462">
        <f>BN19-BM19</f>
        <v>9483</v>
      </c>
      <c r="BL19" s="462">
        <v>19354</v>
      </c>
      <c r="BM19" s="462">
        <v>23216</v>
      </c>
      <c r="BN19" s="462">
        <v>32699</v>
      </c>
      <c r="BO19" s="462">
        <v>-414</v>
      </c>
      <c r="BP19" s="462">
        <f>BS19-BO19</f>
        <v>537</v>
      </c>
      <c r="BQ19" s="462">
        <f>BT19-BS19</f>
        <v>-981</v>
      </c>
      <c r="BR19" s="462">
        <f>BU19-BT19</f>
        <v>5316</v>
      </c>
      <c r="BS19" s="462">
        <v>123</v>
      </c>
      <c r="BT19" s="462">
        <v>-858</v>
      </c>
      <c r="BU19" s="462">
        <v>4458</v>
      </c>
      <c r="BV19" s="462">
        <v>1954</v>
      </c>
      <c r="BW19" s="462">
        <f>BZ19-BV19</f>
        <v>1947</v>
      </c>
      <c r="BX19" s="462">
        <f>CA19-BZ19</f>
        <v>808</v>
      </c>
      <c r="BY19" s="462">
        <f>CB19-CA19</f>
        <v>202</v>
      </c>
      <c r="BZ19" s="462">
        <v>3901</v>
      </c>
      <c r="CA19" s="462">
        <v>4709</v>
      </c>
      <c r="CB19" s="462">
        <v>4911</v>
      </c>
      <c r="CC19" s="462">
        <v>-553.6878399999996</v>
      </c>
      <c r="CD19" s="462">
        <f>CG19-CC19</f>
        <v>577.6878399999996</v>
      </c>
      <c r="CE19" s="462">
        <f>CH19-CG19</f>
        <v>133</v>
      </c>
      <c r="CF19" s="462"/>
      <c r="CG19" s="462">
        <v>24</v>
      </c>
      <c r="CH19" s="462">
        <v>157</v>
      </c>
      <c r="CI19" s="462">
        <v>70677</v>
      </c>
      <c r="CJ19" s="462">
        <v>4856.6367599999994</v>
      </c>
      <c r="CK19" s="462">
        <f>CN19-CJ19</f>
        <v>2163.3632400000006</v>
      </c>
      <c r="CL19" s="462"/>
      <c r="CM19" s="462"/>
      <c r="CN19" s="462">
        <v>7020</v>
      </c>
      <c r="CO19" s="462">
        <v>0</v>
      </c>
    </row>
    <row r="20" spans="1:93" s="423" customFormat="1" ht="13" x14ac:dyDescent="0.3">
      <c r="A20" s="524" t="s">
        <v>195</v>
      </c>
      <c r="B20" s="423">
        <f>SUM(B21,B22)</f>
        <v>0</v>
      </c>
      <c r="C20" s="423">
        <f t="shared" ref="C20:O20" si="54">SUM(C21,C22)</f>
        <v>0</v>
      </c>
      <c r="D20" s="423">
        <f t="shared" si="54"/>
        <v>0</v>
      </c>
      <c r="E20" s="646">
        <f t="shared" si="54"/>
        <v>0</v>
      </c>
      <c r="F20" s="423">
        <f t="shared" si="54"/>
        <v>0</v>
      </c>
      <c r="G20" s="423">
        <f t="shared" si="54"/>
        <v>0</v>
      </c>
      <c r="H20" s="423">
        <f t="shared" si="54"/>
        <v>0</v>
      </c>
      <c r="I20" s="646">
        <f t="shared" si="54"/>
        <v>0</v>
      </c>
      <c r="J20" s="423">
        <f t="shared" si="54"/>
        <v>0</v>
      </c>
      <c r="K20" s="423">
        <f t="shared" si="54"/>
        <v>0</v>
      </c>
      <c r="L20" s="423">
        <f t="shared" si="54"/>
        <v>0</v>
      </c>
      <c r="M20" s="646">
        <f t="shared" si="54"/>
        <v>0</v>
      </c>
      <c r="N20" s="423">
        <f t="shared" si="54"/>
        <v>0</v>
      </c>
      <c r="O20" s="423">
        <f t="shared" si="54"/>
        <v>0</v>
      </c>
      <c r="P20" s="423">
        <v>0</v>
      </c>
      <c r="Q20" s="646">
        <v>0</v>
      </c>
      <c r="R20" s="423">
        <v>0</v>
      </c>
      <c r="S20" s="423">
        <v>0</v>
      </c>
      <c r="T20" s="423">
        <v>0</v>
      </c>
      <c r="U20" s="423">
        <v>0</v>
      </c>
      <c r="V20" s="423">
        <v>0</v>
      </c>
      <c r="W20" s="423">
        <v>0</v>
      </c>
      <c r="X20" s="646">
        <v>0</v>
      </c>
      <c r="Y20" s="462">
        <v>0</v>
      </c>
      <c r="Z20" s="462">
        <v>0</v>
      </c>
      <c r="AA20" s="462">
        <v>0</v>
      </c>
      <c r="AB20" s="423">
        <v>0</v>
      </c>
      <c r="AC20" s="462">
        <v>0</v>
      </c>
      <c r="AD20" s="461">
        <f>AD21+AD22</f>
        <v>0</v>
      </c>
      <c r="AE20" s="461">
        <f>AE21+AE22</f>
        <v>0</v>
      </c>
      <c r="AF20" s="462">
        <f>AF21+AF22</f>
        <v>0</v>
      </c>
      <c r="AG20" s="461">
        <f>SUM(AG21:AG22)</f>
        <v>0</v>
      </c>
      <c r="AH20" s="462">
        <v>0</v>
      </c>
      <c r="AI20" s="423">
        <v>0</v>
      </c>
      <c r="AJ20" s="461">
        <f>SUM(AJ21:AJ22)</f>
        <v>0</v>
      </c>
      <c r="AK20" s="461">
        <f>SUM(AK21:AK22)</f>
        <v>0</v>
      </c>
      <c r="AL20" s="461">
        <f>SUM(AL21:AL22)</f>
        <v>184853</v>
      </c>
      <c r="AM20" s="462">
        <f>SUM(AM21:AM22)</f>
        <v>0</v>
      </c>
      <c r="AN20" s="461">
        <f t="shared" si="0"/>
        <v>0</v>
      </c>
      <c r="AO20" s="461">
        <f t="shared" si="1"/>
        <v>0</v>
      </c>
      <c r="AP20" s="461">
        <f t="shared" si="1"/>
        <v>1736</v>
      </c>
      <c r="AQ20" s="461">
        <f>SUM(AQ21:AQ22)</f>
        <v>0</v>
      </c>
      <c r="AR20" s="461"/>
      <c r="AS20" s="461">
        <f>AS21+AS22</f>
        <v>1736</v>
      </c>
      <c r="AT20" s="462">
        <f>AT21+AT22</f>
        <v>0</v>
      </c>
      <c r="AU20" s="462">
        <f>AU21+AU22</f>
        <v>0</v>
      </c>
      <c r="AV20" s="462">
        <f>AV21+AV22</f>
        <v>0</v>
      </c>
      <c r="AW20" s="462">
        <f>AW21+AW22</f>
        <v>0</v>
      </c>
      <c r="AX20" s="462">
        <f t="shared" ref="AX20:AZ20" si="55">AX21+AX22</f>
        <v>0</v>
      </c>
      <c r="AY20" s="462">
        <f t="shared" si="55"/>
        <v>0</v>
      </c>
      <c r="AZ20" s="462">
        <f t="shared" si="55"/>
        <v>0</v>
      </c>
      <c r="BA20" s="462">
        <f t="shared" ref="BA20:BD20" si="56">BA21+BA22</f>
        <v>0</v>
      </c>
      <c r="BB20" s="462">
        <f t="shared" si="56"/>
        <v>0</v>
      </c>
      <c r="BC20" s="462">
        <f t="shared" si="56"/>
        <v>0</v>
      </c>
      <c r="BD20" s="462">
        <f t="shared" si="56"/>
        <v>-4377</v>
      </c>
      <c r="BE20" s="462">
        <f t="shared" ref="BE20:BF20" si="57">BE21+BE22</f>
        <v>0</v>
      </c>
      <c r="BF20" s="462">
        <f t="shared" si="57"/>
        <v>0</v>
      </c>
      <c r="BG20" s="462">
        <f t="shared" ref="BG20:BH20" si="58">BG21+BG22</f>
        <v>-4377</v>
      </c>
      <c r="BH20" s="462">
        <f t="shared" si="58"/>
        <v>0</v>
      </c>
      <c r="BI20" s="462">
        <f t="shared" ref="BI20:BL20" si="59">BI21+BI22</f>
        <v>0</v>
      </c>
      <c r="BJ20" s="462">
        <f t="shared" si="59"/>
        <v>0</v>
      </c>
      <c r="BK20" s="462">
        <f t="shared" si="59"/>
        <v>46</v>
      </c>
      <c r="BL20" s="462">
        <f t="shared" si="59"/>
        <v>-46</v>
      </c>
      <c r="BM20" s="462">
        <f t="shared" ref="BM20:BN20" si="60">BM21+BM22</f>
        <v>-46</v>
      </c>
      <c r="BN20" s="462">
        <f t="shared" si="60"/>
        <v>0</v>
      </c>
      <c r="BO20" s="462">
        <f t="shared" ref="BO20" si="61">BO21+BO22</f>
        <v>0</v>
      </c>
      <c r="BP20" s="462">
        <f>BS20-BO20</f>
        <v>0</v>
      </c>
      <c r="BQ20" s="462">
        <f>BS20-BO20</f>
        <v>0</v>
      </c>
      <c r="BR20" s="462">
        <f>BU20-BT20</f>
        <v>8486</v>
      </c>
      <c r="BS20" s="462">
        <f t="shared" ref="BS20:BT20" si="62">BS21+BS22</f>
        <v>0</v>
      </c>
      <c r="BT20" s="462">
        <f t="shared" si="62"/>
        <v>0</v>
      </c>
      <c r="BU20" s="462">
        <f t="shared" ref="BU20:BV20" si="63">BU21+BU22</f>
        <v>8486</v>
      </c>
      <c r="BV20" s="462">
        <f t="shared" si="63"/>
        <v>0</v>
      </c>
      <c r="BW20" s="462">
        <f t="shared" ref="BW20:BX20" si="64">BW21+BW22</f>
        <v>-5</v>
      </c>
      <c r="BX20" s="462">
        <f t="shared" si="64"/>
        <v>0</v>
      </c>
      <c r="BY20" s="462">
        <f>CB20-CA20</f>
        <v>-19</v>
      </c>
      <c r="BZ20" s="462">
        <f t="shared" ref="BZ20" si="65">BZ21+BZ22</f>
        <v>-5</v>
      </c>
      <c r="CA20" s="462">
        <f t="shared" ref="CA20:CB20" si="66">CA21+CA22</f>
        <v>-5</v>
      </c>
      <c r="CB20" s="462">
        <f t="shared" si="66"/>
        <v>-24</v>
      </c>
      <c r="CC20" s="462">
        <f t="shared" ref="CC20:CD20" si="67">CC21+CC22</f>
        <v>0</v>
      </c>
      <c r="CD20" s="462">
        <f t="shared" si="67"/>
        <v>0</v>
      </c>
      <c r="CE20" s="462">
        <f>CH20-CG20</f>
        <v>-1807</v>
      </c>
      <c r="CF20" s="462">
        <f t="shared" ref="CF20" si="68">CF21+CF22</f>
        <v>-11976</v>
      </c>
      <c r="CG20" s="462">
        <f t="shared" ref="CG20:CH20" si="69">CG21+CG22</f>
        <v>-3683</v>
      </c>
      <c r="CH20" s="462">
        <f t="shared" si="69"/>
        <v>-5490</v>
      </c>
      <c r="CI20" s="462">
        <f t="shared" ref="CI20" si="70">CI21+CI22</f>
        <v>-17466</v>
      </c>
      <c r="CJ20" s="462">
        <v>-360.55692999999997</v>
      </c>
      <c r="CK20" s="462">
        <f t="shared" ref="CK20:CO20" si="71">CK21+CK22</f>
        <v>-141.44307000000003</v>
      </c>
      <c r="CL20" s="462">
        <f t="shared" si="71"/>
        <v>0</v>
      </c>
      <c r="CM20" s="462">
        <f t="shared" si="71"/>
        <v>0</v>
      </c>
      <c r="CN20" s="462">
        <f t="shared" si="71"/>
        <v>-502</v>
      </c>
      <c r="CO20" s="462">
        <f t="shared" si="71"/>
        <v>0</v>
      </c>
    </row>
    <row r="21" spans="1:93" x14ac:dyDescent="0.25">
      <c r="A21" s="705" t="s">
        <v>196</v>
      </c>
      <c r="B21" s="278">
        <v>0</v>
      </c>
      <c r="C21" s="278">
        <v>0</v>
      </c>
      <c r="D21" s="278">
        <v>0</v>
      </c>
      <c r="E21" s="416">
        <v>0</v>
      </c>
      <c r="F21" s="278">
        <v>0</v>
      </c>
      <c r="G21" s="278">
        <v>0</v>
      </c>
      <c r="H21" s="278">
        <v>0</v>
      </c>
      <c r="I21" s="416">
        <v>0</v>
      </c>
      <c r="J21" s="278">
        <v>0</v>
      </c>
      <c r="K21" s="278">
        <v>0</v>
      </c>
      <c r="L21" s="278">
        <v>0</v>
      </c>
      <c r="M21" s="416">
        <v>0</v>
      </c>
      <c r="N21" s="278">
        <v>0</v>
      </c>
      <c r="O21" s="278">
        <v>0</v>
      </c>
      <c r="P21" s="278">
        <v>0</v>
      </c>
      <c r="Q21" s="416">
        <v>0</v>
      </c>
      <c r="R21" s="278">
        <v>0</v>
      </c>
      <c r="S21" s="278">
        <v>0</v>
      </c>
      <c r="T21" s="278">
        <f t="shared" ref="T21:T23" si="72">W21-S21-R21</f>
        <v>0</v>
      </c>
      <c r="U21" s="278">
        <f t="shared" ref="U21:U23" si="73">X21-T21-S21-R21</f>
        <v>0</v>
      </c>
      <c r="V21" s="278">
        <v>0</v>
      </c>
      <c r="W21" s="278">
        <v>0</v>
      </c>
      <c r="X21" s="416">
        <v>0</v>
      </c>
      <c r="Y21" s="279">
        <v>0</v>
      </c>
      <c r="Z21" s="280">
        <f t="shared" ref="Z21:Z23" si="74">AC21-Y21</f>
        <v>0</v>
      </c>
      <c r="AA21" s="280">
        <f t="shared" ref="AA21:AA23" si="75">AD21-Z21-Y21</f>
        <v>0</v>
      </c>
      <c r="AB21" s="278">
        <f t="shared" ref="AB21:AB23" si="76">AE21-AA21-Z21-Y21</f>
        <v>0</v>
      </c>
      <c r="AC21" s="279">
        <v>0</v>
      </c>
      <c r="AD21" s="280">
        <v>0</v>
      </c>
      <c r="AE21" s="280">
        <v>0</v>
      </c>
      <c r="AF21" s="279">
        <v>0</v>
      </c>
      <c r="AG21" s="280">
        <f t="shared" ref="AG21:AG24" si="77">AJ21-AF21</f>
        <v>0</v>
      </c>
      <c r="AH21" s="280">
        <f t="shared" ref="AH21:AH23" si="78">AK21-AG21-AF21</f>
        <v>0</v>
      </c>
      <c r="AI21" s="278">
        <f t="shared" ref="AI21:AI23" si="79">AL21-AH21-AG21-AF21</f>
        <v>-9166</v>
      </c>
      <c r="AJ21" s="280">
        <v>0</v>
      </c>
      <c r="AK21" s="280">
        <v>0</v>
      </c>
      <c r="AL21" s="280">
        <v>-9166</v>
      </c>
      <c r="AM21" s="279">
        <v>0</v>
      </c>
      <c r="AN21" s="280">
        <f t="shared" si="0"/>
        <v>0</v>
      </c>
      <c r="AO21" s="280">
        <f t="shared" si="1"/>
        <v>0</v>
      </c>
      <c r="AP21" s="280">
        <f t="shared" si="1"/>
        <v>0</v>
      </c>
      <c r="AQ21" s="280">
        <v>0</v>
      </c>
      <c r="AR21" s="280"/>
      <c r="AS21" s="280">
        <v>0</v>
      </c>
      <c r="AT21" s="279"/>
      <c r="AU21" s="279"/>
      <c r="AV21" s="279"/>
      <c r="AW21" s="279"/>
      <c r="AX21" s="279"/>
      <c r="AY21" s="279"/>
      <c r="AZ21" s="279"/>
      <c r="BA21" s="279"/>
      <c r="BB21" s="279"/>
      <c r="BC21" s="279"/>
      <c r="BD21" s="279">
        <f>BG21-BF21</f>
        <v>-4377</v>
      </c>
      <c r="BE21" s="279"/>
      <c r="BF21" s="279"/>
      <c r="BG21" s="279">
        <v>-4377</v>
      </c>
      <c r="BH21" s="279"/>
      <c r="BI21" s="279"/>
      <c r="BJ21" s="279"/>
      <c r="BK21" s="279">
        <f>BN21-BM21</f>
        <v>46</v>
      </c>
      <c r="BL21" s="279">
        <v>-46</v>
      </c>
      <c r="BM21" s="279">
        <v>-46</v>
      </c>
      <c r="BN21" s="279">
        <v>0</v>
      </c>
      <c r="BO21" s="279">
        <v>0</v>
      </c>
      <c r="BP21" s="279">
        <f t="shared" ref="BP21:BP22" si="80">BS21-BO21</f>
        <v>0</v>
      </c>
      <c r="BQ21" s="279">
        <f>BT21-BS21</f>
        <v>0</v>
      </c>
      <c r="BR21" s="279">
        <f>BU21-BT21</f>
        <v>0</v>
      </c>
      <c r="BS21" s="279">
        <v>0</v>
      </c>
      <c r="BT21" s="279">
        <v>0</v>
      </c>
      <c r="BU21" s="279">
        <v>0</v>
      </c>
      <c r="BV21" s="279">
        <v>0</v>
      </c>
      <c r="BW21" s="279">
        <f>BZ21-BV21</f>
        <v>-5</v>
      </c>
      <c r="BX21" s="279">
        <f>CA21-BZ21</f>
        <v>0</v>
      </c>
      <c r="BY21" s="279">
        <f>CB21-CA21</f>
        <v>-19</v>
      </c>
      <c r="BZ21" s="279">
        <v>-5</v>
      </c>
      <c r="CA21" s="279">
        <v>-5</v>
      </c>
      <c r="CB21" s="279">
        <v>-24</v>
      </c>
      <c r="CC21" s="279">
        <v>0</v>
      </c>
      <c r="CD21" s="279">
        <v>0</v>
      </c>
      <c r="CE21" s="279">
        <f>CH21-CG21</f>
        <v>-1808</v>
      </c>
      <c r="CF21" s="279">
        <f>CI21-CH21</f>
        <v>-11975</v>
      </c>
      <c r="CG21" s="279">
        <v>0</v>
      </c>
      <c r="CH21" s="279">
        <v>-1808</v>
      </c>
      <c r="CI21" s="279">
        <v>-13783</v>
      </c>
      <c r="CJ21" s="279">
        <v>-360.55692999999997</v>
      </c>
      <c r="CK21" s="279">
        <f>CN21-CJ21</f>
        <v>-141.44307000000003</v>
      </c>
      <c r="CL21" s="279"/>
      <c r="CM21" s="279"/>
      <c r="CN21" s="279">
        <v>-502</v>
      </c>
      <c r="CO21" s="279"/>
    </row>
    <row r="22" spans="1:93" x14ac:dyDescent="0.25">
      <c r="A22" s="705" t="s">
        <v>197</v>
      </c>
      <c r="B22" s="278">
        <v>0</v>
      </c>
      <c r="C22" s="278">
        <v>0</v>
      </c>
      <c r="D22" s="278">
        <v>0</v>
      </c>
      <c r="E22" s="416">
        <v>0</v>
      </c>
      <c r="F22" s="278">
        <v>0</v>
      </c>
      <c r="G22" s="278">
        <v>0</v>
      </c>
      <c r="H22" s="278">
        <v>0</v>
      </c>
      <c r="I22" s="416">
        <v>0</v>
      </c>
      <c r="J22" s="278">
        <v>0</v>
      </c>
      <c r="K22" s="278">
        <v>0</v>
      </c>
      <c r="L22" s="278">
        <v>0</v>
      </c>
      <c r="M22" s="416">
        <v>0</v>
      </c>
      <c r="N22" s="278">
        <v>0</v>
      </c>
      <c r="O22" s="278">
        <v>0</v>
      </c>
      <c r="P22" s="278">
        <v>0</v>
      </c>
      <c r="Q22" s="416">
        <v>0</v>
      </c>
      <c r="R22" s="278">
        <v>0</v>
      </c>
      <c r="S22" s="278">
        <v>0</v>
      </c>
      <c r="T22" s="278">
        <f t="shared" si="72"/>
        <v>0</v>
      </c>
      <c r="U22" s="278">
        <f t="shared" si="73"/>
        <v>0</v>
      </c>
      <c r="V22" s="278">
        <v>0</v>
      </c>
      <c r="W22" s="278">
        <v>0</v>
      </c>
      <c r="X22" s="416">
        <v>0</v>
      </c>
      <c r="Y22" s="279">
        <v>0</v>
      </c>
      <c r="Z22" s="280">
        <f t="shared" si="74"/>
        <v>0</v>
      </c>
      <c r="AA22" s="280">
        <f t="shared" si="75"/>
        <v>0</v>
      </c>
      <c r="AB22" s="278">
        <f t="shared" si="76"/>
        <v>0</v>
      </c>
      <c r="AC22" s="279">
        <v>0</v>
      </c>
      <c r="AD22" s="280">
        <v>0</v>
      </c>
      <c r="AE22" s="280">
        <v>0</v>
      </c>
      <c r="AF22" s="279">
        <v>0</v>
      </c>
      <c r="AG22" s="280">
        <f t="shared" si="77"/>
        <v>0</v>
      </c>
      <c r="AH22" s="280">
        <f t="shared" si="78"/>
        <v>0</v>
      </c>
      <c r="AI22" s="278">
        <f t="shared" si="79"/>
        <v>194019</v>
      </c>
      <c r="AJ22" s="280">
        <v>0</v>
      </c>
      <c r="AK22" s="280">
        <v>0</v>
      </c>
      <c r="AL22" s="280">
        <v>194019</v>
      </c>
      <c r="AM22" s="279">
        <v>0</v>
      </c>
      <c r="AN22" s="280">
        <f t="shared" si="0"/>
        <v>0</v>
      </c>
      <c r="AO22" s="280">
        <f t="shared" si="1"/>
        <v>0</v>
      </c>
      <c r="AP22" s="280">
        <f t="shared" si="1"/>
        <v>1736</v>
      </c>
      <c r="AQ22" s="280">
        <v>0</v>
      </c>
      <c r="AR22" s="280"/>
      <c r="AS22" s="280">
        <v>1736</v>
      </c>
      <c r="AT22" s="279"/>
      <c r="AU22" s="279"/>
      <c r="AV22" s="279"/>
      <c r="AW22" s="279"/>
      <c r="AX22" s="279"/>
      <c r="AY22" s="279"/>
      <c r="AZ22" s="279"/>
      <c r="BA22" s="279"/>
      <c r="BB22" s="279"/>
      <c r="BC22" s="279"/>
      <c r="BD22" s="279">
        <f>BG22-BF22</f>
        <v>0</v>
      </c>
      <c r="BE22" s="279"/>
      <c r="BF22" s="279"/>
      <c r="BG22" s="279">
        <v>0</v>
      </c>
      <c r="BH22" s="279"/>
      <c r="BI22" s="279"/>
      <c r="BJ22" s="279"/>
      <c r="BK22" s="279">
        <f>BN22-BM22</f>
        <v>0</v>
      </c>
      <c r="BL22" s="279">
        <v>0</v>
      </c>
      <c r="BM22" s="279">
        <v>0</v>
      </c>
      <c r="BN22" s="279">
        <v>0</v>
      </c>
      <c r="BO22" s="279">
        <v>0</v>
      </c>
      <c r="BP22" s="279">
        <f t="shared" si="80"/>
        <v>0</v>
      </c>
      <c r="BQ22" s="279">
        <f>BT22-BS22</f>
        <v>0</v>
      </c>
      <c r="BR22" s="279">
        <f>BU22-BT22</f>
        <v>8486</v>
      </c>
      <c r="BS22" s="279">
        <v>0</v>
      </c>
      <c r="BT22" s="279">
        <v>0</v>
      </c>
      <c r="BU22" s="279">
        <v>8486</v>
      </c>
      <c r="BV22" s="279">
        <v>0</v>
      </c>
      <c r="BW22" s="279">
        <f>BZ22-BV22</f>
        <v>0</v>
      </c>
      <c r="BX22" s="279">
        <f>CA22-BZ22</f>
        <v>0</v>
      </c>
      <c r="BY22" s="279">
        <v>0</v>
      </c>
      <c r="BZ22" s="279">
        <v>0</v>
      </c>
      <c r="CA22" s="279">
        <v>0</v>
      </c>
      <c r="CB22" s="279">
        <v>0</v>
      </c>
      <c r="CC22" s="279">
        <v>0</v>
      </c>
      <c r="CD22" s="279">
        <v>0</v>
      </c>
      <c r="CE22" s="279">
        <f>CH22-CG22</f>
        <v>1</v>
      </c>
      <c r="CF22" s="279">
        <f>CI22-CH22</f>
        <v>-1</v>
      </c>
      <c r="CG22" s="279">
        <v>-3683</v>
      </c>
      <c r="CH22" s="279">
        <v>-3682</v>
      </c>
      <c r="CI22" s="279">
        <v>-3683</v>
      </c>
      <c r="CJ22" s="279">
        <v>0</v>
      </c>
      <c r="CK22" s="279">
        <f>CN22-CJ22</f>
        <v>0</v>
      </c>
      <c r="CL22" s="279"/>
      <c r="CM22" s="279"/>
      <c r="CN22" s="279">
        <v>0</v>
      </c>
      <c r="CO22" s="279"/>
    </row>
    <row r="23" spans="1:93" s="423" customFormat="1" ht="13" x14ac:dyDescent="0.3">
      <c r="A23" s="524" t="s">
        <v>336</v>
      </c>
      <c r="B23" s="636">
        <v>0</v>
      </c>
      <c r="C23" s="636">
        <v>0</v>
      </c>
      <c r="D23" s="636">
        <v>0</v>
      </c>
      <c r="E23" s="662">
        <v>0</v>
      </c>
      <c r="F23" s="636">
        <v>0</v>
      </c>
      <c r="G23" s="636">
        <v>0</v>
      </c>
      <c r="H23" s="636">
        <v>0</v>
      </c>
      <c r="I23" s="662">
        <v>0</v>
      </c>
      <c r="J23" s="636">
        <v>0</v>
      </c>
      <c r="K23" s="636">
        <v>0</v>
      </c>
      <c r="L23" s="636">
        <v>0</v>
      </c>
      <c r="M23" s="662">
        <v>0</v>
      </c>
      <c r="N23" s="636">
        <v>0</v>
      </c>
      <c r="O23" s="636">
        <f>0</f>
        <v>0</v>
      </c>
      <c r="P23" s="636">
        <v>0</v>
      </c>
      <c r="Q23" s="662">
        <v>0</v>
      </c>
      <c r="R23" s="636">
        <v>0</v>
      </c>
      <c r="S23" s="636">
        <v>0</v>
      </c>
      <c r="T23" s="636">
        <f t="shared" si="72"/>
        <v>0</v>
      </c>
      <c r="U23" s="636">
        <f t="shared" si="73"/>
        <v>0</v>
      </c>
      <c r="V23" s="636">
        <v>0</v>
      </c>
      <c r="W23" s="636">
        <v>0</v>
      </c>
      <c r="X23" s="662">
        <v>0</v>
      </c>
      <c r="Y23" s="663">
        <v>0</v>
      </c>
      <c r="Z23" s="664">
        <f t="shared" si="74"/>
        <v>0</v>
      </c>
      <c r="AA23" s="664">
        <f t="shared" si="75"/>
        <v>0</v>
      </c>
      <c r="AB23" s="636">
        <f t="shared" si="76"/>
        <v>0</v>
      </c>
      <c r="AC23" s="663">
        <v>0</v>
      </c>
      <c r="AD23" s="664">
        <v>0</v>
      </c>
      <c r="AE23" s="664">
        <v>0</v>
      </c>
      <c r="AF23" s="663">
        <v>0</v>
      </c>
      <c r="AG23" s="664">
        <f t="shared" si="77"/>
        <v>0</v>
      </c>
      <c r="AH23" s="664">
        <f t="shared" si="78"/>
        <v>0</v>
      </c>
      <c r="AI23" s="636">
        <f t="shared" si="79"/>
        <v>0</v>
      </c>
      <c r="AJ23" s="664">
        <v>0</v>
      </c>
      <c r="AK23" s="664">
        <v>0</v>
      </c>
      <c r="AL23" s="664">
        <v>0</v>
      </c>
      <c r="AM23" s="663">
        <v>0</v>
      </c>
      <c r="AN23" s="664">
        <f t="shared" si="0"/>
        <v>0</v>
      </c>
      <c r="AO23" s="664">
        <f t="shared" si="1"/>
        <v>0</v>
      </c>
      <c r="AP23" s="664">
        <f t="shared" si="1"/>
        <v>0</v>
      </c>
      <c r="AQ23" s="664">
        <v>0</v>
      </c>
      <c r="AR23" s="664"/>
      <c r="AS23" s="664"/>
      <c r="AT23" s="663"/>
      <c r="AU23" s="663"/>
      <c r="AV23" s="663"/>
      <c r="AW23" s="663"/>
      <c r="AX23" s="663"/>
      <c r="AY23" s="663"/>
      <c r="AZ23" s="663"/>
      <c r="BA23" s="663"/>
      <c r="BB23" s="663"/>
      <c r="BC23" s="663"/>
      <c r="BD23" s="663"/>
      <c r="BE23" s="663"/>
      <c r="BF23" s="663"/>
      <c r="BG23" s="663"/>
      <c r="BH23" s="663"/>
      <c r="BI23" s="663"/>
      <c r="BJ23" s="663"/>
      <c r="BK23" s="663"/>
      <c r="BL23" s="663"/>
      <c r="BM23" s="663"/>
      <c r="BN23" s="663"/>
      <c r="BO23" s="663"/>
      <c r="BP23" s="663"/>
      <c r="BQ23" s="663"/>
      <c r="BR23" s="663"/>
      <c r="BS23" s="663"/>
      <c r="BT23" s="663"/>
      <c r="BU23" s="663"/>
      <c r="BV23" s="663"/>
      <c r="BW23" s="663"/>
      <c r="BX23" s="663"/>
      <c r="BY23" s="663"/>
      <c r="BZ23" s="663"/>
      <c r="CA23" s="663"/>
      <c r="CB23" s="663"/>
      <c r="CC23" s="663"/>
      <c r="CD23" s="663"/>
      <c r="CE23" s="663"/>
      <c r="CF23" s="663"/>
      <c r="CG23" s="663"/>
      <c r="CH23" s="663"/>
      <c r="CI23" s="663"/>
      <c r="CJ23" s="663"/>
      <c r="CK23" s="663"/>
      <c r="CL23" s="663"/>
      <c r="CM23" s="663"/>
      <c r="CN23" s="663"/>
      <c r="CO23" s="663"/>
    </row>
    <row r="24" spans="1:93" s="423" customFormat="1" ht="13" x14ac:dyDescent="0.3">
      <c r="A24" s="525" t="s">
        <v>198</v>
      </c>
      <c r="B24" s="526">
        <f>SUM(B17,B18,B19,B20,B23)</f>
        <v>8483</v>
      </c>
      <c r="C24" s="526">
        <f t="shared" ref="C24:K24" si="81">SUM(C17,C18,C19,C20,C23)</f>
        <v>-814</v>
      </c>
      <c r="D24" s="526">
        <f t="shared" si="81"/>
        <v>-14976</v>
      </c>
      <c r="E24" s="637">
        <f t="shared" si="81"/>
        <v>28760</v>
      </c>
      <c r="F24" s="526">
        <f t="shared" si="81"/>
        <v>14948</v>
      </c>
      <c r="G24" s="526">
        <f t="shared" si="81"/>
        <v>-9752</v>
      </c>
      <c r="H24" s="526">
        <f t="shared" si="81"/>
        <v>-4745</v>
      </c>
      <c r="I24" s="637">
        <f t="shared" si="81"/>
        <v>8458</v>
      </c>
      <c r="J24" s="526">
        <f t="shared" si="81"/>
        <v>17549.167975132994</v>
      </c>
      <c r="K24" s="526">
        <f t="shared" si="81"/>
        <v>-17749.340275133</v>
      </c>
      <c r="L24" s="526">
        <f>SUM(L17,L18,L19,L20,L23)</f>
        <v>4404.9998000000051</v>
      </c>
      <c r="M24" s="637">
        <f t="shared" ref="M24" si="82">SUM(M17,M18,M19,M20,M23)</f>
        <v>-102652.82750000003</v>
      </c>
      <c r="N24" s="526">
        <f>SUM(N17,N18,N19,N20,N23)</f>
        <v>-44401</v>
      </c>
      <c r="O24" s="526">
        <f t="shared" ref="O24:X24" si="83">SUM(O17,O18,O19,O20,O23)</f>
        <v>-43204</v>
      </c>
      <c r="P24" s="526">
        <f t="shared" si="83"/>
        <v>-2254</v>
      </c>
      <c r="Q24" s="637">
        <f t="shared" si="83"/>
        <v>-1181653</v>
      </c>
      <c r="R24" s="526">
        <f t="shared" si="83"/>
        <v>-55251</v>
      </c>
      <c r="S24" s="526">
        <f t="shared" si="83"/>
        <v>-71419</v>
      </c>
      <c r="T24" s="526">
        <f t="shared" si="83"/>
        <v>-50197</v>
      </c>
      <c r="U24" s="526">
        <f t="shared" si="83"/>
        <v>242475</v>
      </c>
      <c r="V24" s="526">
        <f t="shared" si="83"/>
        <v>-126670</v>
      </c>
      <c r="W24" s="526">
        <f t="shared" si="83"/>
        <v>-176867</v>
      </c>
      <c r="X24" s="637">
        <f t="shared" si="83"/>
        <v>65608</v>
      </c>
      <c r="Y24" s="527">
        <v>-25097</v>
      </c>
      <c r="Z24" s="527">
        <v>-25097</v>
      </c>
      <c r="AA24" s="527">
        <v>-25097</v>
      </c>
      <c r="AB24" s="526">
        <f t="shared" ref="AB24" si="84">SUM(AB17,AB18,AB19,AB20,AB23)</f>
        <v>-194035</v>
      </c>
      <c r="AC24" s="527">
        <v>-69090</v>
      </c>
      <c r="AD24" s="526">
        <v>-959</v>
      </c>
      <c r="AE24" s="526">
        <v>-318608</v>
      </c>
      <c r="AF24" s="527">
        <v>-100964</v>
      </c>
      <c r="AG24" s="527">
        <f t="shared" si="77"/>
        <v>-464415</v>
      </c>
      <c r="AH24" s="527">
        <v>-25097</v>
      </c>
      <c r="AI24" s="526">
        <f t="shared" ref="AI24" si="85">SUM(AI17,AI18,AI19,AI20,AI23)</f>
        <v>624193</v>
      </c>
      <c r="AJ24" s="526">
        <v>-565379</v>
      </c>
      <c r="AK24" s="526">
        <v>-820316</v>
      </c>
      <c r="AL24" s="526">
        <v>-6636</v>
      </c>
      <c r="AM24" s="527">
        <f>SUM(AM17:AM19)</f>
        <v>4118</v>
      </c>
      <c r="AN24" s="526">
        <f t="shared" si="0"/>
        <v>-9449</v>
      </c>
      <c r="AO24" s="526">
        <f t="shared" si="1"/>
        <v>-42852</v>
      </c>
      <c r="AP24" s="526">
        <f t="shared" si="1"/>
        <v>-48800</v>
      </c>
      <c r="AQ24" s="526">
        <f>SUM(AQ17:AQ19)</f>
        <v>-5331</v>
      </c>
      <c r="AR24" s="526">
        <f>AR17+AR19</f>
        <v>-48183</v>
      </c>
      <c r="AS24" s="526">
        <f>AS17+AS19+AS20</f>
        <v>-96983</v>
      </c>
      <c r="AT24" s="527">
        <f>AT17+AT19+AT20</f>
        <v>-12682</v>
      </c>
      <c r="AU24" s="527">
        <f>AU17+AU19+AU20</f>
        <v>-11602</v>
      </c>
      <c r="AV24" s="527">
        <f t="shared" ref="AV24:AZ24" si="86">AV17+AV19+AV20</f>
        <v>-16617</v>
      </c>
      <c r="AW24" s="527">
        <f t="shared" ref="AW24" si="87">AW17+AW19+AW20</f>
        <v>-48155</v>
      </c>
      <c r="AX24" s="527">
        <f t="shared" si="86"/>
        <v>-19997</v>
      </c>
      <c r="AY24" s="527">
        <f t="shared" si="86"/>
        <v>-37925</v>
      </c>
      <c r="AZ24" s="527">
        <f t="shared" si="86"/>
        <v>-44499</v>
      </c>
      <c r="BA24" s="527">
        <f t="shared" ref="BA24:BC24" si="88">BA17+BA19+BA20</f>
        <v>-9118</v>
      </c>
      <c r="BB24" s="527">
        <f t="shared" si="88"/>
        <v>-6415</v>
      </c>
      <c r="BC24" s="527">
        <f t="shared" si="88"/>
        <v>-8897</v>
      </c>
      <c r="BD24" s="527">
        <f>BD17+BD19+BD20</f>
        <v>89130</v>
      </c>
      <c r="BE24" s="527">
        <f t="shared" ref="BE24:BF24" si="89">BE17+BE19+BE20</f>
        <v>-15533</v>
      </c>
      <c r="BF24" s="527">
        <f t="shared" si="89"/>
        <v>-24430</v>
      </c>
      <c r="BG24" s="527">
        <f t="shared" ref="BG24:BH24" si="90">BG17+BG19+BG20</f>
        <v>64700</v>
      </c>
      <c r="BH24" s="527" t="e">
        <f t="shared" si="90"/>
        <v>#REF!</v>
      </c>
      <c r="BI24" s="527" t="e">
        <f t="shared" ref="BI24:BL24" si="91">BI17+BI19+BI20</f>
        <v>#REF!</v>
      </c>
      <c r="BJ24" s="527">
        <f t="shared" si="91"/>
        <v>-2825</v>
      </c>
      <c r="BK24" s="527">
        <f t="shared" si="91"/>
        <v>10210</v>
      </c>
      <c r="BL24" s="527">
        <f t="shared" si="91"/>
        <v>5238</v>
      </c>
      <c r="BM24" s="527">
        <f t="shared" ref="BM24" si="92">BM17+BM19+BM20</f>
        <v>2413</v>
      </c>
      <c r="BN24" s="527">
        <f>BN17+BN19+BN20-2</f>
        <v>12621</v>
      </c>
      <c r="BO24" s="527">
        <f t="shared" ref="BO24:BS24" si="93">BO17+BO19+BO20</f>
        <v>-7099</v>
      </c>
      <c r="BP24" s="527">
        <f t="shared" si="93"/>
        <v>-7067</v>
      </c>
      <c r="BQ24" s="527">
        <f t="shared" si="93"/>
        <v>-4655</v>
      </c>
      <c r="BR24" s="527">
        <f>BR17+BR19+BR20-1</f>
        <v>1155</v>
      </c>
      <c r="BS24" s="527">
        <f t="shared" si="93"/>
        <v>-14166</v>
      </c>
      <c r="BT24" s="527">
        <f t="shared" ref="BT24" si="94">BT17+BT19+BT20</f>
        <v>-18821</v>
      </c>
      <c r="BU24" s="527">
        <f t="shared" ref="BU24:BZ24" si="95">BU17+BU19+BU20+BU18</f>
        <v>-17666</v>
      </c>
      <c r="BV24" s="527">
        <f t="shared" si="95"/>
        <v>-4964</v>
      </c>
      <c r="BW24" s="527">
        <f t="shared" si="95"/>
        <v>-4953</v>
      </c>
      <c r="BX24" s="527">
        <f t="shared" si="95"/>
        <v>-8214</v>
      </c>
      <c r="BY24" s="527">
        <f>BY17+BY19+BY20+BY18</f>
        <v>-15058</v>
      </c>
      <c r="BZ24" s="527">
        <f t="shared" si="95"/>
        <v>-9917</v>
      </c>
      <c r="CA24" s="527">
        <f t="shared" ref="CA24:CB24" si="96">CA17+CA19+CA20+CA18</f>
        <v>-18131</v>
      </c>
      <c r="CB24" s="527">
        <f t="shared" si="96"/>
        <v>-33189</v>
      </c>
      <c r="CC24" s="527">
        <f t="shared" ref="CC24:CD24" si="97">CC17+CC19+CC20+CC18</f>
        <v>-6115.4393899999986</v>
      </c>
      <c r="CD24" s="527">
        <f t="shared" si="97"/>
        <v>1469.4393899999986</v>
      </c>
      <c r="CE24" s="527">
        <f t="shared" ref="CE24:CF24" si="98">CE17+CE19+CE20+CE18</f>
        <v>-3553</v>
      </c>
      <c r="CF24" s="527">
        <f t="shared" si="98"/>
        <v>-30662</v>
      </c>
      <c r="CG24" s="527">
        <f>CG17+CG19+CG20+CG18</f>
        <v>-8329</v>
      </c>
      <c r="CH24" s="527">
        <f t="shared" ref="CH24" si="99">CH17+CH19+CH20+CH18</f>
        <v>-11882</v>
      </c>
      <c r="CI24" s="527">
        <f t="shared" ref="CI24" si="100">CI17+CI19+CI20+CI18</f>
        <v>27976</v>
      </c>
      <c r="CJ24" s="527">
        <v>-2440.1994800000039</v>
      </c>
      <c r="CK24" s="527">
        <f t="shared" ref="CK24:CO24" si="101">CK17+CK19+CK20+CK18</f>
        <v>-7010.8005199999961</v>
      </c>
      <c r="CL24" s="527">
        <f t="shared" si="101"/>
        <v>0</v>
      </c>
      <c r="CM24" s="527">
        <f t="shared" si="101"/>
        <v>0</v>
      </c>
      <c r="CN24" s="527">
        <f t="shared" si="101"/>
        <v>-9451</v>
      </c>
      <c r="CO24" s="527">
        <f t="shared" si="101"/>
        <v>0</v>
      </c>
    </row>
    <row r="25" spans="1:93" s="423" customFormat="1" ht="13" x14ac:dyDescent="0.3">
      <c r="A25" s="435" t="s">
        <v>199</v>
      </c>
      <c r="B25" s="436">
        <v>-6419</v>
      </c>
      <c r="C25" s="436">
        <v>-6103</v>
      </c>
      <c r="D25" s="436">
        <v>-6332</v>
      </c>
      <c r="E25" s="630">
        <v>-6262</v>
      </c>
      <c r="F25" s="436">
        <v>-2568</v>
      </c>
      <c r="G25" s="436">
        <v>-7365</v>
      </c>
      <c r="H25" s="436">
        <v>-6408</v>
      </c>
      <c r="I25" s="630">
        <v>-5717</v>
      </c>
      <c r="J25" s="436">
        <v>-4656.7670118249998</v>
      </c>
      <c r="K25" s="436">
        <v>-10588.582188175</v>
      </c>
      <c r="L25" s="436">
        <v>-6301.3278000000009</v>
      </c>
      <c r="M25" s="630">
        <v>-9963.323000000004</v>
      </c>
      <c r="N25" s="436">
        <v>-2427</v>
      </c>
      <c r="O25" s="436">
        <v>1292</v>
      </c>
      <c r="P25" s="436">
        <v>7349</v>
      </c>
      <c r="Q25" s="630">
        <v>-28087</v>
      </c>
      <c r="R25" s="436">
        <v>-5398</v>
      </c>
      <c r="S25" s="436">
        <v>-4047</v>
      </c>
      <c r="T25" s="436">
        <v>-2371</v>
      </c>
      <c r="U25" s="436">
        <v>202998</v>
      </c>
      <c r="V25" s="436">
        <v>-9445</v>
      </c>
      <c r="W25" s="436">
        <v>-11816</v>
      </c>
      <c r="X25" s="630">
        <v>191182</v>
      </c>
      <c r="Y25" s="437">
        <v>-5958</v>
      </c>
      <c r="Z25" s="436">
        <v>8937</v>
      </c>
      <c r="AA25" s="436">
        <v>-1878</v>
      </c>
      <c r="AB25" s="436">
        <v>-3782</v>
      </c>
      <c r="AC25" s="437">
        <v>2979</v>
      </c>
      <c r="AD25" s="436">
        <v>1101</v>
      </c>
      <c r="AE25" s="436">
        <v>-2681</v>
      </c>
      <c r="AF25" s="437">
        <v>-4650</v>
      </c>
      <c r="AG25" s="436">
        <v>-4091</v>
      </c>
      <c r="AH25" s="436">
        <v>-6992</v>
      </c>
      <c r="AI25" s="436">
        <v>962556</v>
      </c>
      <c r="AJ25" s="436">
        <v>-8741</v>
      </c>
      <c r="AK25" s="436">
        <v>-15733</v>
      </c>
      <c r="AL25" s="436">
        <v>946823</v>
      </c>
      <c r="AM25" s="437">
        <v>-5814</v>
      </c>
      <c r="AN25" s="436">
        <f>AQ25-AM25</f>
        <v>-8755</v>
      </c>
      <c r="AO25" s="436">
        <f t="shared" si="1"/>
        <v>-41654</v>
      </c>
      <c r="AP25" s="436">
        <f t="shared" si="1"/>
        <v>28856</v>
      </c>
      <c r="AQ25" s="436">
        <v>-14569</v>
      </c>
      <c r="AR25" s="436">
        <v>-56223</v>
      </c>
      <c r="AS25" s="436">
        <v>-27367</v>
      </c>
      <c r="AT25" s="437">
        <v>-5659</v>
      </c>
      <c r="AU25" s="437">
        <v>-11841</v>
      </c>
      <c r="AV25" s="437">
        <v>-4061</v>
      </c>
      <c r="AW25" s="437">
        <v>-4061</v>
      </c>
      <c r="AX25" s="437">
        <v>-17500</v>
      </c>
      <c r="AY25" s="437">
        <v>-24187</v>
      </c>
      <c r="AZ25" s="437">
        <v>-33769</v>
      </c>
      <c r="BA25" s="437">
        <v>-4793</v>
      </c>
      <c r="BB25" s="437">
        <f>BE25-BA25</f>
        <v>-3583</v>
      </c>
      <c r="BC25" s="437">
        <f>BF25-BE25</f>
        <v>-4915</v>
      </c>
      <c r="BD25" s="437">
        <f>BG25-BF25</f>
        <v>-8222</v>
      </c>
      <c r="BE25" s="437">
        <v>-8376</v>
      </c>
      <c r="BF25" s="437">
        <v>-13291</v>
      </c>
      <c r="BG25" s="437">
        <v>-21513</v>
      </c>
      <c r="BH25" s="437">
        <v>-5800</v>
      </c>
      <c r="BI25" s="437">
        <f>BL25-BH25</f>
        <v>-6587</v>
      </c>
      <c r="BJ25" s="437">
        <f>BM25-BL25</f>
        <v>-5515</v>
      </c>
      <c r="BK25" s="437">
        <f>BN25-BM25</f>
        <v>-9999</v>
      </c>
      <c r="BL25" s="437">
        <v>-12387</v>
      </c>
      <c r="BM25" s="437">
        <v>-17902</v>
      </c>
      <c r="BN25" s="437">
        <v>-27901</v>
      </c>
      <c r="BO25" s="437">
        <v>-5639</v>
      </c>
      <c r="BP25" s="462">
        <f>BS25-BO25</f>
        <v>-5627</v>
      </c>
      <c r="BQ25" s="437">
        <f>BT25-BS25</f>
        <v>-4469</v>
      </c>
      <c r="BR25" s="437">
        <f>BU25-BT25</f>
        <v>-12021</v>
      </c>
      <c r="BS25" s="437">
        <v>-11266</v>
      </c>
      <c r="BT25" s="437">
        <v>-15735</v>
      </c>
      <c r="BU25" s="437">
        <v>-27756</v>
      </c>
      <c r="BV25" s="437">
        <v>-6369.8423999999941</v>
      </c>
      <c r="BW25" s="437">
        <f>BZ25-BV25</f>
        <v>-4370.1576000000059</v>
      </c>
      <c r="BX25" s="437">
        <f>CA25-BZ25</f>
        <v>-6327</v>
      </c>
      <c r="BY25" s="437">
        <v>-16087</v>
      </c>
      <c r="BZ25" s="437">
        <v>-10740</v>
      </c>
      <c r="CA25" s="437">
        <v>-17067</v>
      </c>
      <c r="CB25" s="437">
        <v>-39227</v>
      </c>
      <c r="CC25" s="437">
        <v>-6968.530150000006</v>
      </c>
      <c r="CD25" s="437">
        <f>CG25-CC25</f>
        <v>-5989.469849999994</v>
      </c>
      <c r="CE25" s="437">
        <f>CH25-CG25</f>
        <v>-5289</v>
      </c>
      <c r="CF25" s="437">
        <v>-10703</v>
      </c>
      <c r="CG25" s="437">
        <v>-12958</v>
      </c>
      <c r="CH25" s="437">
        <v>-18247</v>
      </c>
      <c r="CI25" s="437">
        <v>-37889</v>
      </c>
      <c r="CJ25" s="437">
        <v>-8835.8612999999968</v>
      </c>
      <c r="CK25" s="437">
        <f>CN25-CJ25</f>
        <v>-11400.138700000003</v>
      </c>
      <c r="CL25" s="437"/>
      <c r="CM25" s="437"/>
      <c r="CN25" s="437">
        <v>-20236</v>
      </c>
      <c r="CO25" s="437"/>
    </row>
    <row r="26" spans="1:93" ht="13" x14ac:dyDescent="0.3">
      <c r="A26" s="638" t="s">
        <v>209</v>
      </c>
      <c r="B26" s="639">
        <v>5749</v>
      </c>
      <c r="C26" s="639">
        <v>23749</v>
      </c>
      <c r="D26" s="639">
        <v>3493</v>
      </c>
      <c r="E26" s="640">
        <v>4532</v>
      </c>
      <c r="F26" s="639">
        <v>6499.6350000000093</v>
      </c>
      <c r="G26" s="639">
        <v>8652.973800000007</v>
      </c>
      <c r="H26" s="639">
        <v>463.41820000001462</v>
      </c>
      <c r="I26" s="640">
        <v>4178</v>
      </c>
      <c r="J26" s="639">
        <v>3391</v>
      </c>
      <c r="K26" s="639">
        <v>6707</v>
      </c>
      <c r="L26" s="639">
        <v>29240</v>
      </c>
      <c r="M26" s="640">
        <v>29241</v>
      </c>
      <c r="N26" s="639">
        <v>15664</v>
      </c>
      <c r="O26" s="639">
        <v>8003</v>
      </c>
      <c r="P26" s="639">
        <v>8846</v>
      </c>
      <c r="Q26" s="640">
        <v>37257</v>
      </c>
      <c r="R26" s="639">
        <v>2706</v>
      </c>
      <c r="S26" s="639">
        <v>4458</v>
      </c>
      <c r="T26" s="639">
        <f>W26-S26-R26</f>
        <v>4793</v>
      </c>
      <c r="U26" s="639">
        <f>X26-T26-S26-R26</f>
        <v>6704</v>
      </c>
      <c r="V26" s="639">
        <f>S26+R26</f>
        <v>7164</v>
      </c>
      <c r="W26" s="639">
        <v>11957</v>
      </c>
      <c r="X26" s="640">
        <v>18661</v>
      </c>
      <c r="Y26" s="641">
        <v>3370.3009999999999</v>
      </c>
      <c r="Z26" s="639">
        <f>AC26-Y26</f>
        <v>2959.5989999999997</v>
      </c>
      <c r="AA26" s="639">
        <f>AD26-Z26-Y26</f>
        <v>5898.5150000000012</v>
      </c>
      <c r="AB26" s="639">
        <f>AE26-AA26-Z26-Y26</f>
        <v>-1752.4150000000009</v>
      </c>
      <c r="AC26" s="641">
        <v>6329.9</v>
      </c>
      <c r="AD26" s="639">
        <v>12228.415000000001</v>
      </c>
      <c r="AE26" s="639">
        <v>10476</v>
      </c>
      <c r="AF26" s="641">
        <v>1716</v>
      </c>
      <c r="AG26" s="639">
        <f>AJ26-AF26</f>
        <v>10119</v>
      </c>
      <c r="AH26" s="639">
        <f>AK26-AG26-AF26</f>
        <v>182553</v>
      </c>
      <c r="AI26" s="639">
        <f>AL26-AH26-AG26-AF26</f>
        <v>44687</v>
      </c>
      <c r="AJ26" s="639">
        <v>11835</v>
      </c>
      <c r="AK26" s="639">
        <v>194388</v>
      </c>
      <c r="AL26" s="639">
        <v>239075</v>
      </c>
      <c r="AM26" s="641">
        <v>109</v>
      </c>
      <c r="AN26" s="639">
        <f t="shared" ref="AN26:AN33" si="102">AQ26-AM26</f>
        <v>498</v>
      </c>
      <c r="AO26" s="639">
        <f t="shared" si="1"/>
        <v>1108</v>
      </c>
      <c r="AP26" s="639">
        <f t="shared" si="1"/>
        <v>774</v>
      </c>
      <c r="AQ26" s="639">
        <v>607</v>
      </c>
      <c r="AR26" s="639">
        <v>1715</v>
      </c>
      <c r="AS26" s="639">
        <v>2489</v>
      </c>
      <c r="AT26" s="641">
        <v>460</v>
      </c>
      <c r="AU26" s="641">
        <f>AX26-AT26</f>
        <v>387</v>
      </c>
      <c r="AV26" s="641">
        <v>820</v>
      </c>
      <c r="AW26" s="641">
        <v>820</v>
      </c>
      <c r="AX26" s="746">
        <v>847</v>
      </c>
      <c r="AY26" s="746">
        <v>1280</v>
      </c>
      <c r="AZ26" s="641">
        <v>2183</v>
      </c>
      <c r="BA26" s="746">
        <v>411</v>
      </c>
      <c r="BB26" s="641">
        <f>BE26-BA26</f>
        <v>557</v>
      </c>
      <c r="BC26" s="641">
        <f>BF26-BE26</f>
        <v>378</v>
      </c>
      <c r="BD26" s="641">
        <f>BG26-BF26</f>
        <v>441</v>
      </c>
      <c r="BE26" s="746">
        <v>968</v>
      </c>
      <c r="BF26" s="746">
        <v>1346</v>
      </c>
      <c r="BG26" s="746">
        <v>1787</v>
      </c>
      <c r="BH26" s="746">
        <v>750</v>
      </c>
      <c r="BI26" s="746">
        <f>BL26-BH26</f>
        <v>678</v>
      </c>
      <c r="BJ26" s="746">
        <f>BM26-BL26</f>
        <v>797</v>
      </c>
      <c r="BK26" s="746">
        <f>BN26-BM26</f>
        <v>691</v>
      </c>
      <c r="BL26" s="746">
        <v>1428</v>
      </c>
      <c r="BM26" s="746">
        <v>2225</v>
      </c>
      <c r="BN26" s="746">
        <v>2916</v>
      </c>
      <c r="BO26" s="746">
        <v>211</v>
      </c>
      <c r="BP26" s="746">
        <f>BS26-BO26</f>
        <v>489</v>
      </c>
      <c r="BQ26" s="746">
        <f>BT26-BS26</f>
        <v>315</v>
      </c>
      <c r="BR26" s="746">
        <f>BU26-BT26</f>
        <v>738</v>
      </c>
      <c r="BS26" s="746">
        <v>700</v>
      </c>
      <c r="BT26" s="746">
        <v>1015</v>
      </c>
      <c r="BU26" s="746">
        <v>1753</v>
      </c>
      <c r="BV26" s="746">
        <v>316</v>
      </c>
      <c r="BW26" s="746">
        <f>BZ26-BV26</f>
        <v>706</v>
      </c>
      <c r="BX26" s="746">
        <f>CA26-BZ26</f>
        <v>473</v>
      </c>
      <c r="BY26" s="746">
        <f>CB26-CA26</f>
        <v>509</v>
      </c>
      <c r="BZ26" s="746">
        <v>1022</v>
      </c>
      <c r="CA26" s="746">
        <v>1495</v>
      </c>
      <c r="CB26" s="746">
        <v>2004</v>
      </c>
      <c r="CC26" s="746">
        <v>480</v>
      </c>
      <c r="CD26" s="746">
        <f>CG26-CC26</f>
        <v>252</v>
      </c>
      <c r="CE26" s="746">
        <f>CH26-CG26</f>
        <v>259</v>
      </c>
      <c r="CF26" s="746">
        <f>CI26-CH26</f>
        <v>376</v>
      </c>
      <c r="CG26" s="746">
        <v>732</v>
      </c>
      <c r="CH26" s="746">
        <v>991</v>
      </c>
      <c r="CI26" s="746">
        <v>1367</v>
      </c>
      <c r="CJ26" s="746">
        <v>190</v>
      </c>
      <c r="CK26" s="746">
        <f>CN26-CJ26</f>
        <v>32</v>
      </c>
      <c r="CL26" s="746"/>
      <c r="CM26" s="746"/>
      <c r="CN26" s="746">
        <v>222</v>
      </c>
      <c r="CO26" s="746"/>
    </row>
    <row r="27" spans="1:93" ht="13" x14ac:dyDescent="0.3">
      <c r="A27" s="525" t="s">
        <v>190</v>
      </c>
      <c r="B27" s="526">
        <f>SUM(B28,B29)</f>
        <v>-726</v>
      </c>
      <c r="C27" s="526">
        <f t="shared" ref="C27:P27" si="103">SUM(C28,C29)</f>
        <v>-727</v>
      </c>
      <c r="D27" s="526">
        <f t="shared" si="103"/>
        <v>-731</v>
      </c>
      <c r="E27" s="637">
        <f t="shared" si="103"/>
        <v>-737</v>
      </c>
      <c r="F27" s="526">
        <f t="shared" si="103"/>
        <v>-739</v>
      </c>
      <c r="G27" s="526">
        <f t="shared" si="103"/>
        <v>-740</v>
      </c>
      <c r="H27" s="526">
        <f t="shared" si="103"/>
        <v>-743</v>
      </c>
      <c r="I27" s="637">
        <f t="shared" si="103"/>
        <v>-751</v>
      </c>
      <c r="J27" s="526">
        <f t="shared" si="103"/>
        <v>-750</v>
      </c>
      <c r="K27" s="526">
        <f t="shared" si="103"/>
        <v>-755.4212</v>
      </c>
      <c r="L27" s="526">
        <f t="shared" si="103"/>
        <v>-794.84220000000028</v>
      </c>
      <c r="M27" s="637">
        <f t="shared" si="103"/>
        <v>-818.73659999999995</v>
      </c>
      <c r="N27" s="526">
        <f t="shared" si="103"/>
        <v>-825</v>
      </c>
      <c r="O27" s="526">
        <f t="shared" si="103"/>
        <v>-824</v>
      </c>
      <c r="P27" s="526">
        <f t="shared" si="103"/>
        <v>-817</v>
      </c>
      <c r="Q27" s="637">
        <f t="shared" ref="Q27:AK27" si="104">Q15</f>
        <v>-816</v>
      </c>
      <c r="R27" s="526">
        <f t="shared" si="104"/>
        <v>-814</v>
      </c>
      <c r="S27" s="526">
        <f t="shared" si="104"/>
        <v>-802</v>
      </c>
      <c r="T27" s="526">
        <f t="shared" si="104"/>
        <v>-788</v>
      </c>
      <c r="U27" s="526">
        <f t="shared" si="104"/>
        <v>-837</v>
      </c>
      <c r="V27" s="526">
        <f t="shared" si="104"/>
        <v>-1616</v>
      </c>
      <c r="W27" s="526">
        <f t="shared" si="104"/>
        <v>-2404</v>
      </c>
      <c r="X27" s="637">
        <f t="shared" si="104"/>
        <v>-3241</v>
      </c>
      <c r="Y27" s="527">
        <f t="shared" si="104"/>
        <v>-1482</v>
      </c>
      <c r="Z27" s="526">
        <f t="shared" si="104"/>
        <v>-1481</v>
      </c>
      <c r="AA27" s="526">
        <f t="shared" si="104"/>
        <v>-1471</v>
      </c>
      <c r="AB27" s="526">
        <f t="shared" si="104"/>
        <v>-1986</v>
      </c>
      <c r="AC27" s="527">
        <f t="shared" si="104"/>
        <v>-2963</v>
      </c>
      <c r="AD27" s="526">
        <f t="shared" si="104"/>
        <v>-4434</v>
      </c>
      <c r="AE27" s="526">
        <f t="shared" si="104"/>
        <v>-6420</v>
      </c>
      <c r="AF27" s="527">
        <f t="shared" si="104"/>
        <v>-1613</v>
      </c>
      <c r="AG27" s="526">
        <f t="shared" si="104"/>
        <v>-1350</v>
      </c>
      <c r="AH27" s="526">
        <f t="shared" si="104"/>
        <v>-1372</v>
      </c>
      <c r="AI27" s="526">
        <f t="shared" si="104"/>
        <v>-904</v>
      </c>
      <c r="AJ27" s="526">
        <f t="shared" si="104"/>
        <v>-2963</v>
      </c>
      <c r="AK27" s="526">
        <f t="shared" si="104"/>
        <v>-4335</v>
      </c>
      <c r="AL27" s="526">
        <f>SUM(AL28:AL29)</f>
        <v>-5239</v>
      </c>
      <c r="AM27" s="527">
        <f>SUM(AM28:AM29)</f>
        <v>-902</v>
      </c>
      <c r="AN27" s="526">
        <f t="shared" si="102"/>
        <v>-972</v>
      </c>
      <c r="AO27" s="526">
        <f t="shared" si="1"/>
        <v>-1781</v>
      </c>
      <c r="AP27" s="526">
        <f t="shared" si="1"/>
        <v>-1230</v>
      </c>
      <c r="AQ27" s="526">
        <f>SUM(AQ28:AQ29)</f>
        <v>-1874</v>
      </c>
      <c r="AR27" s="526">
        <f>SUM(AR28:AR29)</f>
        <v>-3655</v>
      </c>
      <c r="AS27" s="526">
        <f>SUM(AS28:AS29)</f>
        <v>-4885</v>
      </c>
      <c r="AT27" s="527">
        <f>SUM(AT28:AT29)</f>
        <v>-689</v>
      </c>
      <c r="AU27" s="527">
        <f>SUM(AU28:AU29)</f>
        <v>-683</v>
      </c>
      <c r="AV27" s="527">
        <f t="shared" ref="AV27:AZ27" si="105">SUM(AV28:AV29)</f>
        <v>-376</v>
      </c>
      <c r="AW27" s="527">
        <f t="shared" ref="AW27" si="106">SUM(AW28:AW29)</f>
        <v>-1781</v>
      </c>
      <c r="AX27" s="527">
        <f>SUM(AX28:AX29)</f>
        <v>-1372</v>
      </c>
      <c r="AY27" s="527">
        <f t="shared" si="105"/>
        <v>-1308</v>
      </c>
      <c r="AZ27" s="527">
        <f t="shared" si="105"/>
        <v>-2620</v>
      </c>
      <c r="BA27" s="527">
        <f t="shared" ref="BA27:BD27" si="107">SUM(BA28:BA29)</f>
        <v>-644</v>
      </c>
      <c r="BB27" s="527">
        <f t="shared" si="107"/>
        <v>-448</v>
      </c>
      <c r="BC27" s="527">
        <f t="shared" si="107"/>
        <v>-345</v>
      </c>
      <c r="BD27" s="527">
        <f t="shared" si="107"/>
        <v>-688</v>
      </c>
      <c r="BE27" s="527">
        <f t="shared" ref="BE27:BF27" si="108">SUM(BE28:BE29)</f>
        <v>-1092</v>
      </c>
      <c r="BF27" s="527">
        <f t="shared" si="108"/>
        <v>-1437</v>
      </c>
      <c r="BG27" s="527">
        <f t="shared" ref="BG27:BH27" si="109">SUM(BG28:BG29)</f>
        <v>-2125</v>
      </c>
      <c r="BH27" s="527">
        <f t="shared" si="109"/>
        <v>-609</v>
      </c>
      <c r="BI27" s="527">
        <f t="shared" ref="BI27:BL27" si="110">SUM(BI28:BI29)</f>
        <v>-697</v>
      </c>
      <c r="BJ27" s="527">
        <f t="shared" si="110"/>
        <v>-600</v>
      </c>
      <c r="BK27" s="527">
        <f t="shared" si="110"/>
        <v>-635</v>
      </c>
      <c r="BL27" s="527">
        <f t="shared" si="110"/>
        <v>-1306</v>
      </c>
      <c r="BM27" s="527">
        <f t="shared" ref="BM27:BN27" si="111">SUM(BM28:BM29)</f>
        <v>-1906</v>
      </c>
      <c r="BN27" s="527">
        <f t="shared" si="111"/>
        <v>-2541</v>
      </c>
      <c r="BO27" s="527">
        <f t="shared" ref="BO27:BS27" si="112">SUM(BO28:BO29)</f>
        <v>-634</v>
      </c>
      <c r="BP27" s="527">
        <f t="shared" si="112"/>
        <v>-659</v>
      </c>
      <c r="BQ27" s="527">
        <f t="shared" si="112"/>
        <v>-635</v>
      </c>
      <c r="BR27" s="527">
        <f t="shared" si="112"/>
        <v>-566</v>
      </c>
      <c r="BS27" s="527">
        <f t="shared" si="112"/>
        <v>-1293</v>
      </c>
      <c r="BT27" s="527">
        <f t="shared" ref="BT27:BU27" si="113">SUM(BT28:BT29)</f>
        <v>-1928</v>
      </c>
      <c r="BU27" s="527">
        <f t="shared" si="113"/>
        <v>-2494</v>
      </c>
      <c r="BV27" s="527">
        <f t="shared" ref="BV27:BW27" si="114">SUM(BV28:BV29)</f>
        <v>-732</v>
      </c>
      <c r="BW27" s="527">
        <f t="shared" si="114"/>
        <v>-744</v>
      </c>
      <c r="BX27" s="527">
        <f t="shared" ref="BX27:BZ27" si="115">SUM(BX28:BX29)</f>
        <v>-799</v>
      </c>
      <c r="BY27" s="527">
        <f t="shared" si="115"/>
        <v>-703</v>
      </c>
      <c r="BZ27" s="527">
        <f t="shared" si="115"/>
        <v>-1476</v>
      </c>
      <c r="CA27" s="527">
        <f t="shared" ref="CA27:CB27" si="116">SUM(CA28:CA29)</f>
        <v>-2275</v>
      </c>
      <c r="CB27" s="527">
        <f t="shared" si="116"/>
        <v>-2978</v>
      </c>
      <c r="CC27" s="527">
        <f t="shared" ref="CC27:CD27" si="117">SUM(CC28:CC29)</f>
        <v>-670.37681999999995</v>
      </c>
      <c r="CD27" s="527">
        <f t="shared" si="117"/>
        <v>-648.62318000000005</v>
      </c>
      <c r="CE27" s="527">
        <f t="shared" ref="CE27:CF27" si="118">SUM(CE28:CE29)</f>
        <v>-464</v>
      </c>
      <c r="CF27" s="527">
        <f t="shared" si="118"/>
        <v>-447</v>
      </c>
      <c r="CG27" s="527">
        <f t="shared" ref="CG27:CH27" si="119">SUM(CG28:CG29)</f>
        <v>-1319</v>
      </c>
      <c r="CH27" s="527">
        <f t="shared" si="119"/>
        <v>-1783</v>
      </c>
      <c r="CI27" s="527">
        <f t="shared" ref="CI27" si="120">SUM(CI28:CI29)</f>
        <v>-2230</v>
      </c>
      <c r="CJ27" s="527">
        <v>-225.02009000000544</v>
      </c>
      <c r="CK27" s="527">
        <f t="shared" ref="CK27:CO27" si="121">SUM(CK28:CK29)</f>
        <v>-233.97990999999456</v>
      </c>
      <c r="CL27" s="527">
        <f t="shared" si="121"/>
        <v>0</v>
      </c>
      <c r="CM27" s="527">
        <f t="shared" si="121"/>
        <v>0</v>
      </c>
      <c r="CN27" s="527">
        <f t="shared" si="121"/>
        <v>-459</v>
      </c>
      <c r="CO27" s="527">
        <f t="shared" si="121"/>
        <v>0</v>
      </c>
    </row>
    <row r="28" spans="1:93" x14ac:dyDescent="0.25">
      <c r="A28" s="708" t="s">
        <v>87</v>
      </c>
      <c r="B28" s="280">
        <v>-726</v>
      </c>
      <c r="C28" s="280">
        <v>-727</v>
      </c>
      <c r="D28" s="280">
        <v>-731</v>
      </c>
      <c r="E28" s="416">
        <v>-737</v>
      </c>
      <c r="F28" s="280">
        <v>-739</v>
      </c>
      <c r="G28" s="280">
        <v>-740</v>
      </c>
      <c r="H28" s="280">
        <v>-743</v>
      </c>
      <c r="I28" s="416">
        <v>-751</v>
      </c>
      <c r="J28" s="280">
        <v>-750</v>
      </c>
      <c r="K28" s="280">
        <v>-755.4212</v>
      </c>
      <c r="L28" s="280">
        <v>-794.84220000000028</v>
      </c>
      <c r="M28" s="416">
        <v>-818.73659999999995</v>
      </c>
      <c r="N28" s="280">
        <v>-825</v>
      </c>
      <c r="O28" s="280">
        <v>-824</v>
      </c>
      <c r="P28" s="280">
        <v>977</v>
      </c>
      <c r="Q28" s="416"/>
      <c r="R28" s="280">
        <v>-216</v>
      </c>
      <c r="S28" s="280">
        <v>-204</v>
      </c>
      <c r="T28" s="280">
        <f t="shared" ref="T28:T29" si="122">W28-S28-R28</f>
        <v>-190</v>
      </c>
      <c r="U28" s="280">
        <f t="shared" ref="U28:U29" si="123">X28-T28-S28-R28</f>
        <v>-239</v>
      </c>
      <c r="V28" s="280">
        <f>S28+R28</f>
        <v>-420</v>
      </c>
      <c r="W28" s="280">
        <v>-610</v>
      </c>
      <c r="X28" s="416">
        <v>-849</v>
      </c>
      <c r="Y28" s="279">
        <v>-248</v>
      </c>
      <c r="Z28" s="280">
        <f t="shared" ref="Z28:Z29" si="124">AC28-Y28</f>
        <v>-247</v>
      </c>
      <c r="AA28" s="280">
        <f t="shared" ref="AA28:AA29" si="125">AD28-Z28-Y28</f>
        <v>-237</v>
      </c>
      <c r="AB28" s="280">
        <f t="shared" ref="AB28:AB29" si="126">AE28-AA28-Z28-Y28</f>
        <v>-5245</v>
      </c>
      <c r="AC28" s="279">
        <v>-495</v>
      </c>
      <c r="AD28" s="280">
        <v>-732</v>
      </c>
      <c r="AE28" s="280">
        <v>-5977</v>
      </c>
      <c r="AF28" s="279">
        <v>-379</v>
      </c>
      <c r="AG28" s="280">
        <f>AJ28-AF28</f>
        <v>-373</v>
      </c>
      <c r="AH28" s="280">
        <f t="shared" ref="AH28:AH29" si="127">AK28-AG28-AF28</f>
        <v>-3583</v>
      </c>
      <c r="AI28" s="280">
        <f t="shared" ref="AI28:AI29" si="128">AL28-AH28-AG28-AF28</f>
        <v>-904</v>
      </c>
      <c r="AJ28" s="280">
        <v>-752</v>
      </c>
      <c r="AK28" s="280">
        <v>-4335</v>
      </c>
      <c r="AL28" s="280">
        <f>AL15</f>
        <v>-5239</v>
      </c>
      <c r="AM28" s="279">
        <v>-837</v>
      </c>
      <c r="AN28" s="280">
        <f t="shared" si="102"/>
        <v>256</v>
      </c>
      <c r="AO28" s="280">
        <f t="shared" si="1"/>
        <v>-1135</v>
      </c>
      <c r="AP28" s="280">
        <f t="shared" si="1"/>
        <v>-583</v>
      </c>
      <c r="AQ28" s="280">
        <f t="shared" ref="AQ28:AY28" si="129">AQ15-AQ29</f>
        <v>-581</v>
      </c>
      <c r="AR28" s="280">
        <f t="shared" si="129"/>
        <v>-1716</v>
      </c>
      <c r="AS28" s="280">
        <f t="shared" si="129"/>
        <v>-2299</v>
      </c>
      <c r="AT28" s="279">
        <f t="shared" si="129"/>
        <v>-689</v>
      </c>
      <c r="AU28" s="279">
        <f t="shared" si="129"/>
        <v>-567</v>
      </c>
      <c r="AV28" s="279">
        <f t="shared" si="129"/>
        <v>-492</v>
      </c>
      <c r="AW28" s="279">
        <f t="shared" si="129"/>
        <v>-1781</v>
      </c>
      <c r="AX28" s="279">
        <f t="shared" si="129"/>
        <v>-1256</v>
      </c>
      <c r="AY28" s="279">
        <f t="shared" si="129"/>
        <v>-1308</v>
      </c>
      <c r="AZ28" s="279">
        <f>AZ15</f>
        <v>-2620</v>
      </c>
      <c r="BA28" s="279">
        <f>BA15</f>
        <v>-644</v>
      </c>
      <c r="BB28" s="279">
        <f>BB15</f>
        <v>-448</v>
      </c>
      <c r="BC28" s="279">
        <f>BF28-BE28</f>
        <v>-345</v>
      </c>
      <c r="BD28" s="279">
        <f>BG28-BF28</f>
        <v>-688</v>
      </c>
      <c r="BE28" s="279">
        <f t="shared" ref="BE28:BS28" si="130">BE15</f>
        <v>-1092</v>
      </c>
      <c r="BF28" s="279">
        <f t="shared" si="130"/>
        <v>-1437</v>
      </c>
      <c r="BG28" s="279">
        <f t="shared" si="130"/>
        <v>-2125</v>
      </c>
      <c r="BH28" s="279">
        <f t="shared" si="130"/>
        <v>-609</v>
      </c>
      <c r="BI28" s="279">
        <f t="shared" si="130"/>
        <v>-697</v>
      </c>
      <c r="BJ28" s="279">
        <f t="shared" si="130"/>
        <v>-600</v>
      </c>
      <c r="BK28" s="279">
        <f t="shared" si="130"/>
        <v>-635</v>
      </c>
      <c r="BL28" s="279">
        <f t="shared" si="130"/>
        <v>-1306</v>
      </c>
      <c r="BM28" s="279">
        <f t="shared" si="130"/>
        <v>-1906</v>
      </c>
      <c r="BN28" s="279">
        <f t="shared" si="130"/>
        <v>-2541</v>
      </c>
      <c r="BO28" s="279">
        <f t="shared" si="130"/>
        <v>-634</v>
      </c>
      <c r="BP28" s="279">
        <f t="shared" si="130"/>
        <v>-659</v>
      </c>
      <c r="BQ28" s="279">
        <f>BQ15</f>
        <v>-635</v>
      </c>
      <c r="BR28" s="279">
        <f t="shared" si="130"/>
        <v>-566</v>
      </c>
      <c r="BS28" s="279">
        <f t="shared" si="130"/>
        <v>-1293</v>
      </c>
      <c r="BT28" s="279">
        <f t="shared" ref="BT28:BU28" si="131">BT15</f>
        <v>-1928</v>
      </c>
      <c r="BU28" s="279">
        <f t="shared" si="131"/>
        <v>-2494</v>
      </c>
      <c r="BV28" s="279">
        <f t="shared" ref="BV28:BW28" si="132">BV15</f>
        <v>-732</v>
      </c>
      <c r="BW28" s="279">
        <f t="shared" si="132"/>
        <v>-744</v>
      </c>
      <c r="BX28" s="279">
        <f t="shared" ref="BX28:BZ28" si="133">BX15</f>
        <v>-799</v>
      </c>
      <c r="BY28" s="279">
        <f t="shared" si="133"/>
        <v>-703</v>
      </c>
      <c r="BZ28" s="279">
        <f t="shared" si="133"/>
        <v>-1476</v>
      </c>
      <c r="CA28" s="279">
        <f t="shared" ref="CA28:CB28" si="134">CA15</f>
        <v>-2275</v>
      </c>
      <c r="CB28" s="279">
        <f t="shared" si="134"/>
        <v>-2978</v>
      </c>
      <c r="CC28" s="279">
        <f t="shared" ref="CC28:CD28" si="135">CC15</f>
        <v>-670.37681999999995</v>
      </c>
      <c r="CD28" s="279">
        <f t="shared" si="135"/>
        <v>-648.62318000000005</v>
      </c>
      <c r="CE28" s="279">
        <f>CH28-CG28</f>
        <v>-464</v>
      </c>
      <c r="CF28" s="279">
        <f t="shared" ref="CF28" si="136">CF15</f>
        <v>-447</v>
      </c>
      <c r="CG28" s="279">
        <f t="shared" ref="CG28:CH28" si="137">CG15</f>
        <v>-1319</v>
      </c>
      <c r="CH28" s="279">
        <f t="shared" si="137"/>
        <v>-1783</v>
      </c>
      <c r="CI28" s="279">
        <f t="shared" ref="CI28" si="138">CI15</f>
        <v>-2230</v>
      </c>
      <c r="CJ28" s="279">
        <v>-225.02009000000544</v>
      </c>
      <c r="CK28" s="279">
        <f t="shared" ref="CK28:CO28" si="139">CK15</f>
        <v>-233.97990999999456</v>
      </c>
      <c r="CL28" s="279">
        <f t="shared" si="139"/>
        <v>0</v>
      </c>
      <c r="CM28" s="279">
        <f t="shared" si="139"/>
        <v>0</v>
      </c>
      <c r="CN28" s="279">
        <f t="shared" si="139"/>
        <v>-459</v>
      </c>
      <c r="CO28" s="279">
        <f t="shared" si="139"/>
        <v>0</v>
      </c>
    </row>
    <row r="29" spans="1:93" x14ac:dyDescent="0.25">
      <c r="A29" s="708" t="s">
        <v>204</v>
      </c>
      <c r="B29" s="280">
        <v>0</v>
      </c>
      <c r="C29" s="280">
        <v>0</v>
      </c>
      <c r="D29" s="280">
        <v>0</v>
      </c>
      <c r="E29" s="416">
        <v>0</v>
      </c>
      <c r="F29" s="280">
        <v>0</v>
      </c>
      <c r="G29" s="280">
        <v>0</v>
      </c>
      <c r="H29" s="280">
        <v>0</v>
      </c>
      <c r="I29" s="416">
        <v>0</v>
      </c>
      <c r="J29" s="280">
        <v>0</v>
      </c>
      <c r="K29" s="280">
        <v>0</v>
      </c>
      <c r="L29" s="280">
        <v>0</v>
      </c>
      <c r="M29" s="416">
        <v>0</v>
      </c>
      <c r="N29" s="280">
        <v>0</v>
      </c>
      <c r="O29" s="280">
        <v>0</v>
      </c>
      <c r="P29" s="280">
        <v>-1794</v>
      </c>
      <c r="Q29" s="416"/>
      <c r="R29" s="280">
        <v>-598</v>
      </c>
      <c r="S29" s="280">
        <v>-598</v>
      </c>
      <c r="T29" s="280">
        <f t="shared" si="122"/>
        <v>-598</v>
      </c>
      <c r="U29" s="280">
        <f t="shared" si="123"/>
        <v>-598</v>
      </c>
      <c r="V29" s="280">
        <f>S29+R29</f>
        <v>-1196</v>
      </c>
      <c r="W29" s="280">
        <v>-1794</v>
      </c>
      <c r="X29" s="416">
        <v>-2392</v>
      </c>
      <c r="Y29" s="279">
        <v>-1234</v>
      </c>
      <c r="Z29" s="280">
        <f t="shared" si="124"/>
        <v>-1234</v>
      </c>
      <c r="AA29" s="280">
        <f t="shared" si="125"/>
        <v>-1234</v>
      </c>
      <c r="AB29" s="280">
        <f t="shared" si="126"/>
        <v>3259</v>
      </c>
      <c r="AC29" s="279">
        <v>-2468</v>
      </c>
      <c r="AD29" s="280">
        <v>-3702</v>
      </c>
      <c r="AE29" s="280">
        <v>-443</v>
      </c>
      <c r="AF29" s="279">
        <v>-1234</v>
      </c>
      <c r="AG29" s="280">
        <f>AJ29-AF29</f>
        <v>-1446</v>
      </c>
      <c r="AH29" s="280">
        <f t="shared" si="127"/>
        <v>2680</v>
      </c>
      <c r="AI29" s="280">
        <f t="shared" si="128"/>
        <v>0</v>
      </c>
      <c r="AJ29" s="280">
        <v>-2680</v>
      </c>
      <c r="AK29" s="280">
        <v>0</v>
      </c>
      <c r="AL29" s="280">
        <v>0</v>
      </c>
      <c r="AM29" s="279">
        <v>-65</v>
      </c>
      <c r="AN29" s="280">
        <f t="shared" si="102"/>
        <v>-1228</v>
      </c>
      <c r="AO29" s="280">
        <f t="shared" si="1"/>
        <v>-646</v>
      </c>
      <c r="AP29" s="280">
        <f t="shared" si="1"/>
        <v>-647</v>
      </c>
      <c r="AQ29" s="280">
        <v>-1293</v>
      </c>
      <c r="AR29" s="280">
        <v>-1939</v>
      </c>
      <c r="AS29" s="280">
        <v>-2586</v>
      </c>
      <c r="AT29" s="279">
        <v>0</v>
      </c>
      <c r="AU29" s="279">
        <f>AX29-AT29</f>
        <v>-116</v>
      </c>
      <c r="AV29" s="279">
        <f>AY29-AX29</f>
        <v>116</v>
      </c>
      <c r="AW29" s="279">
        <f>AZ29-AY29</f>
        <v>0</v>
      </c>
      <c r="AX29" s="279">
        <v>-116</v>
      </c>
      <c r="AY29" s="279">
        <v>0</v>
      </c>
      <c r="AZ29" s="279">
        <v>0</v>
      </c>
      <c r="BA29" s="559">
        <v>0</v>
      </c>
      <c r="BB29" s="279">
        <v>0</v>
      </c>
      <c r="BC29" s="279">
        <v>0</v>
      </c>
      <c r="BD29" s="279">
        <v>0</v>
      </c>
      <c r="BE29" s="279">
        <v>0</v>
      </c>
      <c r="BF29" s="279">
        <v>0</v>
      </c>
      <c r="BG29" s="279">
        <v>0</v>
      </c>
      <c r="BH29" s="279"/>
      <c r="BI29" s="279"/>
      <c r="BJ29" s="279"/>
      <c r="BK29" s="279"/>
      <c r="BL29" s="279">
        <v>0</v>
      </c>
      <c r="BM29" s="279">
        <v>0</v>
      </c>
      <c r="BN29" s="279">
        <v>0</v>
      </c>
      <c r="BO29" s="279">
        <v>0</v>
      </c>
      <c r="BP29" s="279">
        <v>0</v>
      </c>
      <c r="BQ29" s="279">
        <f>BT29-BS29</f>
        <v>0</v>
      </c>
      <c r="BR29" s="279">
        <f>BU29-BT29</f>
        <v>0</v>
      </c>
      <c r="BS29" s="279">
        <v>0</v>
      </c>
      <c r="BT29" s="279">
        <v>0</v>
      </c>
      <c r="BU29" s="279">
        <v>0</v>
      </c>
      <c r="BV29" s="279">
        <v>0</v>
      </c>
      <c r="BW29" s="279"/>
      <c r="BX29" s="279"/>
      <c r="BY29" s="279"/>
      <c r="BZ29" s="279"/>
      <c r="CA29" s="279"/>
      <c r="CB29" s="279"/>
      <c r="CC29" s="279"/>
      <c r="CD29" s="279"/>
      <c r="CE29" s="279"/>
      <c r="CF29" s="279"/>
      <c r="CG29" s="279"/>
      <c r="CH29" s="279"/>
      <c r="CI29" s="279"/>
      <c r="CJ29" s="279"/>
      <c r="CK29" s="279"/>
      <c r="CL29" s="279"/>
      <c r="CM29" s="279"/>
      <c r="CN29" s="279"/>
      <c r="CO29" s="279"/>
    </row>
    <row r="30" spans="1:93" ht="13" x14ac:dyDescent="0.3">
      <c r="A30" s="525" t="s">
        <v>194</v>
      </c>
      <c r="B30" s="526">
        <f>SUM(B31,B32)</f>
        <v>-9579</v>
      </c>
      <c r="C30" s="526">
        <f t="shared" ref="C30:AQ30" si="140">SUM(C31,C32)</f>
        <v>-9983</v>
      </c>
      <c r="D30" s="526">
        <f t="shared" si="140"/>
        <v>-3620</v>
      </c>
      <c r="E30" s="637">
        <f t="shared" si="140"/>
        <v>-14385</v>
      </c>
      <c r="F30" s="526">
        <f t="shared" si="140"/>
        <v>-14789</v>
      </c>
      <c r="G30" s="526">
        <f t="shared" si="140"/>
        <v>-7163</v>
      </c>
      <c r="H30" s="526">
        <f t="shared" si="140"/>
        <v>-16492</v>
      </c>
      <c r="I30" s="637">
        <f t="shared" si="140"/>
        <v>-15358</v>
      </c>
      <c r="J30" s="526">
        <f t="shared" si="140"/>
        <v>-27121</v>
      </c>
      <c r="K30" s="526">
        <f t="shared" si="140"/>
        <v>-17103.228599999999</v>
      </c>
      <c r="L30" s="526">
        <f t="shared" si="140"/>
        <v>-16278.004399999998</v>
      </c>
      <c r="M30" s="637">
        <f t="shared" si="140"/>
        <v>-34502.767000000022</v>
      </c>
      <c r="N30" s="526">
        <f t="shared" si="140"/>
        <v>-38966</v>
      </c>
      <c r="O30" s="526">
        <f t="shared" si="140"/>
        <v>-41902</v>
      </c>
      <c r="P30" s="526">
        <f t="shared" si="140"/>
        <v>-34301</v>
      </c>
      <c r="Q30" s="637">
        <f t="shared" si="140"/>
        <v>-41618</v>
      </c>
      <c r="R30" s="526">
        <f t="shared" si="140"/>
        <v>-49039</v>
      </c>
      <c r="S30" s="526">
        <f t="shared" si="140"/>
        <v>-54708</v>
      </c>
      <c r="T30" s="526">
        <f t="shared" si="140"/>
        <v>-47224</v>
      </c>
      <c r="U30" s="526">
        <f t="shared" si="140"/>
        <v>-93023</v>
      </c>
      <c r="V30" s="526">
        <f t="shared" si="140"/>
        <v>-103747</v>
      </c>
      <c r="W30" s="526">
        <f t="shared" si="140"/>
        <v>-150971</v>
      </c>
      <c r="X30" s="637">
        <f t="shared" si="140"/>
        <v>-243994</v>
      </c>
      <c r="Y30" s="527">
        <f t="shared" si="140"/>
        <v>-21621</v>
      </c>
      <c r="Z30" s="526">
        <f t="shared" si="140"/>
        <v>-18097</v>
      </c>
      <c r="AA30" s="526">
        <f t="shared" si="140"/>
        <v>-29982</v>
      </c>
      <c r="AB30" s="526">
        <f t="shared" si="140"/>
        <v>-43760</v>
      </c>
      <c r="AC30" s="527">
        <f t="shared" si="140"/>
        <v>-39718</v>
      </c>
      <c r="AD30" s="526">
        <f t="shared" si="140"/>
        <v>-69700</v>
      </c>
      <c r="AE30" s="526">
        <f t="shared" si="140"/>
        <v>-113460</v>
      </c>
      <c r="AF30" s="527">
        <f t="shared" si="140"/>
        <v>-34804</v>
      </c>
      <c r="AG30" s="526">
        <f t="shared" si="140"/>
        <v>-59743</v>
      </c>
      <c r="AH30" s="526">
        <f t="shared" si="140"/>
        <v>-3578</v>
      </c>
      <c r="AI30" s="526">
        <f t="shared" si="140"/>
        <v>-29489</v>
      </c>
      <c r="AJ30" s="526">
        <f t="shared" si="140"/>
        <v>-94547</v>
      </c>
      <c r="AK30" s="526">
        <f t="shared" si="140"/>
        <v>-98125</v>
      </c>
      <c r="AL30" s="526">
        <f t="shared" si="140"/>
        <v>-127614</v>
      </c>
      <c r="AM30" s="527">
        <f t="shared" si="140"/>
        <v>10406</v>
      </c>
      <c r="AN30" s="526">
        <f t="shared" si="102"/>
        <v>2569</v>
      </c>
      <c r="AO30" s="526">
        <f t="shared" si="1"/>
        <v>2825</v>
      </c>
      <c r="AP30" s="526">
        <f t="shared" si="1"/>
        <v>-1517</v>
      </c>
      <c r="AQ30" s="526">
        <f t="shared" si="140"/>
        <v>12975</v>
      </c>
      <c r="AR30" s="526">
        <f>SUM(AR31:AR32)</f>
        <v>15800</v>
      </c>
      <c r="AS30" s="526">
        <f>SUM(AS31:AS32)</f>
        <v>14283</v>
      </c>
      <c r="AT30" s="527">
        <f>SUM(AT31:AT32)</f>
        <v>-2054</v>
      </c>
      <c r="AU30" s="527">
        <f>SUM(AU31:AU32)</f>
        <v>1810</v>
      </c>
      <c r="AV30" s="527">
        <f t="shared" ref="AV30:AZ30" si="141">SUM(AV31:AV32)</f>
        <v>-2478</v>
      </c>
      <c r="AW30" s="527">
        <f t="shared" ref="AW30" si="142">SUM(AW31:AW32)</f>
        <v>2825</v>
      </c>
      <c r="AX30" s="527">
        <f t="shared" si="141"/>
        <v>-244</v>
      </c>
      <c r="AY30" s="527">
        <f t="shared" si="141"/>
        <v>-3238</v>
      </c>
      <c r="AZ30" s="527">
        <f t="shared" si="141"/>
        <v>-5769</v>
      </c>
      <c r="BA30" s="527">
        <f t="shared" ref="BA30:BD30" si="143">SUM(BA31:BA32)</f>
        <v>-3703</v>
      </c>
      <c r="BB30" s="527">
        <f t="shared" si="143"/>
        <v>328</v>
      </c>
      <c r="BC30" s="527">
        <f t="shared" si="143"/>
        <v>-4745</v>
      </c>
      <c r="BD30" s="527">
        <f t="shared" si="143"/>
        <v>50479</v>
      </c>
      <c r="BE30" s="527">
        <f t="shared" ref="BE30:BF30" si="144">SUM(BE31:BE32)</f>
        <v>-3375</v>
      </c>
      <c r="BF30" s="527">
        <f t="shared" si="144"/>
        <v>-8120</v>
      </c>
      <c r="BG30" s="527">
        <f t="shared" ref="BG30:BH30" si="145">SUM(BG31:BG32)</f>
        <v>42359</v>
      </c>
      <c r="BH30" s="527">
        <f t="shared" si="145"/>
        <v>-1555</v>
      </c>
      <c r="BI30" s="527">
        <f t="shared" ref="BI30:BL30" si="146">SUM(BI31:BI32)</f>
        <v>20909</v>
      </c>
      <c r="BJ30" s="527">
        <f t="shared" si="146"/>
        <v>3862</v>
      </c>
      <c r="BK30" s="527">
        <f t="shared" si="146"/>
        <v>9483</v>
      </c>
      <c r="BL30" s="527">
        <f t="shared" si="146"/>
        <v>19354</v>
      </c>
      <c r="BM30" s="527">
        <f t="shared" ref="BM30:BN30" si="147">SUM(BM31:BM32)</f>
        <v>23216</v>
      </c>
      <c r="BN30" s="527">
        <f t="shared" si="147"/>
        <v>32699</v>
      </c>
      <c r="BO30" s="527">
        <f t="shared" ref="BO30:BS30" si="148">SUM(BO31:BO32)</f>
        <v>-414</v>
      </c>
      <c r="BP30" s="527">
        <f t="shared" si="148"/>
        <v>537</v>
      </c>
      <c r="BQ30" s="527">
        <f t="shared" si="148"/>
        <v>-981</v>
      </c>
      <c r="BR30" s="527">
        <f t="shared" si="148"/>
        <v>5316</v>
      </c>
      <c r="BS30" s="527">
        <f t="shared" si="148"/>
        <v>123</v>
      </c>
      <c r="BT30" s="527">
        <f t="shared" ref="BT30:BU30" si="149">SUM(BT31:BT32)</f>
        <v>-858</v>
      </c>
      <c r="BU30" s="527">
        <f t="shared" si="149"/>
        <v>4458</v>
      </c>
      <c r="BV30" s="527">
        <f t="shared" ref="BV30:BW30" si="150">SUM(BV31:BV32)</f>
        <v>1954</v>
      </c>
      <c r="BW30" s="527">
        <f t="shared" si="150"/>
        <v>1947</v>
      </c>
      <c r="BX30" s="527">
        <f t="shared" ref="BX30:BZ30" si="151">SUM(BX31:BX32)</f>
        <v>808</v>
      </c>
      <c r="BY30" s="527">
        <f t="shared" si="151"/>
        <v>202</v>
      </c>
      <c r="BZ30" s="527">
        <f t="shared" si="151"/>
        <v>3901</v>
      </c>
      <c r="CA30" s="527">
        <f t="shared" ref="CA30:CB30" si="152">SUM(CA31:CA32)</f>
        <v>4709</v>
      </c>
      <c r="CB30" s="527">
        <f t="shared" si="152"/>
        <v>4911</v>
      </c>
      <c r="CC30" s="527">
        <f t="shared" ref="CC30:CD30" si="153">SUM(CC31:CC32)</f>
        <v>-553.6878399999996</v>
      </c>
      <c r="CD30" s="527">
        <f t="shared" si="153"/>
        <v>577.6878399999996</v>
      </c>
      <c r="CE30" s="527">
        <f t="shared" ref="CE30:CF30" si="154">SUM(CE31:CE32)</f>
        <v>133</v>
      </c>
      <c r="CF30" s="527">
        <f t="shared" si="154"/>
        <v>70520</v>
      </c>
      <c r="CG30" s="527">
        <f t="shared" ref="CG30:CH30" si="155">SUM(CG31:CG32)</f>
        <v>24</v>
      </c>
      <c r="CH30" s="527">
        <f t="shared" si="155"/>
        <v>157</v>
      </c>
      <c r="CI30" s="527">
        <f t="shared" ref="CI30" si="156">SUM(CI31:CI32)</f>
        <v>70677</v>
      </c>
      <c r="CJ30" s="527">
        <v>4856.6367599999994</v>
      </c>
      <c r="CK30" s="527">
        <f t="shared" ref="CK30:CO30" si="157">SUM(CK31:CK32)</f>
        <v>2163.3632400000001</v>
      </c>
      <c r="CL30" s="527">
        <f t="shared" si="157"/>
        <v>0</v>
      </c>
      <c r="CM30" s="527">
        <f t="shared" si="157"/>
        <v>0</v>
      </c>
      <c r="CN30" s="527">
        <f t="shared" si="157"/>
        <v>7020</v>
      </c>
      <c r="CO30" s="527">
        <f t="shared" si="157"/>
        <v>0</v>
      </c>
    </row>
    <row r="31" spans="1:93" x14ac:dyDescent="0.25">
      <c r="A31" s="703" t="s">
        <v>205</v>
      </c>
      <c r="B31" s="280">
        <v>1172</v>
      </c>
      <c r="C31" s="280">
        <v>1182</v>
      </c>
      <c r="D31" s="280">
        <v>4443</v>
      </c>
      <c r="E31" s="416">
        <v>9687</v>
      </c>
      <c r="F31" s="280">
        <v>380</v>
      </c>
      <c r="G31" s="280">
        <v>9075</v>
      </c>
      <c r="H31" s="280">
        <v>1916</v>
      </c>
      <c r="I31" s="416">
        <v>13115</v>
      </c>
      <c r="J31" s="280">
        <v>2198</v>
      </c>
      <c r="K31" s="280">
        <v>9311.8814999999995</v>
      </c>
      <c r="L31" s="280">
        <v>6890.5285000000003</v>
      </c>
      <c r="M31" s="416">
        <v>4591.59</v>
      </c>
      <c r="N31" s="280">
        <v>3021</v>
      </c>
      <c r="O31" s="280">
        <v>2695</v>
      </c>
      <c r="P31" s="280">
        <v>2574</v>
      </c>
      <c r="Q31" s="416">
        <v>2157</v>
      </c>
      <c r="R31" s="280">
        <v>5479</v>
      </c>
      <c r="S31" s="280">
        <v>1135</v>
      </c>
      <c r="T31" s="280">
        <f t="shared" ref="T31:T33" si="158">W31-S31-R31</f>
        <v>2196</v>
      </c>
      <c r="U31" s="280">
        <f t="shared" ref="U31:U34" si="159">X31-T31-S31-R31</f>
        <v>2725</v>
      </c>
      <c r="V31" s="280">
        <f>S31+R31</f>
        <v>6614</v>
      </c>
      <c r="W31" s="280">
        <v>8810</v>
      </c>
      <c r="X31" s="416">
        <v>11535</v>
      </c>
      <c r="Y31" s="279">
        <v>6974</v>
      </c>
      <c r="Z31" s="280">
        <f t="shared" ref="Z31:Z34" si="160">AC31-Y31</f>
        <v>-1484</v>
      </c>
      <c r="AA31" s="280">
        <f t="shared" ref="AA31:AA34" si="161">AD31-Z31-Y31</f>
        <v>32190</v>
      </c>
      <c r="AB31" s="280">
        <f t="shared" ref="AB31:AB34" si="162">AE31-AA31-Z31-Y31</f>
        <v>20443</v>
      </c>
      <c r="AC31" s="279">
        <v>5490</v>
      </c>
      <c r="AD31" s="280">
        <v>37680</v>
      </c>
      <c r="AE31" s="280">
        <v>58123</v>
      </c>
      <c r="AF31" s="279">
        <v>12229</v>
      </c>
      <c r="AG31" s="280">
        <f>AJ31-AF31</f>
        <v>9896</v>
      </c>
      <c r="AH31" s="280">
        <f t="shared" ref="AH31:AH34" si="163">AK31-AG31-AF31</f>
        <v>4371</v>
      </c>
      <c r="AI31" s="280">
        <f t="shared" ref="AI31:AI34" si="164">AL31-AH31-AG31-AF31</f>
        <v>-30312</v>
      </c>
      <c r="AJ31" s="280">
        <v>22125</v>
      </c>
      <c r="AK31" s="280">
        <v>26496</v>
      </c>
      <c r="AL31" s="280">
        <v>-3816</v>
      </c>
      <c r="AM31" s="279">
        <v>21853</v>
      </c>
      <c r="AN31" s="280">
        <f t="shared" si="102"/>
        <v>2329</v>
      </c>
      <c r="AO31" s="280">
        <f t="shared" si="1"/>
        <v>5682</v>
      </c>
      <c r="AP31" s="280">
        <f t="shared" si="1"/>
        <v>1040</v>
      </c>
      <c r="AQ31" s="280">
        <v>24182</v>
      </c>
      <c r="AR31" s="280">
        <v>29864</v>
      </c>
      <c r="AS31" s="280">
        <v>30904</v>
      </c>
      <c r="AT31" s="559">
        <v>2281</v>
      </c>
      <c r="AU31" s="279">
        <v>5764</v>
      </c>
      <c r="AV31" s="279">
        <v>3269</v>
      </c>
      <c r="AW31" s="279">
        <v>5682</v>
      </c>
      <c r="AX31" s="279">
        <v>8045</v>
      </c>
      <c r="AY31" s="279">
        <v>11386</v>
      </c>
      <c r="AZ31" s="279">
        <v>13351</v>
      </c>
      <c r="BA31" s="279">
        <v>1581</v>
      </c>
      <c r="BB31" s="279">
        <f>BE31-BA31</f>
        <v>1881</v>
      </c>
      <c r="BC31" s="279">
        <f t="shared" ref="BC31:BD33" si="165">BF31-BE31</f>
        <v>864</v>
      </c>
      <c r="BD31" s="279">
        <f t="shared" si="165"/>
        <v>57286</v>
      </c>
      <c r="BE31" s="279">
        <v>3462</v>
      </c>
      <c r="BF31" s="559">
        <v>4326</v>
      </c>
      <c r="BG31" s="559">
        <v>61612</v>
      </c>
      <c r="BH31" s="559">
        <v>575</v>
      </c>
      <c r="BI31" s="559">
        <f>BL31-BH31</f>
        <v>24146</v>
      </c>
      <c r="BJ31" s="559">
        <f t="shared" ref="BJ31:BK33" si="166">BM31-BL31</f>
        <v>806</v>
      </c>
      <c r="BK31" s="559">
        <f t="shared" si="166"/>
        <v>11913</v>
      </c>
      <c r="BL31" s="559">
        <v>24721</v>
      </c>
      <c r="BM31" s="559">
        <v>25527</v>
      </c>
      <c r="BN31" s="559">
        <v>37440</v>
      </c>
      <c r="BO31" s="559">
        <v>1260</v>
      </c>
      <c r="BP31" s="559">
        <f>BS31-BO31</f>
        <v>3337</v>
      </c>
      <c r="BQ31" s="559">
        <f t="shared" ref="BQ31:BR34" si="167">BT31-BS31</f>
        <v>1241</v>
      </c>
      <c r="BR31" s="559">
        <f t="shared" si="167"/>
        <v>2629</v>
      </c>
      <c r="BS31" s="559">
        <v>4597</v>
      </c>
      <c r="BT31" s="559">
        <v>5838</v>
      </c>
      <c r="BU31" s="559">
        <v>8467</v>
      </c>
      <c r="BV31" s="559">
        <v>1098</v>
      </c>
      <c r="BW31" s="559">
        <f>BZ31-BV31</f>
        <v>1247</v>
      </c>
      <c r="BX31" s="559">
        <f t="shared" ref="BX31:BY33" si="168">CA31-BZ31</f>
        <v>1626</v>
      </c>
      <c r="BY31" s="559">
        <f t="shared" si="168"/>
        <v>1205</v>
      </c>
      <c r="BZ31" s="559">
        <v>2345</v>
      </c>
      <c r="CA31" s="559">
        <v>3971</v>
      </c>
      <c r="CB31" s="559">
        <v>5176</v>
      </c>
      <c r="CC31" s="559">
        <v>4583.2779099999998</v>
      </c>
      <c r="CD31" s="559">
        <f>CG31-CC31</f>
        <v>2408.7220900000002</v>
      </c>
      <c r="CE31" s="559">
        <f t="shared" ref="CE31:CF33" si="169">CH31-CG31</f>
        <v>3061</v>
      </c>
      <c r="CF31" s="559">
        <f t="shared" si="169"/>
        <v>64617</v>
      </c>
      <c r="CG31" s="559">
        <v>6992</v>
      </c>
      <c r="CH31" s="559">
        <v>10053</v>
      </c>
      <c r="CI31" s="559">
        <v>74670</v>
      </c>
      <c r="CJ31" s="559">
        <v>5180.1022499999999</v>
      </c>
      <c r="CK31" s="559">
        <f>CN31-CJ31</f>
        <v>662.89775000000009</v>
      </c>
      <c r="CL31" s="559"/>
      <c r="CM31" s="559"/>
      <c r="CN31" s="559">
        <v>5843</v>
      </c>
      <c r="CO31" s="559"/>
    </row>
    <row r="32" spans="1:93" x14ac:dyDescent="0.25">
      <c r="A32" s="709" t="s">
        <v>206</v>
      </c>
      <c r="B32" s="456">
        <v>-10751</v>
      </c>
      <c r="C32" s="456">
        <v>-11165</v>
      </c>
      <c r="D32" s="456">
        <v>-8063</v>
      </c>
      <c r="E32" s="631">
        <v>-24072</v>
      </c>
      <c r="F32" s="456">
        <v>-15169</v>
      </c>
      <c r="G32" s="456">
        <v>-16238</v>
      </c>
      <c r="H32" s="456">
        <v>-18408</v>
      </c>
      <c r="I32" s="631">
        <v>-28473</v>
      </c>
      <c r="J32" s="456">
        <v>-29319</v>
      </c>
      <c r="K32" s="456">
        <v>-26415.110099999998</v>
      </c>
      <c r="L32" s="456">
        <v>-23168.532899999998</v>
      </c>
      <c r="M32" s="631">
        <v>-39094.357000000018</v>
      </c>
      <c r="N32" s="456">
        <v>-41987</v>
      </c>
      <c r="O32" s="456">
        <v>-44597</v>
      </c>
      <c r="P32" s="456">
        <v>-36875</v>
      </c>
      <c r="Q32" s="631">
        <v>-43775</v>
      </c>
      <c r="R32" s="456">
        <v>-54518</v>
      </c>
      <c r="S32" s="456">
        <v>-55843</v>
      </c>
      <c r="T32" s="456">
        <f t="shared" si="158"/>
        <v>-49420</v>
      </c>
      <c r="U32" s="456">
        <f t="shared" si="159"/>
        <v>-95748</v>
      </c>
      <c r="V32" s="280">
        <f>S32+R32</f>
        <v>-110361</v>
      </c>
      <c r="W32" s="456">
        <v>-159781</v>
      </c>
      <c r="X32" s="631">
        <v>-255529</v>
      </c>
      <c r="Y32" s="457">
        <v>-28595</v>
      </c>
      <c r="Z32" s="456">
        <f t="shared" si="160"/>
        <v>-16613</v>
      </c>
      <c r="AA32" s="456">
        <f t="shared" si="161"/>
        <v>-62172</v>
      </c>
      <c r="AB32" s="456">
        <f t="shared" si="162"/>
        <v>-64203</v>
      </c>
      <c r="AC32" s="457">
        <v>-45208</v>
      </c>
      <c r="AD32" s="456">
        <v>-107380</v>
      </c>
      <c r="AE32" s="456">
        <v>-171583</v>
      </c>
      <c r="AF32" s="457">
        <v>-47033</v>
      </c>
      <c r="AG32" s="456">
        <f>AJ32-AF32</f>
        <v>-69639</v>
      </c>
      <c r="AH32" s="456">
        <f t="shared" si="163"/>
        <v>-7949</v>
      </c>
      <c r="AI32" s="456">
        <f t="shared" si="164"/>
        <v>823</v>
      </c>
      <c r="AJ32" s="456">
        <v>-116672</v>
      </c>
      <c r="AK32" s="456">
        <v>-124621</v>
      </c>
      <c r="AL32" s="456">
        <v>-123798</v>
      </c>
      <c r="AM32" s="457">
        <v>-11447</v>
      </c>
      <c r="AN32" s="280">
        <f t="shared" si="102"/>
        <v>240</v>
      </c>
      <c r="AO32" s="280">
        <f t="shared" si="1"/>
        <v>-2857</v>
      </c>
      <c r="AP32" s="280">
        <f t="shared" si="1"/>
        <v>-2557</v>
      </c>
      <c r="AQ32" s="280">
        <v>-11207</v>
      </c>
      <c r="AR32" s="280">
        <v>-14064</v>
      </c>
      <c r="AS32" s="456">
        <v>-16621</v>
      </c>
      <c r="AT32" s="279">
        <v>-4335</v>
      </c>
      <c r="AU32" s="279">
        <v>-3954</v>
      </c>
      <c r="AV32" s="279">
        <v>-5747</v>
      </c>
      <c r="AW32" s="279">
        <v>-2857</v>
      </c>
      <c r="AX32" s="279">
        <v>-8289</v>
      </c>
      <c r="AY32" s="279">
        <v>-14624</v>
      </c>
      <c r="AZ32" s="279">
        <v>-19120</v>
      </c>
      <c r="BA32" s="279">
        <v>-5284</v>
      </c>
      <c r="BB32" s="279">
        <f>BE32-BA32</f>
        <v>-1553</v>
      </c>
      <c r="BC32" s="279">
        <f t="shared" si="165"/>
        <v>-5609</v>
      </c>
      <c r="BD32" s="279">
        <f t="shared" si="165"/>
        <v>-6807</v>
      </c>
      <c r="BE32" s="279">
        <v>-6837</v>
      </c>
      <c r="BF32" s="279">
        <v>-12446</v>
      </c>
      <c r="BG32" s="279">
        <v>-19253</v>
      </c>
      <c r="BH32" s="279">
        <v>-2130</v>
      </c>
      <c r="BI32" s="559">
        <f>BL32-BH32</f>
        <v>-3237</v>
      </c>
      <c r="BJ32" s="559">
        <f t="shared" si="166"/>
        <v>3056</v>
      </c>
      <c r="BK32" s="559">
        <f t="shared" si="166"/>
        <v>-2430</v>
      </c>
      <c r="BL32" s="279">
        <v>-5367</v>
      </c>
      <c r="BM32" s="279">
        <v>-2311</v>
      </c>
      <c r="BN32" s="279">
        <v>-4741</v>
      </c>
      <c r="BO32" s="279">
        <v>-1674</v>
      </c>
      <c r="BP32" s="559">
        <f>BS32-BO32</f>
        <v>-2800</v>
      </c>
      <c r="BQ32" s="559">
        <f t="shared" si="167"/>
        <v>-2222</v>
      </c>
      <c r="BR32" s="559">
        <f t="shared" si="167"/>
        <v>2687</v>
      </c>
      <c r="BS32" s="279">
        <v>-4474</v>
      </c>
      <c r="BT32" s="279">
        <v>-6696</v>
      </c>
      <c r="BU32" s="279">
        <v>-4009</v>
      </c>
      <c r="BV32" s="279">
        <v>856</v>
      </c>
      <c r="BW32" s="559">
        <f>BZ32-BV32</f>
        <v>700</v>
      </c>
      <c r="BX32" s="559">
        <f t="shared" si="168"/>
        <v>-818</v>
      </c>
      <c r="BY32" s="559">
        <f t="shared" si="168"/>
        <v>-1003</v>
      </c>
      <c r="BZ32" s="279">
        <v>1556</v>
      </c>
      <c r="CA32" s="279">
        <v>738</v>
      </c>
      <c r="CB32" s="279">
        <v>-265</v>
      </c>
      <c r="CC32" s="279">
        <v>-5136.9657499999994</v>
      </c>
      <c r="CD32" s="559">
        <f>CG32-CC32</f>
        <v>-1831.0342500000006</v>
      </c>
      <c r="CE32" s="559">
        <f t="shared" si="169"/>
        <v>-2928</v>
      </c>
      <c r="CF32" s="559">
        <f t="shared" si="169"/>
        <v>5903</v>
      </c>
      <c r="CG32" s="279">
        <v>-6968</v>
      </c>
      <c r="CH32" s="279">
        <v>-9896</v>
      </c>
      <c r="CI32" s="279">
        <v>-3993</v>
      </c>
      <c r="CJ32" s="279">
        <v>-323.46549000000005</v>
      </c>
      <c r="CK32" s="559">
        <f>CN32-CJ32</f>
        <v>1500.46549</v>
      </c>
      <c r="CL32" s="279"/>
      <c r="CM32" s="279"/>
      <c r="CN32" s="279">
        <v>1177</v>
      </c>
      <c r="CO32" s="279"/>
    </row>
    <row r="33" spans="1:93" ht="13" x14ac:dyDescent="0.3">
      <c r="A33" s="525" t="s">
        <v>207</v>
      </c>
      <c r="B33" s="642">
        <v>0</v>
      </c>
      <c r="C33" s="642">
        <v>0</v>
      </c>
      <c r="D33" s="642">
        <v>1</v>
      </c>
      <c r="E33" s="643">
        <v>-8800</v>
      </c>
      <c r="F33" s="642">
        <v>0</v>
      </c>
      <c r="G33" s="642">
        <v>0</v>
      </c>
      <c r="H33" s="642">
        <v>3702</v>
      </c>
      <c r="I33" s="643">
        <v>-27</v>
      </c>
      <c r="J33" s="642">
        <v>32</v>
      </c>
      <c r="K33" s="642">
        <v>32</v>
      </c>
      <c r="L33" s="642">
        <v>-64</v>
      </c>
      <c r="M33" s="643">
        <v>0</v>
      </c>
      <c r="N33" s="642">
        <v>0</v>
      </c>
      <c r="O33" s="642">
        <f>0</f>
        <v>0</v>
      </c>
      <c r="P33" s="642">
        <v>0</v>
      </c>
      <c r="Q33" s="643">
        <v>0</v>
      </c>
      <c r="R33" s="642">
        <v>0</v>
      </c>
      <c r="S33" s="642">
        <v>-14737</v>
      </c>
      <c r="T33" s="642">
        <f t="shared" si="158"/>
        <v>28623</v>
      </c>
      <c r="U33" s="642">
        <f t="shared" si="159"/>
        <v>31377</v>
      </c>
      <c r="V33" s="642">
        <f>S33+R33</f>
        <v>-14737</v>
      </c>
      <c r="W33" s="642">
        <v>13886</v>
      </c>
      <c r="X33" s="643">
        <v>45263</v>
      </c>
      <c r="Y33" s="644">
        <v>0</v>
      </c>
      <c r="Z33" s="642">
        <f t="shared" si="160"/>
        <v>168</v>
      </c>
      <c r="AA33" s="642">
        <f t="shared" si="161"/>
        <v>2150</v>
      </c>
      <c r="AB33" s="642">
        <f t="shared" si="162"/>
        <v>-2130</v>
      </c>
      <c r="AC33" s="644">
        <v>168</v>
      </c>
      <c r="AD33" s="642">
        <v>2318</v>
      </c>
      <c r="AE33" s="642">
        <v>188</v>
      </c>
      <c r="AF33" s="644">
        <v>-351</v>
      </c>
      <c r="AG33" s="642">
        <f>AJ33-AF33</f>
        <v>0</v>
      </c>
      <c r="AH33" s="642">
        <f t="shared" si="163"/>
        <v>1041.0320000000002</v>
      </c>
      <c r="AI33" s="642">
        <f t="shared" si="164"/>
        <v>44.578999999999837</v>
      </c>
      <c r="AJ33" s="642">
        <v>-351</v>
      </c>
      <c r="AK33" s="642">
        <v>690.03200000000004</v>
      </c>
      <c r="AL33" s="642">
        <v>734.61099999999999</v>
      </c>
      <c r="AM33" s="644">
        <v>189</v>
      </c>
      <c r="AN33" s="642">
        <f t="shared" si="102"/>
        <v>1674</v>
      </c>
      <c r="AO33" s="642">
        <f t="shared" si="1"/>
        <v>2242</v>
      </c>
      <c r="AP33" s="642">
        <f t="shared" si="1"/>
        <v>76645</v>
      </c>
      <c r="AQ33" s="642">
        <v>1863</v>
      </c>
      <c r="AR33" s="642">
        <v>4105</v>
      </c>
      <c r="AS33" s="642">
        <v>80750</v>
      </c>
      <c r="AT33" s="644">
        <v>8</v>
      </c>
      <c r="AU33" s="644">
        <v>888</v>
      </c>
      <c r="AV33" s="644">
        <v>9702</v>
      </c>
      <c r="AW33" s="644">
        <v>9702</v>
      </c>
      <c r="AX33" s="644">
        <v>881</v>
      </c>
      <c r="AY33" s="644">
        <v>9192</v>
      </c>
      <c r="AZ33" s="644">
        <v>3337</v>
      </c>
      <c r="BA33" s="644">
        <v>22</v>
      </c>
      <c r="BB33" s="644">
        <f>BE33-BA33</f>
        <v>2668</v>
      </c>
      <c r="BC33" s="644">
        <f t="shared" si="165"/>
        <v>-1108</v>
      </c>
      <c r="BD33" s="644">
        <f t="shared" si="165"/>
        <v>-51938</v>
      </c>
      <c r="BE33" s="644">
        <v>2690</v>
      </c>
      <c r="BF33" s="644">
        <v>1582</v>
      </c>
      <c r="BG33" s="644">
        <v>-50356</v>
      </c>
      <c r="BH33" s="644">
        <v>2521</v>
      </c>
      <c r="BI33" s="644">
        <f>BL33-BH33</f>
        <v>-2144</v>
      </c>
      <c r="BJ33" s="644">
        <f t="shared" si="166"/>
        <v>572</v>
      </c>
      <c r="BK33" s="644">
        <f t="shared" si="166"/>
        <v>-11313</v>
      </c>
      <c r="BL33" s="644">
        <v>377</v>
      </c>
      <c r="BM33" s="644">
        <v>949</v>
      </c>
      <c r="BN33" s="644">
        <v>-10364</v>
      </c>
      <c r="BO33" s="644">
        <v>412</v>
      </c>
      <c r="BP33" s="644">
        <f>BS33-BO33</f>
        <v>1318</v>
      </c>
      <c r="BQ33" s="644">
        <f t="shared" si="167"/>
        <v>-1430</v>
      </c>
      <c r="BR33" s="644">
        <f t="shared" si="167"/>
        <v>60</v>
      </c>
      <c r="BS33" s="644">
        <v>1730</v>
      </c>
      <c r="BT33" s="644">
        <v>300</v>
      </c>
      <c r="BU33" s="644">
        <v>360</v>
      </c>
      <c r="BV33" s="644">
        <v>-184</v>
      </c>
      <c r="BW33" s="644">
        <f>BZ33-BV33</f>
        <v>1781</v>
      </c>
      <c r="BX33" s="644">
        <f t="shared" si="168"/>
        <v>1896</v>
      </c>
      <c r="BY33" s="644">
        <f t="shared" si="168"/>
        <v>911</v>
      </c>
      <c r="BZ33" s="644">
        <v>1597</v>
      </c>
      <c r="CA33" s="644">
        <v>3493</v>
      </c>
      <c r="CB33" s="644">
        <v>4404</v>
      </c>
      <c r="CC33" s="644">
        <v>586</v>
      </c>
      <c r="CD33" s="644">
        <f>CG33-CC33</f>
        <v>640</v>
      </c>
      <c r="CE33" s="644">
        <f t="shared" si="169"/>
        <v>-3874</v>
      </c>
      <c r="CF33" s="644">
        <f t="shared" si="169"/>
        <v>10664</v>
      </c>
      <c r="CG33" s="644">
        <v>1226</v>
      </c>
      <c r="CH33" s="644">
        <v>-2648</v>
      </c>
      <c r="CI33" s="644">
        <v>8016</v>
      </c>
      <c r="CJ33" s="644">
        <v>1332.2795599999999</v>
      </c>
      <c r="CK33" s="644">
        <f>CN33-CJ33</f>
        <v>587.72044000000005</v>
      </c>
      <c r="CL33" s="644"/>
      <c r="CM33" s="644"/>
      <c r="CN33" s="644">
        <v>1920</v>
      </c>
      <c r="CO33" s="644"/>
    </row>
    <row r="34" spans="1:93" ht="13" x14ac:dyDescent="0.3">
      <c r="A34" s="638" t="s">
        <v>208</v>
      </c>
      <c r="B34" s="639">
        <v>101008</v>
      </c>
      <c r="C34" s="639">
        <v>59516</v>
      </c>
      <c r="D34" s="639">
        <v>330153</v>
      </c>
      <c r="E34" s="640">
        <v>364229</v>
      </c>
      <c r="F34" s="639">
        <v>349646</v>
      </c>
      <c r="G34" s="639">
        <v>452691</v>
      </c>
      <c r="H34" s="639">
        <v>448545</v>
      </c>
      <c r="I34" s="640">
        <v>648564</v>
      </c>
      <c r="J34" s="639">
        <v>730775</v>
      </c>
      <c r="K34" s="639">
        <v>603952</v>
      </c>
      <c r="L34" s="639">
        <v>620885</v>
      </c>
      <c r="M34" s="640">
        <v>767799</v>
      </c>
      <c r="N34" s="639">
        <v>992435</v>
      </c>
      <c r="O34" s="639">
        <v>955308</v>
      </c>
      <c r="P34" s="639">
        <v>1023751</v>
      </c>
      <c r="Q34" s="640">
        <v>954234</v>
      </c>
      <c r="R34" s="639">
        <v>936932</v>
      </c>
      <c r="S34" s="639">
        <v>984366</v>
      </c>
      <c r="T34" s="639">
        <f>W34</f>
        <v>1102553</v>
      </c>
      <c r="U34" s="639">
        <f t="shared" si="159"/>
        <v>-2526468</v>
      </c>
      <c r="V34" s="639">
        <f>S34</f>
        <v>984366</v>
      </c>
      <c r="W34" s="639">
        <v>1102553</v>
      </c>
      <c r="X34" s="640">
        <v>497383</v>
      </c>
      <c r="Y34" s="641">
        <v>534511</v>
      </c>
      <c r="Z34" s="639">
        <f t="shared" si="160"/>
        <v>13968</v>
      </c>
      <c r="AA34" s="639">
        <f t="shared" si="161"/>
        <v>17741</v>
      </c>
      <c r="AB34" s="639">
        <f t="shared" si="162"/>
        <v>-512028</v>
      </c>
      <c r="AC34" s="641">
        <v>548479</v>
      </c>
      <c r="AD34" s="639">
        <v>566220</v>
      </c>
      <c r="AE34" s="639">
        <v>54192</v>
      </c>
      <c r="AF34" s="641">
        <v>60588</v>
      </c>
      <c r="AG34" s="639">
        <f>AJ34-AF34</f>
        <v>-9526</v>
      </c>
      <c r="AH34" s="639">
        <f t="shared" si="163"/>
        <v>-48099.316999999995</v>
      </c>
      <c r="AI34" s="639">
        <f t="shared" si="164"/>
        <v>-3121.583000000006</v>
      </c>
      <c r="AJ34" s="639">
        <v>51062</v>
      </c>
      <c r="AK34" s="639">
        <v>2962.683</v>
      </c>
      <c r="AL34" s="639">
        <v>-158.9</v>
      </c>
      <c r="AM34" s="641">
        <v>-114811</v>
      </c>
      <c r="AN34" s="639">
        <f>AQ34</f>
        <v>-11468</v>
      </c>
      <c r="AO34" s="639">
        <f>AR34</f>
        <v>39907</v>
      </c>
      <c r="AP34" s="639">
        <f>AS34</f>
        <v>87075</v>
      </c>
      <c r="AQ34" s="639">
        <v>-11468</v>
      </c>
      <c r="AR34" s="639">
        <v>39907</v>
      </c>
      <c r="AS34" s="639">
        <v>87075</v>
      </c>
      <c r="AT34" s="641">
        <v>92508</v>
      </c>
      <c r="AU34" s="641">
        <f>AX34</f>
        <v>97141</v>
      </c>
      <c r="AV34" s="641">
        <f>AY34</f>
        <v>0</v>
      </c>
      <c r="AW34" s="641">
        <f>AZ34</f>
        <v>97244</v>
      </c>
      <c r="AX34" s="641">
        <v>97141</v>
      </c>
      <c r="AY34" s="641">
        <v>0</v>
      </c>
      <c r="AZ34" s="746">
        <v>97244</v>
      </c>
      <c r="BA34" s="641">
        <v>147699</v>
      </c>
      <c r="BB34" s="641">
        <f>BE34</f>
        <v>146970</v>
      </c>
      <c r="BC34" s="641">
        <f>BF34</f>
        <v>143699</v>
      </c>
      <c r="BD34" s="641">
        <f>BG34</f>
        <v>105237</v>
      </c>
      <c r="BE34" s="746">
        <v>146970</v>
      </c>
      <c r="BF34" s="746">
        <v>143699</v>
      </c>
      <c r="BG34" s="746">
        <v>105237</v>
      </c>
      <c r="BH34" s="746">
        <v>107043</v>
      </c>
      <c r="BI34" s="746">
        <f>BL34</f>
        <v>79907</v>
      </c>
      <c r="BJ34" s="746">
        <f>BM34</f>
        <v>85884</v>
      </c>
      <c r="BK34" s="644">
        <f>BN34-BM34</f>
        <v>-16512</v>
      </c>
      <c r="BL34" s="746">
        <v>79907</v>
      </c>
      <c r="BM34" s="746">
        <v>85884</v>
      </c>
      <c r="BN34" s="746">
        <v>69372</v>
      </c>
      <c r="BO34" s="746">
        <v>69413</v>
      </c>
      <c r="BP34" s="746">
        <f>BS34</f>
        <v>56359</v>
      </c>
      <c r="BQ34" s="746">
        <f t="shared" si="167"/>
        <v>-4986</v>
      </c>
      <c r="BR34" s="799">
        <f t="shared" si="167"/>
        <v>-6392</v>
      </c>
      <c r="BS34" s="746">
        <v>56359</v>
      </c>
      <c r="BT34" s="746">
        <v>51373</v>
      </c>
      <c r="BU34" s="746">
        <v>44981</v>
      </c>
      <c r="BV34" s="746">
        <v>47148</v>
      </c>
      <c r="BW34" s="746">
        <f>BZ34</f>
        <v>44749</v>
      </c>
      <c r="BX34" s="746">
        <f>CA34-BZ34</f>
        <v>-3412</v>
      </c>
      <c r="BY34" s="746">
        <f>CB34</f>
        <v>44981</v>
      </c>
      <c r="BZ34" s="746">
        <v>44749</v>
      </c>
      <c r="CA34" s="746">
        <v>41337</v>
      </c>
      <c r="CB34" s="746">
        <v>44981</v>
      </c>
      <c r="CC34" s="746">
        <v>41274</v>
      </c>
      <c r="CD34" s="746">
        <f>CG34</f>
        <v>37489</v>
      </c>
      <c r="CE34" s="746">
        <f>CH34-CG34</f>
        <v>-5529</v>
      </c>
      <c r="CF34" s="746">
        <f>CI34</f>
        <v>28309</v>
      </c>
      <c r="CG34" s="746">
        <v>37489</v>
      </c>
      <c r="CH34" s="746">
        <v>31960</v>
      </c>
      <c r="CI34" s="746">
        <v>28309</v>
      </c>
      <c r="CJ34" s="746">
        <v>18458</v>
      </c>
      <c r="CK34" s="746">
        <f>CN34</f>
        <v>30265</v>
      </c>
      <c r="CL34" s="746"/>
      <c r="CM34" s="746"/>
      <c r="CN34" s="746">
        <v>30265</v>
      </c>
      <c r="CO34" s="746"/>
    </row>
    <row r="35" spans="1:93" ht="13" x14ac:dyDescent="0.3">
      <c r="A35" s="525" t="s">
        <v>199</v>
      </c>
      <c r="B35" s="526">
        <f>SUM(B36,B37,B38)</f>
        <v>-6419</v>
      </c>
      <c r="C35" s="526">
        <f t="shared" ref="C35:P35" si="170">SUM(C36,C37,C38)</f>
        <v>-6103</v>
      </c>
      <c r="D35" s="526">
        <f t="shared" si="170"/>
        <v>-6332</v>
      </c>
      <c r="E35" s="637">
        <f t="shared" si="170"/>
        <v>-6262</v>
      </c>
      <c r="F35" s="526">
        <f t="shared" si="170"/>
        <v>-2568</v>
      </c>
      <c r="G35" s="526">
        <f t="shared" si="170"/>
        <v>-7365</v>
      </c>
      <c r="H35" s="526">
        <f t="shared" si="170"/>
        <v>-6408</v>
      </c>
      <c r="I35" s="637">
        <f t="shared" si="170"/>
        <v>-5717</v>
      </c>
      <c r="J35" s="526">
        <f t="shared" si="170"/>
        <v>-4656.7670118249998</v>
      </c>
      <c r="K35" s="526">
        <f t="shared" si="170"/>
        <v>-10588.582188175</v>
      </c>
      <c r="L35" s="526">
        <f t="shared" si="170"/>
        <v>-6301.3277999999991</v>
      </c>
      <c r="M35" s="637">
        <f t="shared" si="170"/>
        <v>-9963.323000000004</v>
      </c>
      <c r="N35" s="526">
        <f t="shared" si="170"/>
        <v>-3238</v>
      </c>
      <c r="O35" s="526">
        <f t="shared" si="170"/>
        <v>1292</v>
      </c>
      <c r="P35" s="526">
        <f t="shared" si="170"/>
        <v>7349</v>
      </c>
      <c r="Q35" s="637">
        <f>SUM(Q36,Q37,Q38)</f>
        <v>-624813</v>
      </c>
      <c r="R35" s="526">
        <f>SUM(R36,R37,R38)</f>
        <v>-5398</v>
      </c>
      <c r="S35" s="526">
        <f>SUM(S36,S37,S38)</f>
        <v>-33521</v>
      </c>
      <c r="T35" s="526">
        <f>SUM(T36,T37,T38)</f>
        <v>27103</v>
      </c>
      <c r="U35" s="526">
        <f t="shared" ref="U35:AQ35" si="171">SUM(U36,U37,U38)</f>
        <v>202998</v>
      </c>
      <c r="V35" s="526">
        <f t="shared" si="171"/>
        <v>-38919</v>
      </c>
      <c r="W35" s="526">
        <f t="shared" si="171"/>
        <v>-11816</v>
      </c>
      <c r="X35" s="637">
        <f t="shared" si="171"/>
        <v>191182</v>
      </c>
      <c r="Y35" s="527">
        <f t="shared" si="171"/>
        <v>-5958</v>
      </c>
      <c r="Z35" s="526">
        <f t="shared" si="171"/>
        <v>8937</v>
      </c>
      <c r="AA35" s="526">
        <f t="shared" si="171"/>
        <v>-1878</v>
      </c>
      <c r="AB35" s="526">
        <f t="shared" si="171"/>
        <v>-4840</v>
      </c>
      <c r="AC35" s="527">
        <f t="shared" si="171"/>
        <v>2979</v>
      </c>
      <c r="AD35" s="526">
        <f t="shared" si="171"/>
        <v>1101</v>
      </c>
      <c r="AE35" s="526">
        <f t="shared" si="171"/>
        <v>-3739</v>
      </c>
      <c r="AF35" s="527">
        <f t="shared" si="171"/>
        <v>-5001</v>
      </c>
      <c r="AG35" s="526">
        <f t="shared" si="171"/>
        <v>7067</v>
      </c>
      <c r="AH35" s="526">
        <f t="shared" si="171"/>
        <v>-666424.96799999999</v>
      </c>
      <c r="AI35" s="526">
        <f t="shared" si="171"/>
        <v>877656.57900000003</v>
      </c>
      <c r="AJ35" s="526">
        <f t="shared" si="171"/>
        <v>2066</v>
      </c>
      <c r="AK35" s="526">
        <f t="shared" si="171"/>
        <v>-664358.96799999999</v>
      </c>
      <c r="AL35" s="526">
        <f t="shared" si="171"/>
        <v>213297.611</v>
      </c>
      <c r="AM35" s="527">
        <f t="shared" si="171"/>
        <v>-5197</v>
      </c>
      <c r="AN35" s="526">
        <f t="shared" ref="AN35:AN47" si="172">AQ35-AM35</f>
        <v>-9372</v>
      </c>
      <c r="AO35" s="526">
        <f t="shared" ref="AO35:AP47" si="173">AR35-AQ35</f>
        <v>-41654</v>
      </c>
      <c r="AP35" s="526">
        <f t="shared" si="173"/>
        <v>28856</v>
      </c>
      <c r="AQ35" s="526">
        <f t="shared" si="171"/>
        <v>-14569</v>
      </c>
      <c r="AR35" s="526">
        <f>SUM(AR36:AR38)</f>
        <v>-56223</v>
      </c>
      <c r="AS35" s="526">
        <f>SUM(AS36:AS38)</f>
        <v>-27367</v>
      </c>
      <c r="AT35" s="527">
        <f>SUM(AT36:AT38)</f>
        <v>-5644</v>
      </c>
      <c r="AU35" s="527">
        <f>SUM(AU36:AU38)</f>
        <v>-11841</v>
      </c>
      <c r="AV35" s="527">
        <f t="shared" ref="AV35:AY35" si="174">SUM(AV36:AV38)</f>
        <v>-4061</v>
      </c>
      <c r="AW35" s="527">
        <f t="shared" ref="AW35" si="175">SUM(AW36:AW38)</f>
        <v>-34194</v>
      </c>
      <c r="AX35" s="527">
        <f t="shared" si="174"/>
        <v>-17500</v>
      </c>
      <c r="AY35" s="527">
        <f t="shared" si="174"/>
        <v>-24187</v>
      </c>
      <c r="AZ35" s="527">
        <f t="shared" ref="AZ35:BA35" si="176">SUM(AZ36:AZ38)</f>
        <v>-32773</v>
      </c>
      <c r="BA35" s="527">
        <f t="shared" si="176"/>
        <v>-4749</v>
      </c>
      <c r="BB35" s="527">
        <f t="shared" ref="BB35:BE35" si="177">SUM(BB36:BB38)</f>
        <v>-3627</v>
      </c>
      <c r="BC35" s="527">
        <f t="shared" si="177"/>
        <v>-4915</v>
      </c>
      <c r="BD35" s="527">
        <f t="shared" si="177"/>
        <v>-8222</v>
      </c>
      <c r="BE35" s="527">
        <f t="shared" si="177"/>
        <v>-8376</v>
      </c>
      <c r="BF35" s="527">
        <f t="shared" ref="BF35:BG35" si="178">SUM(BF36:BF38)</f>
        <v>-13291</v>
      </c>
      <c r="BG35" s="527">
        <f t="shared" si="178"/>
        <v>-21513</v>
      </c>
      <c r="BH35" s="527" t="e">
        <f t="shared" ref="BH35:BL35" si="179">SUM(BH36:BH38)</f>
        <v>#REF!</v>
      </c>
      <c r="BI35" s="527" t="e">
        <f t="shared" si="179"/>
        <v>#REF!</v>
      </c>
      <c r="BJ35" s="527">
        <f t="shared" si="179"/>
        <v>-5515</v>
      </c>
      <c r="BK35" s="527">
        <f t="shared" si="179"/>
        <v>-9997</v>
      </c>
      <c r="BL35" s="527">
        <f t="shared" si="179"/>
        <v>-12387</v>
      </c>
      <c r="BM35" s="527">
        <f t="shared" ref="BM35:BN35" si="180">SUM(BM36:BM38)</f>
        <v>-17902</v>
      </c>
      <c r="BN35" s="527">
        <f t="shared" si="180"/>
        <v>-27899</v>
      </c>
      <c r="BO35" s="527">
        <f t="shared" ref="BO35:BS35" si="181">SUM(BO36:BO38)</f>
        <v>-5639</v>
      </c>
      <c r="BP35" s="527">
        <f>SUM(BP36:BP38)</f>
        <v>-5627</v>
      </c>
      <c r="BQ35" s="527">
        <f>SUM(BQ36:BQ38)</f>
        <v>-4469</v>
      </c>
      <c r="BR35" s="527">
        <f t="shared" si="181"/>
        <v>-12020</v>
      </c>
      <c r="BS35" s="527">
        <f t="shared" si="181"/>
        <v>-11266</v>
      </c>
      <c r="BT35" s="527">
        <f t="shared" ref="BT35" si="182">SUM(BT36:BT38)</f>
        <v>-15735</v>
      </c>
      <c r="BU35" s="527">
        <f>SUM(BU36:BU38)-1</f>
        <v>-27756</v>
      </c>
      <c r="BV35" s="527">
        <f t="shared" ref="BV35:CA35" si="183">SUM(BV36:BV38)</f>
        <v>-6370</v>
      </c>
      <c r="BW35" s="527">
        <f t="shared" si="183"/>
        <v>-4370</v>
      </c>
      <c r="BX35" s="527">
        <f t="shared" si="183"/>
        <v>-6327</v>
      </c>
      <c r="BY35" s="527">
        <f t="shared" si="183"/>
        <v>-13627</v>
      </c>
      <c r="BZ35" s="527">
        <f t="shared" si="183"/>
        <v>-10740</v>
      </c>
      <c r="CA35" s="527">
        <f t="shared" si="183"/>
        <v>-17067</v>
      </c>
      <c r="CB35" s="527">
        <f>SUM(CB36:CB40)</f>
        <v>-39227</v>
      </c>
      <c r="CC35" s="527">
        <f>SUM(CC36:CC40)-1</f>
        <v>-6969.3747299999995</v>
      </c>
      <c r="CD35" s="527">
        <f t="shared" ref="CD35:CE35" si="184">SUM(CD36:CD38)</f>
        <v>2180.3747299999991</v>
      </c>
      <c r="CE35" s="527">
        <f t="shared" si="184"/>
        <v>-5289</v>
      </c>
      <c r="CF35" s="527">
        <f t="shared" ref="CF35" si="185">SUM(CF36:CF38)</f>
        <v>-7575</v>
      </c>
      <c r="CG35" s="527">
        <f>SUM(CG36:CG40)</f>
        <v>-6843</v>
      </c>
      <c r="CH35" s="527">
        <f t="shared" ref="CH35" si="186">SUM(CH36:CH38)</f>
        <v>-7414</v>
      </c>
      <c r="CI35" s="527">
        <f>SUM(CI36:CI40)</f>
        <v>-37889</v>
      </c>
      <c r="CJ35" s="527">
        <v>-8835.9796599999972</v>
      </c>
      <c r="CK35" s="527">
        <f t="shared" ref="CK35:CO35" si="187">SUM(CK36:CK40)</f>
        <v>-11400.020340000003</v>
      </c>
      <c r="CL35" s="527">
        <f t="shared" si="187"/>
        <v>0</v>
      </c>
      <c r="CM35" s="527">
        <f t="shared" si="187"/>
        <v>0</v>
      </c>
      <c r="CN35" s="527">
        <f t="shared" si="187"/>
        <v>-20236</v>
      </c>
      <c r="CO35" s="527">
        <f t="shared" si="187"/>
        <v>0</v>
      </c>
    </row>
    <row r="36" spans="1:93" x14ac:dyDescent="0.25">
      <c r="A36" s="703" t="s">
        <v>95</v>
      </c>
      <c r="B36" s="704">
        <f t="shared" ref="B36:AM36" si="188">B17</f>
        <v>-7145</v>
      </c>
      <c r="C36" s="704">
        <f t="shared" si="188"/>
        <v>-6830</v>
      </c>
      <c r="D36" s="704">
        <f t="shared" si="188"/>
        <v>-7064</v>
      </c>
      <c r="E36" s="706">
        <f t="shared" si="188"/>
        <v>1801</v>
      </c>
      <c r="F36" s="704">
        <f t="shared" si="188"/>
        <v>-3307</v>
      </c>
      <c r="G36" s="704">
        <f t="shared" si="188"/>
        <v>-8105</v>
      </c>
      <c r="H36" s="704">
        <f t="shared" si="188"/>
        <v>-10853</v>
      </c>
      <c r="I36" s="706">
        <f t="shared" si="188"/>
        <v>-6441</v>
      </c>
      <c r="J36" s="704">
        <f t="shared" si="188"/>
        <v>-5438.7670118249998</v>
      </c>
      <c r="K36" s="704">
        <f t="shared" si="188"/>
        <v>-11376.003388175001</v>
      </c>
      <c r="L36" s="704">
        <f t="shared" si="188"/>
        <v>-7032.1699999999992</v>
      </c>
      <c r="M36" s="706">
        <f t="shared" si="188"/>
        <v>-10782.059600000004</v>
      </c>
      <c r="N36" s="704">
        <f t="shared" si="188"/>
        <v>-4063</v>
      </c>
      <c r="O36" s="704">
        <f t="shared" si="188"/>
        <v>468</v>
      </c>
      <c r="P36" s="704">
        <f t="shared" si="188"/>
        <v>6532</v>
      </c>
      <c r="Q36" s="706">
        <f t="shared" si="188"/>
        <v>-625629</v>
      </c>
      <c r="R36" s="704">
        <f t="shared" si="188"/>
        <v>-6212</v>
      </c>
      <c r="S36" s="704">
        <f t="shared" si="188"/>
        <v>-19586</v>
      </c>
      <c r="T36" s="704">
        <f t="shared" si="188"/>
        <v>-2308</v>
      </c>
      <c r="U36" s="704">
        <f t="shared" si="188"/>
        <v>170784</v>
      </c>
      <c r="V36" s="704">
        <f t="shared" si="188"/>
        <v>-25798</v>
      </c>
      <c r="W36" s="704">
        <f t="shared" si="188"/>
        <v>-28106</v>
      </c>
      <c r="X36" s="706">
        <f t="shared" si="188"/>
        <v>142678</v>
      </c>
      <c r="Y36" s="707">
        <f t="shared" si="188"/>
        <v>-7440</v>
      </c>
      <c r="Z36" s="704">
        <f t="shared" si="188"/>
        <v>7288</v>
      </c>
      <c r="AA36" s="704">
        <f t="shared" si="188"/>
        <v>-5499</v>
      </c>
      <c r="AB36" s="704">
        <f t="shared" si="188"/>
        <v>-4696</v>
      </c>
      <c r="AC36" s="707">
        <f t="shared" si="188"/>
        <v>-152</v>
      </c>
      <c r="AD36" s="704">
        <f t="shared" si="188"/>
        <v>-5651</v>
      </c>
      <c r="AE36" s="704">
        <f t="shared" si="188"/>
        <v>-10347</v>
      </c>
      <c r="AF36" s="707">
        <f t="shared" si="188"/>
        <v>-6263</v>
      </c>
      <c r="AG36" s="704">
        <f t="shared" si="188"/>
        <v>5717</v>
      </c>
      <c r="AH36" s="704">
        <f t="shared" si="188"/>
        <v>-668838</v>
      </c>
      <c r="AI36" s="704">
        <f t="shared" si="188"/>
        <v>876708</v>
      </c>
      <c r="AJ36" s="704">
        <f t="shared" si="188"/>
        <v>-546</v>
      </c>
      <c r="AK36" s="704">
        <f t="shared" si="188"/>
        <v>-669384</v>
      </c>
      <c r="AL36" s="704">
        <f t="shared" si="188"/>
        <v>207324</v>
      </c>
      <c r="AM36" s="707">
        <f t="shared" si="188"/>
        <v>-6288</v>
      </c>
      <c r="AN36" s="704">
        <f t="shared" si="172"/>
        <v>-12018</v>
      </c>
      <c r="AO36" s="704">
        <f t="shared" si="173"/>
        <v>-45677</v>
      </c>
      <c r="AP36" s="704">
        <f t="shared" si="173"/>
        <v>-49019</v>
      </c>
      <c r="AQ36" s="704">
        <f>AQ17</f>
        <v>-18306</v>
      </c>
      <c r="AR36" s="704">
        <f>AR17</f>
        <v>-63983</v>
      </c>
      <c r="AS36" s="704">
        <f>AS17</f>
        <v>-113002</v>
      </c>
      <c r="AT36" s="707">
        <f>AT17</f>
        <v>-6341</v>
      </c>
      <c r="AU36" s="707">
        <f>AU17</f>
        <v>-13412</v>
      </c>
      <c r="AV36" s="707">
        <f t="shared" ref="AV36:AY36" si="189">AV17</f>
        <v>-14139</v>
      </c>
      <c r="AW36" s="707">
        <f t="shared" ref="AW36" si="190">AW17</f>
        <v>-45677</v>
      </c>
      <c r="AX36" s="707">
        <f t="shared" si="189"/>
        <v>-19753</v>
      </c>
      <c r="AY36" s="707">
        <f t="shared" si="189"/>
        <v>-34687</v>
      </c>
      <c r="AZ36" s="707">
        <f t="shared" ref="AZ36:BA36" si="191">AZ17</f>
        <v>-38730</v>
      </c>
      <c r="BA36" s="707">
        <f t="shared" si="191"/>
        <v>-5415</v>
      </c>
      <c r="BB36" s="707">
        <f t="shared" ref="BB36:BE36" si="192">BB17</f>
        <v>-6743</v>
      </c>
      <c r="BC36" s="707">
        <f t="shared" si="192"/>
        <v>-4152</v>
      </c>
      <c r="BD36" s="707">
        <f t="shared" si="192"/>
        <v>43028</v>
      </c>
      <c r="BE36" s="707">
        <f t="shared" si="192"/>
        <v>-12158</v>
      </c>
      <c r="BF36" s="707">
        <f t="shared" ref="BF36:BG36" si="193">BF17</f>
        <v>-16310</v>
      </c>
      <c r="BG36" s="707">
        <f t="shared" si="193"/>
        <v>26718</v>
      </c>
      <c r="BH36" s="707" t="e">
        <f t="shared" ref="BH36:BL36" si="194">BH17</f>
        <v>#REF!</v>
      </c>
      <c r="BI36" s="707" t="e">
        <f t="shared" si="194"/>
        <v>#REF!</v>
      </c>
      <c r="BJ36" s="707">
        <f t="shared" si="194"/>
        <v>-6687</v>
      </c>
      <c r="BK36" s="707">
        <f t="shared" si="194"/>
        <v>681</v>
      </c>
      <c r="BL36" s="707">
        <f t="shared" si="194"/>
        <v>-14070</v>
      </c>
      <c r="BM36" s="707">
        <f t="shared" ref="BM36:BN36" si="195">BM17</f>
        <v>-20757</v>
      </c>
      <c r="BN36" s="707">
        <f t="shared" si="195"/>
        <v>-20076</v>
      </c>
      <c r="BO36" s="707">
        <f t="shared" ref="BO36:BS36" si="196">BO17</f>
        <v>-6685</v>
      </c>
      <c r="BP36" s="707">
        <f t="shared" si="196"/>
        <v>-7604</v>
      </c>
      <c r="BQ36" s="707">
        <f>BQ17</f>
        <v>-3674</v>
      </c>
      <c r="BR36" s="707">
        <f t="shared" si="196"/>
        <v>-12646</v>
      </c>
      <c r="BS36" s="707">
        <f t="shared" si="196"/>
        <v>-14289</v>
      </c>
      <c r="BT36" s="707">
        <f t="shared" ref="BT36:BU36" si="197">BT17</f>
        <v>-17963</v>
      </c>
      <c r="BU36" s="707">
        <f t="shared" si="197"/>
        <v>-30609</v>
      </c>
      <c r="BV36" s="707">
        <f t="shared" ref="BV36:BW36" si="198">BV17</f>
        <v>-6918</v>
      </c>
      <c r="BW36" s="707">
        <f t="shared" si="198"/>
        <v>-6895</v>
      </c>
      <c r="BX36" s="707">
        <f t="shared" ref="BX36:BZ36" si="199">BX17</f>
        <v>-9022</v>
      </c>
      <c r="BY36" s="707">
        <f t="shared" si="199"/>
        <v>-15241</v>
      </c>
      <c r="BZ36" s="707">
        <f t="shared" si="199"/>
        <v>-13813</v>
      </c>
      <c r="CA36" s="707">
        <f t="shared" ref="CA36:CB36" si="200">CA17</f>
        <v>-22835</v>
      </c>
      <c r="CB36" s="707">
        <f t="shared" si="200"/>
        <v>-38076</v>
      </c>
      <c r="CC36" s="707">
        <f t="shared" ref="CC36:CD36" si="201">CC17</f>
        <v>-5561.751549999999</v>
      </c>
      <c r="CD36" s="707">
        <f t="shared" si="201"/>
        <v>891.75154999999904</v>
      </c>
      <c r="CE36" s="707">
        <f t="shared" ref="CE36:CF36" si="202">CE17</f>
        <v>-1879</v>
      </c>
      <c r="CF36" s="707">
        <f t="shared" si="202"/>
        <v>-18686</v>
      </c>
      <c r="CG36" s="707">
        <f t="shared" ref="CG36:CH36" si="203">CG17</f>
        <v>-4670</v>
      </c>
      <c r="CH36" s="707">
        <f t="shared" si="203"/>
        <v>-6549</v>
      </c>
      <c r="CI36" s="707">
        <f t="shared" ref="CI36" si="204">CI17</f>
        <v>-25235</v>
      </c>
      <c r="CJ36" s="707">
        <v>-6936.2793100000035</v>
      </c>
      <c r="CK36" s="707">
        <f t="shared" ref="CK36:CO36" si="205">CK17</f>
        <v>-9032.7206899999965</v>
      </c>
      <c r="CL36" s="707">
        <f t="shared" si="205"/>
        <v>0</v>
      </c>
      <c r="CM36" s="707">
        <f t="shared" si="205"/>
        <v>0</v>
      </c>
      <c r="CN36" s="707">
        <f t="shared" si="205"/>
        <v>-15969</v>
      </c>
      <c r="CO36" s="707">
        <f t="shared" si="205"/>
        <v>0</v>
      </c>
    </row>
    <row r="37" spans="1:93" x14ac:dyDescent="0.25">
      <c r="A37" s="703" t="s">
        <v>218</v>
      </c>
      <c r="B37" s="704">
        <f>-B27</f>
        <v>726</v>
      </c>
      <c r="C37" s="704">
        <f t="shared" ref="C37:J37" si="206">-C27</f>
        <v>727</v>
      </c>
      <c r="D37" s="704">
        <f t="shared" si="206"/>
        <v>731</v>
      </c>
      <c r="E37" s="706">
        <f t="shared" si="206"/>
        <v>737</v>
      </c>
      <c r="F37" s="704">
        <f t="shared" si="206"/>
        <v>739</v>
      </c>
      <c r="G37" s="704">
        <f t="shared" si="206"/>
        <v>740</v>
      </c>
      <c r="H37" s="704">
        <f t="shared" si="206"/>
        <v>743</v>
      </c>
      <c r="I37" s="706">
        <f t="shared" si="206"/>
        <v>751</v>
      </c>
      <c r="J37" s="704">
        <f t="shared" si="206"/>
        <v>750</v>
      </c>
      <c r="K37" s="704">
        <f>-K27</f>
        <v>755.4212</v>
      </c>
      <c r="L37" s="704">
        <f t="shared" ref="L37:AQ37" si="207">-L27</f>
        <v>794.84220000000028</v>
      </c>
      <c r="M37" s="706">
        <f t="shared" si="207"/>
        <v>818.73659999999995</v>
      </c>
      <c r="N37" s="704">
        <f t="shared" si="207"/>
        <v>825</v>
      </c>
      <c r="O37" s="704">
        <f t="shared" si="207"/>
        <v>824</v>
      </c>
      <c r="P37" s="704">
        <f t="shared" si="207"/>
        <v>817</v>
      </c>
      <c r="Q37" s="706">
        <f t="shared" si="207"/>
        <v>816</v>
      </c>
      <c r="R37" s="704">
        <f t="shared" si="207"/>
        <v>814</v>
      </c>
      <c r="S37" s="704">
        <f t="shared" si="207"/>
        <v>802</v>
      </c>
      <c r="T37" s="704">
        <f t="shared" si="207"/>
        <v>788</v>
      </c>
      <c r="U37" s="704">
        <f t="shared" si="207"/>
        <v>837</v>
      </c>
      <c r="V37" s="704">
        <f t="shared" si="207"/>
        <v>1616</v>
      </c>
      <c r="W37" s="704">
        <f t="shared" si="207"/>
        <v>2404</v>
      </c>
      <c r="X37" s="706">
        <f t="shared" si="207"/>
        <v>3241</v>
      </c>
      <c r="Y37" s="707">
        <f t="shared" si="207"/>
        <v>1482</v>
      </c>
      <c r="Z37" s="704">
        <f t="shared" si="207"/>
        <v>1481</v>
      </c>
      <c r="AA37" s="704">
        <f t="shared" si="207"/>
        <v>1471</v>
      </c>
      <c r="AB37" s="704">
        <f t="shared" si="207"/>
        <v>1986</v>
      </c>
      <c r="AC37" s="707">
        <f t="shared" si="207"/>
        <v>2963</v>
      </c>
      <c r="AD37" s="704">
        <f t="shared" si="207"/>
        <v>4434</v>
      </c>
      <c r="AE37" s="704">
        <f t="shared" si="207"/>
        <v>6420</v>
      </c>
      <c r="AF37" s="707">
        <f t="shared" si="207"/>
        <v>1613</v>
      </c>
      <c r="AG37" s="704">
        <f t="shared" si="207"/>
        <v>1350</v>
      </c>
      <c r="AH37" s="704">
        <f t="shared" si="207"/>
        <v>1372</v>
      </c>
      <c r="AI37" s="704">
        <f t="shared" si="207"/>
        <v>904</v>
      </c>
      <c r="AJ37" s="704">
        <f t="shared" si="207"/>
        <v>2963</v>
      </c>
      <c r="AK37" s="704">
        <f t="shared" si="207"/>
        <v>4335</v>
      </c>
      <c r="AL37" s="704">
        <f t="shared" si="207"/>
        <v>5239</v>
      </c>
      <c r="AM37" s="707">
        <f t="shared" si="207"/>
        <v>902</v>
      </c>
      <c r="AN37" s="704">
        <f t="shared" si="172"/>
        <v>972</v>
      </c>
      <c r="AO37" s="704">
        <f t="shared" si="173"/>
        <v>1781</v>
      </c>
      <c r="AP37" s="704">
        <f t="shared" si="173"/>
        <v>1230</v>
      </c>
      <c r="AQ37" s="704">
        <f t="shared" si="207"/>
        <v>1874</v>
      </c>
      <c r="AR37" s="704">
        <f t="shared" ref="AR37:AS37" si="208">-AR27</f>
        <v>3655</v>
      </c>
      <c r="AS37" s="704">
        <f t="shared" si="208"/>
        <v>4885</v>
      </c>
      <c r="AT37" s="707">
        <f t="shared" ref="AT37:AU37" si="209">-AT27</f>
        <v>689</v>
      </c>
      <c r="AU37" s="707">
        <f t="shared" si="209"/>
        <v>683</v>
      </c>
      <c r="AV37" s="707">
        <f t="shared" ref="AV37:AY37" si="210">-AV27</f>
        <v>376</v>
      </c>
      <c r="AW37" s="707">
        <f t="shared" ref="AW37" si="211">-AW27</f>
        <v>1781</v>
      </c>
      <c r="AX37" s="707">
        <f t="shared" si="210"/>
        <v>1372</v>
      </c>
      <c r="AY37" s="707">
        <f t="shared" si="210"/>
        <v>1308</v>
      </c>
      <c r="AZ37" s="707">
        <f t="shared" ref="AZ37:BA37" si="212">-AZ27</f>
        <v>2620</v>
      </c>
      <c r="BA37" s="707">
        <f t="shared" si="212"/>
        <v>644</v>
      </c>
      <c r="BB37" s="707">
        <f t="shared" ref="BB37:BE37" si="213">-BB27</f>
        <v>448</v>
      </c>
      <c r="BC37" s="707">
        <f t="shared" si="213"/>
        <v>345</v>
      </c>
      <c r="BD37" s="707">
        <f t="shared" si="213"/>
        <v>688</v>
      </c>
      <c r="BE37" s="707">
        <f t="shared" si="213"/>
        <v>1092</v>
      </c>
      <c r="BF37" s="707">
        <f t="shared" ref="BF37:BG37" si="214">-BF27</f>
        <v>1437</v>
      </c>
      <c r="BG37" s="707">
        <f t="shared" si="214"/>
        <v>2125</v>
      </c>
      <c r="BH37" s="707">
        <f t="shared" ref="BH37:BL37" si="215">-BH27</f>
        <v>609</v>
      </c>
      <c r="BI37" s="707">
        <f t="shared" si="215"/>
        <v>697</v>
      </c>
      <c r="BJ37" s="707">
        <f t="shared" si="215"/>
        <v>600</v>
      </c>
      <c r="BK37" s="707">
        <f t="shared" si="215"/>
        <v>635</v>
      </c>
      <c r="BL37" s="707">
        <f t="shared" si="215"/>
        <v>1306</v>
      </c>
      <c r="BM37" s="707">
        <f t="shared" ref="BM37:BN37" si="216">-BM27</f>
        <v>1906</v>
      </c>
      <c r="BN37" s="707">
        <f t="shared" si="216"/>
        <v>2541</v>
      </c>
      <c r="BO37" s="707">
        <f t="shared" ref="BO37:BS37" si="217">-BO27</f>
        <v>634</v>
      </c>
      <c r="BP37" s="707">
        <f t="shared" si="217"/>
        <v>659</v>
      </c>
      <c r="BQ37" s="707">
        <f>-BQ27</f>
        <v>635</v>
      </c>
      <c r="BR37" s="707">
        <f t="shared" si="217"/>
        <v>566</v>
      </c>
      <c r="BS37" s="707">
        <f t="shared" si="217"/>
        <v>1293</v>
      </c>
      <c r="BT37" s="707">
        <f t="shared" ref="BT37:BZ37" si="218">-BT27</f>
        <v>1928</v>
      </c>
      <c r="BU37" s="707">
        <f t="shared" si="218"/>
        <v>2494</v>
      </c>
      <c r="BV37" s="707">
        <f t="shared" si="218"/>
        <v>732</v>
      </c>
      <c r="BW37" s="707">
        <f t="shared" si="218"/>
        <v>744</v>
      </c>
      <c r="BX37" s="707">
        <f t="shared" si="218"/>
        <v>799</v>
      </c>
      <c r="BY37" s="707">
        <f t="shared" si="218"/>
        <v>703</v>
      </c>
      <c r="BZ37" s="707">
        <f t="shared" si="218"/>
        <v>1476</v>
      </c>
      <c r="CA37" s="707">
        <f t="shared" ref="CA37:CB37" si="219">-CA27</f>
        <v>2275</v>
      </c>
      <c r="CB37" s="707">
        <f t="shared" si="219"/>
        <v>2978</v>
      </c>
      <c r="CC37" s="707">
        <f t="shared" ref="CC37:CD37" si="220">-CC27</f>
        <v>670.37681999999995</v>
      </c>
      <c r="CD37" s="707">
        <f t="shared" si="220"/>
        <v>648.62318000000005</v>
      </c>
      <c r="CE37" s="707">
        <f t="shared" ref="CE37:CF37" si="221">-CE27</f>
        <v>464</v>
      </c>
      <c r="CF37" s="707">
        <f t="shared" si="221"/>
        <v>447</v>
      </c>
      <c r="CG37" s="707">
        <f t="shared" ref="CG37:CH37" si="222">-CG27</f>
        <v>1319</v>
      </c>
      <c r="CH37" s="707">
        <f t="shared" si="222"/>
        <v>1783</v>
      </c>
      <c r="CI37" s="707">
        <f t="shared" ref="CI37" si="223">-CI27</f>
        <v>2230</v>
      </c>
      <c r="CJ37" s="707">
        <v>225.02009000000544</v>
      </c>
      <c r="CK37" s="707">
        <f t="shared" ref="CK37:CO37" si="224">-CK27</f>
        <v>233.97990999999456</v>
      </c>
      <c r="CL37" s="707">
        <f t="shared" si="224"/>
        <v>0</v>
      </c>
      <c r="CM37" s="707">
        <f t="shared" si="224"/>
        <v>0</v>
      </c>
      <c r="CN37" s="707">
        <f t="shared" si="224"/>
        <v>459</v>
      </c>
      <c r="CO37" s="707">
        <f t="shared" si="224"/>
        <v>0</v>
      </c>
    </row>
    <row r="38" spans="1:93" x14ac:dyDescent="0.25">
      <c r="A38" s="703" t="s">
        <v>220</v>
      </c>
      <c r="B38" s="710">
        <f>B33</f>
        <v>0</v>
      </c>
      <c r="C38" s="710">
        <f t="shared" ref="C38:AQ38" si="225">C33</f>
        <v>0</v>
      </c>
      <c r="D38" s="710">
        <f t="shared" si="225"/>
        <v>1</v>
      </c>
      <c r="E38" s="711">
        <f t="shared" si="225"/>
        <v>-8800</v>
      </c>
      <c r="F38" s="710">
        <f t="shared" si="225"/>
        <v>0</v>
      </c>
      <c r="G38" s="710">
        <f t="shared" si="225"/>
        <v>0</v>
      </c>
      <c r="H38" s="710">
        <f t="shared" si="225"/>
        <v>3702</v>
      </c>
      <c r="I38" s="711">
        <f t="shared" si="225"/>
        <v>-27</v>
      </c>
      <c r="J38" s="710">
        <f t="shared" si="225"/>
        <v>32</v>
      </c>
      <c r="K38" s="710">
        <f t="shared" si="225"/>
        <v>32</v>
      </c>
      <c r="L38" s="710">
        <f t="shared" si="225"/>
        <v>-64</v>
      </c>
      <c r="M38" s="711">
        <f t="shared" si="225"/>
        <v>0</v>
      </c>
      <c r="N38" s="710">
        <f t="shared" si="225"/>
        <v>0</v>
      </c>
      <c r="O38" s="710">
        <f t="shared" si="225"/>
        <v>0</v>
      </c>
      <c r="P38" s="710">
        <f t="shared" si="225"/>
        <v>0</v>
      </c>
      <c r="Q38" s="711">
        <f t="shared" si="225"/>
        <v>0</v>
      </c>
      <c r="R38" s="710">
        <f t="shared" si="225"/>
        <v>0</v>
      </c>
      <c r="S38" s="710">
        <f t="shared" si="225"/>
        <v>-14737</v>
      </c>
      <c r="T38" s="710">
        <f t="shared" si="225"/>
        <v>28623</v>
      </c>
      <c r="U38" s="710">
        <f t="shared" si="225"/>
        <v>31377</v>
      </c>
      <c r="V38" s="710">
        <f t="shared" si="225"/>
        <v>-14737</v>
      </c>
      <c r="W38" s="710">
        <f t="shared" si="225"/>
        <v>13886</v>
      </c>
      <c r="X38" s="711">
        <f t="shared" si="225"/>
        <v>45263</v>
      </c>
      <c r="Y38" s="712">
        <f t="shared" si="225"/>
        <v>0</v>
      </c>
      <c r="Z38" s="710">
        <f t="shared" si="225"/>
        <v>168</v>
      </c>
      <c r="AA38" s="710">
        <f t="shared" si="225"/>
        <v>2150</v>
      </c>
      <c r="AB38" s="710">
        <f t="shared" si="225"/>
        <v>-2130</v>
      </c>
      <c r="AC38" s="712">
        <f t="shared" si="225"/>
        <v>168</v>
      </c>
      <c r="AD38" s="710">
        <f t="shared" si="225"/>
        <v>2318</v>
      </c>
      <c r="AE38" s="710">
        <f t="shared" si="225"/>
        <v>188</v>
      </c>
      <c r="AF38" s="712">
        <f t="shared" si="225"/>
        <v>-351</v>
      </c>
      <c r="AG38" s="710">
        <f t="shared" si="225"/>
        <v>0</v>
      </c>
      <c r="AH38" s="710">
        <f t="shared" si="225"/>
        <v>1041.0320000000002</v>
      </c>
      <c r="AI38" s="710">
        <f t="shared" si="225"/>
        <v>44.578999999999837</v>
      </c>
      <c r="AJ38" s="710">
        <f t="shared" si="225"/>
        <v>-351</v>
      </c>
      <c r="AK38" s="710">
        <f t="shared" si="225"/>
        <v>690.03200000000004</v>
      </c>
      <c r="AL38" s="710">
        <f t="shared" si="225"/>
        <v>734.61099999999999</v>
      </c>
      <c r="AM38" s="712">
        <f t="shared" si="225"/>
        <v>189</v>
      </c>
      <c r="AN38" s="710">
        <f t="shared" si="172"/>
        <v>1674</v>
      </c>
      <c r="AO38" s="710">
        <f t="shared" si="173"/>
        <v>2242</v>
      </c>
      <c r="AP38" s="710">
        <f t="shared" si="173"/>
        <v>76645</v>
      </c>
      <c r="AQ38" s="710">
        <f t="shared" si="225"/>
        <v>1863</v>
      </c>
      <c r="AR38" s="710">
        <f t="shared" ref="AR38:AS38" si="226">AR33</f>
        <v>4105</v>
      </c>
      <c r="AS38" s="710">
        <f t="shared" si="226"/>
        <v>80750</v>
      </c>
      <c r="AT38" s="707">
        <f t="shared" ref="AT38:AU38" si="227">AT33</f>
        <v>8</v>
      </c>
      <c r="AU38" s="707">
        <f t="shared" si="227"/>
        <v>888</v>
      </c>
      <c r="AV38" s="707">
        <f t="shared" ref="AV38:AY38" si="228">AV33</f>
        <v>9702</v>
      </c>
      <c r="AW38" s="707">
        <f t="shared" ref="AW38" si="229">AW33</f>
        <v>9702</v>
      </c>
      <c r="AX38" s="707">
        <f t="shared" si="228"/>
        <v>881</v>
      </c>
      <c r="AY38" s="707">
        <f t="shared" si="228"/>
        <v>9192</v>
      </c>
      <c r="AZ38" s="707">
        <f t="shared" ref="AZ38:BA38" si="230">AZ33</f>
        <v>3337</v>
      </c>
      <c r="BA38" s="707">
        <f t="shared" si="230"/>
        <v>22</v>
      </c>
      <c r="BB38" s="707">
        <f t="shared" ref="BB38:BE38" si="231">BB33</f>
        <v>2668</v>
      </c>
      <c r="BC38" s="707">
        <f t="shared" si="231"/>
        <v>-1108</v>
      </c>
      <c r="BD38" s="707">
        <f t="shared" si="231"/>
        <v>-51938</v>
      </c>
      <c r="BE38" s="707">
        <f t="shared" si="231"/>
        <v>2690</v>
      </c>
      <c r="BF38" s="707">
        <f t="shared" ref="BF38:BG38" si="232">BF33</f>
        <v>1582</v>
      </c>
      <c r="BG38" s="707">
        <f t="shared" si="232"/>
        <v>-50356</v>
      </c>
      <c r="BH38" s="707">
        <f t="shared" ref="BH38:BL38" si="233">BH33</f>
        <v>2521</v>
      </c>
      <c r="BI38" s="707">
        <f t="shared" si="233"/>
        <v>-2144</v>
      </c>
      <c r="BJ38" s="707">
        <f t="shared" si="233"/>
        <v>572</v>
      </c>
      <c r="BK38" s="707">
        <f t="shared" si="233"/>
        <v>-11313</v>
      </c>
      <c r="BL38" s="707">
        <f t="shared" si="233"/>
        <v>377</v>
      </c>
      <c r="BM38" s="707">
        <f t="shared" ref="BM38:BN38" si="234">BM33</f>
        <v>949</v>
      </c>
      <c r="BN38" s="707">
        <f t="shared" si="234"/>
        <v>-10364</v>
      </c>
      <c r="BO38" s="707">
        <f t="shared" ref="BO38:BS38" si="235">BO33</f>
        <v>412</v>
      </c>
      <c r="BP38" s="707">
        <f t="shared" si="235"/>
        <v>1318</v>
      </c>
      <c r="BQ38" s="707">
        <f>BQ33</f>
        <v>-1430</v>
      </c>
      <c r="BR38" s="707">
        <f t="shared" si="235"/>
        <v>60</v>
      </c>
      <c r="BS38" s="707">
        <f t="shared" si="235"/>
        <v>1730</v>
      </c>
      <c r="BT38" s="707">
        <f t="shared" ref="BT38:BU38" si="236">BT33</f>
        <v>300</v>
      </c>
      <c r="BU38" s="707">
        <f t="shared" si="236"/>
        <v>360</v>
      </c>
      <c r="BV38" s="707">
        <f t="shared" ref="BV38:BW38" si="237">BV33</f>
        <v>-184</v>
      </c>
      <c r="BW38" s="707">
        <f t="shared" si="237"/>
        <v>1781</v>
      </c>
      <c r="BX38" s="707">
        <f t="shared" ref="BX38:BZ38" si="238">BX33</f>
        <v>1896</v>
      </c>
      <c r="BY38" s="707">
        <f t="shared" si="238"/>
        <v>911</v>
      </c>
      <c r="BZ38" s="707">
        <f t="shared" si="238"/>
        <v>1597</v>
      </c>
      <c r="CA38" s="707">
        <f t="shared" ref="CA38:CB38" si="239">CA33</f>
        <v>3493</v>
      </c>
      <c r="CB38" s="707">
        <f t="shared" si="239"/>
        <v>4404</v>
      </c>
      <c r="CC38" s="707">
        <f t="shared" ref="CC38:CD38" si="240">CC33</f>
        <v>586</v>
      </c>
      <c r="CD38" s="707">
        <f t="shared" si="240"/>
        <v>640</v>
      </c>
      <c r="CE38" s="707">
        <f t="shared" ref="CE38:CF38" si="241">CE33</f>
        <v>-3874</v>
      </c>
      <c r="CF38" s="707">
        <f t="shared" si="241"/>
        <v>10664</v>
      </c>
      <c r="CG38" s="707">
        <f t="shared" ref="CG38:CH38" si="242">CG33</f>
        <v>1226</v>
      </c>
      <c r="CH38" s="707">
        <f t="shared" si="242"/>
        <v>-2648</v>
      </c>
      <c r="CI38" s="707">
        <f t="shared" ref="CI38" si="243">CI33</f>
        <v>8016</v>
      </c>
      <c r="CJ38" s="707">
        <v>1332.2795599999999</v>
      </c>
      <c r="CK38" s="707">
        <f t="shared" ref="CK38:CO38" si="244">CK33</f>
        <v>587.72044000000005</v>
      </c>
      <c r="CL38" s="707">
        <f t="shared" si="244"/>
        <v>0</v>
      </c>
      <c r="CM38" s="707">
        <f t="shared" si="244"/>
        <v>0</v>
      </c>
      <c r="CN38" s="707">
        <f t="shared" si="244"/>
        <v>1920</v>
      </c>
      <c r="CO38" s="707">
        <f t="shared" si="244"/>
        <v>0</v>
      </c>
    </row>
    <row r="39" spans="1:93" x14ac:dyDescent="0.25">
      <c r="A39" s="703" t="s">
        <v>764</v>
      </c>
      <c r="B39" s="704"/>
      <c r="C39" s="704"/>
      <c r="D39" s="704"/>
      <c r="E39" s="706"/>
      <c r="I39" s="706"/>
      <c r="M39" s="706"/>
      <c r="Q39" s="706"/>
      <c r="X39" s="706"/>
      <c r="Y39" s="707"/>
      <c r="AC39" s="707"/>
      <c r="AF39" s="707"/>
      <c r="AK39" s="704"/>
      <c r="AM39" s="707"/>
      <c r="AN39" s="704"/>
      <c r="AO39" s="704"/>
      <c r="AP39" s="704"/>
      <c r="AQ39" s="704"/>
      <c r="AR39" s="704"/>
      <c r="AT39" s="707"/>
      <c r="AU39" s="707"/>
      <c r="AV39" s="707"/>
      <c r="AW39" s="707"/>
      <c r="AX39" s="707"/>
      <c r="AY39" s="707"/>
      <c r="AZ39" s="707"/>
      <c r="BA39" s="707"/>
      <c r="BB39" s="707"/>
      <c r="BC39" s="707"/>
      <c r="BD39" s="707"/>
      <c r="BE39" s="707"/>
      <c r="BF39" s="707"/>
      <c r="BG39" s="707"/>
      <c r="BH39" s="707"/>
      <c r="BI39" s="707"/>
      <c r="BJ39" s="707"/>
      <c r="BK39" s="707"/>
      <c r="BL39" s="707"/>
      <c r="BM39" s="707"/>
      <c r="BN39" s="707"/>
      <c r="BO39" s="707"/>
      <c r="BP39" s="707"/>
      <c r="BQ39" s="707"/>
      <c r="BR39" s="707"/>
      <c r="BS39" s="707"/>
      <c r="BT39" s="707"/>
      <c r="BU39" s="707"/>
      <c r="BV39" s="707"/>
      <c r="BW39" s="707"/>
      <c r="BX39" s="707"/>
      <c r="BY39" s="707"/>
      <c r="BZ39" s="707"/>
      <c r="CA39" s="707"/>
      <c r="CB39" s="707">
        <v>0</v>
      </c>
      <c r="CC39" s="707">
        <v>0</v>
      </c>
      <c r="CD39" s="707"/>
      <c r="CE39" s="707"/>
      <c r="CF39" s="707"/>
      <c r="CG39" s="707"/>
      <c r="CH39" s="707"/>
      <c r="CI39" s="707">
        <v>-10833</v>
      </c>
      <c r="CJ39" s="707">
        <v>0</v>
      </c>
      <c r="CK39" s="707">
        <v>0</v>
      </c>
      <c r="CL39" s="707">
        <v>0</v>
      </c>
      <c r="CM39" s="707">
        <v>0</v>
      </c>
      <c r="CN39" s="707">
        <v>0</v>
      </c>
      <c r="CO39" s="707">
        <v>0</v>
      </c>
    </row>
    <row r="40" spans="1:93" x14ac:dyDescent="0.25">
      <c r="A40" s="709" t="s">
        <v>765</v>
      </c>
      <c r="B40" s="704"/>
      <c r="C40" s="704"/>
      <c r="D40" s="704"/>
      <c r="E40" s="706"/>
      <c r="I40" s="706"/>
      <c r="M40" s="706"/>
      <c r="Q40" s="706"/>
      <c r="X40" s="706"/>
      <c r="Y40" s="707"/>
      <c r="AC40" s="707"/>
      <c r="AF40" s="707"/>
      <c r="AK40" s="704"/>
      <c r="AM40" s="707"/>
      <c r="AN40" s="704"/>
      <c r="AO40" s="704"/>
      <c r="AP40" s="704"/>
      <c r="AQ40" s="704"/>
      <c r="AR40" s="704"/>
      <c r="AT40" s="712"/>
      <c r="AU40" s="712"/>
      <c r="AV40" s="712"/>
      <c r="AW40" s="712"/>
      <c r="AX40" s="712"/>
      <c r="AY40" s="712"/>
      <c r="AZ40" s="712"/>
      <c r="BA40" s="712"/>
      <c r="BB40" s="712"/>
      <c r="BC40" s="712"/>
      <c r="BD40" s="712"/>
      <c r="BE40" s="712"/>
      <c r="BF40" s="712"/>
      <c r="BG40" s="712"/>
      <c r="BH40" s="712"/>
      <c r="BI40" s="712"/>
      <c r="BJ40" s="712"/>
      <c r="BK40" s="712"/>
      <c r="BL40" s="712"/>
      <c r="BM40" s="712"/>
      <c r="BN40" s="712"/>
      <c r="BO40" s="712"/>
      <c r="BP40" s="712"/>
      <c r="BQ40" s="712"/>
      <c r="BR40" s="712"/>
      <c r="BS40" s="712"/>
      <c r="BT40" s="712"/>
      <c r="BU40" s="712"/>
      <c r="BV40" s="712"/>
      <c r="BW40" s="712"/>
      <c r="BX40" s="712"/>
      <c r="BY40" s="712"/>
      <c r="BZ40" s="712"/>
      <c r="CA40" s="712"/>
      <c r="CB40" s="712">
        <v>-8533</v>
      </c>
      <c r="CC40" s="712">
        <v>-2663</v>
      </c>
      <c r="CD40" s="712"/>
      <c r="CE40" s="712"/>
      <c r="CF40" s="712"/>
      <c r="CG40" s="712">
        <v>-4718</v>
      </c>
      <c r="CH40" s="712"/>
      <c r="CI40" s="712">
        <v>-12067</v>
      </c>
      <c r="CJ40" s="712">
        <v>-3457</v>
      </c>
      <c r="CK40" s="712">
        <f>CN40-CJ40</f>
        <v>-3189</v>
      </c>
      <c r="CL40" s="712"/>
      <c r="CM40" s="712"/>
      <c r="CN40" s="806">
        <v>-6646</v>
      </c>
      <c r="CO40" s="712"/>
    </row>
    <row r="41" spans="1:93" ht="13" x14ac:dyDescent="0.3">
      <c r="A41" s="525" t="s">
        <v>110</v>
      </c>
      <c r="B41" s="526">
        <f>(B43)*(1-B42)</f>
        <v>-7145</v>
      </c>
      <c r="C41" s="526">
        <f t="shared" ref="C41:AR41" si="245">(C43)*(1-C42)</f>
        <v>-6830</v>
      </c>
      <c r="D41" s="526">
        <f t="shared" si="245"/>
        <v>-7063</v>
      </c>
      <c r="E41" s="637">
        <f t="shared" si="245"/>
        <v>-6999</v>
      </c>
      <c r="F41" s="526">
        <f t="shared" si="245"/>
        <v>-3307</v>
      </c>
      <c r="G41" s="526">
        <f t="shared" si="245"/>
        <v>-8105</v>
      </c>
      <c r="H41" s="526">
        <f t="shared" si="245"/>
        <v>-7151</v>
      </c>
      <c r="I41" s="637">
        <f t="shared" si="245"/>
        <v>-6468</v>
      </c>
      <c r="J41" s="526">
        <f t="shared" si="245"/>
        <v>-5406.7670118249998</v>
      </c>
      <c r="K41" s="526">
        <f t="shared" si="245"/>
        <v>-11344.003388175001</v>
      </c>
      <c r="L41" s="526">
        <f t="shared" si="245"/>
        <v>-7096.1699999999992</v>
      </c>
      <c r="M41" s="637">
        <f t="shared" si="245"/>
        <v>-10782.059600000004</v>
      </c>
      <c r="N41" s="526">
        <f t="shared" si="245"/>
        <v>-4063</v>
      </c>
      <c r="O41" s="526">
        <f t="shared" si="245"/>
        <v>468</v>
      </c>
      <c r="P41" s="526">
        <f t="shared" si="245"/>
        <v>8326</v>
      </c>
      <c r="Q41" s="637">
        <f t="shared" si="245"/>
        <v>-625629</v>
      </c>
      <c r="R41" s="526">
        <f t="shared" si="245"/>
        <v>-5614</v>
      </c>
      <c r="S41" s="526">
        <f t="shared" si="245"/>
        <v>-33725</v>
      </c>
      <c r="T41" s="526">
        <f t="shared" si="245"/>
        <v>26913</v>
      </c>
      <c r="U41" s="526">
        <f t="shared" si="245"/>
        <v>202759</v>
      </c>
      <c r="V41" s="526">
        <f t="shared" si="245"/>
        <v>-39339</v>
      </c>
      <c r="W41" s="526">
        <f t="shared" si="245"/>
        <v>-12426</v>
      </c>
      <c r="X41" s="637">
        <f t="shared" si="245"/>
        <v>190333</v>
      </c>
      <c r="Y41" s="527">
        <f t="shared" si="245"/>
        <v>-6206</v>
      </c>
      <c r="Z41" s="526">
        <f t="shared" si="245"/>
        <v>8690</v>
      </c>
      <c r="AA41" s="526">
        <f t="shared" si="245"/>
        <v>-2115</v>
      </c>
      <c r="AB41" s="526">
        <f t="shared" si="245"/>
        <v>-10085</v>
      </c>
      <c r="AC41" s="527">
        <f t="shared" si="245"/>
        <v>2484</v>
      </c>
      <c r="AD41" s="526">
        <f t="shared" si="245"/>
        <v>369</v>
      </c>
      <c r="AE41" s="526">
        <f t="shared" si="245"/>
        <v>-9716</v>
      </c>
      <c r="AF41" s="527">
        <f t="shared" si="245"/>
        <v>-5380</v>
      </c>
      <c r="AG41" s="526">
        <f t="shared" si="245"/>
        <v>7163</v>
      </c>
      <c r="AH41" s="526">
        <f t="shared" si="245"/>
        <v>-670476.96799999999</v>
      </c>
      <c r="AI41" s="526">
        <f t="shared" si="245"/>
        <v>876752.57900000003</v>
      </c>
      <c r="AJ41" s="526">
        <f t="shared" si="245"/>
        <v>1783</v>
      </c>
      <c r="AK41" s="526">
        <f t="shared" si="245"/>
        <v>-668693.96799999999</v>
      </c>
      <c r="AL41" s="526">
        <f t="shared" si="245"/>
        <v>208058.611</v>
      </c>
      <c r="AM41" s="527">
        <f t="shared" si="245"/>
        <v>-6034</v>
      </c>
      <c r="AN41" s="526">
        <f t="shared" si="172"/>
        <v>-9116</v>
      </c>
      <c r="AO41" s="526">
        <f t="shared" si="173"/>
        <v>-42789</v>
      </c>
      <c r="AP41" s="526">
        <f t="shared" si="173"/>
        <v>28273</v>
      </c>
      <c r="AQ41" s="526">
        <f t="shared" si="245"/>
        <v>-15150</v>
      </c>
      <c r="AR41" s="526">
        <f t="shared" si="245"/>
        <v>-57939</v>
      </c>
      <c r="AS41" s="526">
        <f t="shared" ref="AS41:AT41" si="246">(AS43)*(1-AS42)</f>
        <v>-29666</v>
      </c>
      <c r="AT41" s="527">
        <f t="shared" si="246"/>
        <v>-6333</v>
      </c>
      <c r="AU41" s="527">
        <f t="shared" ref="AU41:AY41" si="247">(AU43)*(1-AU42)</f>
        <v>-12408</v>
      </c>
      <c r="AV41" s="527">
        <f t="shared" si="247"/>
        <v>-4553</v>
      </c>
      <c r="AW41" s="527">
        <f t="shared" ref="AW41" si="248">(AW43)*(1-AW42)</f>
        <v>-35975</v>
      </c>
      <c r="AX41" s="527">
        <f t="shared" si="247"/>
        <v>-18756</v>
      </c>
      <c r="AY41" s="527">
        <f t="shared" si="247"/>
        <v>-25495</v>
      </c>
      <c r="AZ41" s="527">
        <f t="shared" ref="AZ41:BA41" si="249">(AZ43)*(1-AZ42)</f>
        <v>-35393</v>
      </c>
      <c r="BA41" s="527">
        <f t="shared" si="249"/>
        <v>-5393</v>
      </c>
      <c r="BB41" s="527">
        <f t="shared" ref="BB41:BE41" si="250">(BB43)*(1-BB42)</f>
        <v>-4075</v>
      </c>
      <c r="BC41" s="527">
        <f t="shared" si="250"/>
        <v>-5260</v>
      </c>
      <c r="BD41" s="527">
        <f t="shared" si="250"/>
        <v>-8910</v>
      </c>
      <c r="BE41" s="527">
        <f t="shared" si="250"/>
        <v>-9468</v>
      </c>
      <c r="BF41" s="527">
        <f t="shared" ref="BF41:BG41" si="251">(BF43)*(1-BF42)</f>
        <v>-14728</v>
      </c>
      <c r="BG41" s="527">
        <f t="shared" si="251"/>
        <v>-23638</v>
      </c>
      <c r="BH41" s="527" t="e">
        <f t="shared" ref="BH41:BL41" si="252">(BH43)*(1-BH42)</f>
        <v>#REF!</v>
      </c>
      <c r="BI41" s="527" t="e">
        <f t="shared" si="252"/>
        <v>#REF!</v>
      </c>
      <c r="BJ41" s="527">
        <f t="shared" si="252"/>
        <v>-6115</v>
      </c>
      <c r="BK41" s="527">
        <f t="shared" si="252"/>
        <v>-10632</v>
      </c>
      <c r="BL41" s="527">
        <f t="shared" si="252"/>
        <v>-13693</v>
      </c>
      <c r="BM41" s="527">
        <f t="shared" ref="BM41:BN41" si="253">(BM43)*(1-BM42)</f>
        <v>-19808</v>
      </c>
      <c r="BN41" s="527">
        <f t="shared" si="253"/>
        <v>-30440</v>
      </c>
      <c r="BO41" s="527">
        <f t="shared" ref="BO41:BS41" si="254">(BO43)*(1-BO42)</f>
        <v>-6273</v>
      </c>
      <c r="BP41" s="527">
        <f t="shared" si="254"/>
        <v>-6286</v>
      </c>
      <c r="BQ41" s="527">
        <f t="shared" si="254"/>
        <v>-5104</v>
      </c>
      <c r="BR41" s="527">
        <f t="shared" si="254"/>
        <v>-12586</v>
      </c>
      <c r="BS41" s="527">
        <f t="shared" si="254"/>
        <v>-12559</v>
      </c>
      <c r="BT41" s="527">
        <f t="shared" ref="BT41:BU41" si="255">(BT43)*(1-BT42)</f>
        <v>-17663</v>
      </c>
      <c r="BU41" s="527">
        <f t="shared" si="255"/>
        <v>-30250</v>
      </c>
      <c r="BV41" s="527">
        <f t="shared" ref="BV41:BW41" si="256">(BV43)*(1-BV42)</f>
        <v>-7102</v>
      </c>
      <c r="BW41" s="527">
        <f t="shared" si="256"/>
        <v>-5114</v>
      </c>
      <c r="BX41" s="527">
        <f t="shared" ref="BX41:BZ41" si="257">(BX43)*(1-BX42)</f>
        <v>-7126</v>
      </c>
      <c r="BY41" s="527">
        <f t="shared" si="257"/>
        <v>-14330</v>
      </c>
      <c r="BZ41" s="527">
        <f t="shared" si="257"/>
        <v>-12216</v>
      </c>
      <c r="CA41" s="527">
        <f t="shared" ref="CA41:CB41" si="258">(CA43)*(1-CA42)</f>
        <v>-19342</v>
      </c>
      <c r="CB41" s="527">
        <f t="shared" si="258"/>
        <v>-42205</v>
      </c>
      <c r="CC41" s="527">
        <f t="shared" ref="CC41:CD41" si="259">(CC43)*(1-CC42)</f>
        <v>-7639.751549999999</v>
      </c>
      <c r="CD41" s="527">
        <f t="shared" si="259"/>
        <v>1531.751549999999</v>
      </c>
      <c r="CE41" s="527">
        <f t="shared" ref="CE41:CF41" si="260">(CE43)*(1-CE42)</f>
        <v>-5753</v>
      </c>
      <c r="CF41" s="527">
        <f t="shared" si="260"/>
        <v>-8022</v>
      </c>
      <c r="CG41" s="527">
        <f t="shared" ref="CG41:CH41" si="261">(CG43)*(1-CG42)</f>
        <v>-8162</v>
      </c>
      <c r="CH41" s="527">
        <f t="shared" si="261"/>
        <v>-9197</v>
      </c>
      <c r="CI41" s="527">
        <f t="shared" ref="CI41" si="262">(CI43)*(1-CI42)</f>
        <v>-40119</v>
      </c>
      <c r="CJ41" s="527">
        <v>-9060.9997500000027</v>
      </c>
      <c r="CK41" s="527">
        <f t="shared" ref="CK41:CO41" si="263">(CK43)*(1-CK42)</f>
        <v>-11634.000249999997</v>
      </c>
      <c r="CL41" s="527">
        <f t="shared" si="263"/>
        <v>0</v>
      </c>
      <c r="CM41" s="527">
        <f t="shared" si="263"/>
        <v>0</v>
      </c>
      <c r="CN41" s="527">
        <f t="shared" si="263"/>
        <v>-20695</v>
      </c>
      <c r="CO41" s="527">
        <f t="shared" si="263"/>
        <v>0</v>
      </c>
    </row>
    <row r="42" spans="1:93" x14ac:dyDescent="0.25">
      <c r="A42" s="703" t="s">
        <v>228</v>
      </c>
      <c r="B42" s="592">
        <v>0</v>
      </c>
      <c r="C42" s="592">
        <v>0</v>
      </c>
      <c r="D42" s="592">
        <v>0</v>
      </c>
      <c r="E42" s="645">
        <v>0</v>
      </c>
      <c r="F42" s="592">
        <v>0</v>
      </c>
      <c r="G42" s="592">
        <v>0</v>
      </c>
      <c r="H42" s="592">
        <v>0</v>
      </c>
      <c r="I42" s="645">
        <v>0</v>
      </c>
      <c r="J42" s="592">
        <v>0</v>
      </c>
      <c r="K42" s="592">
        <v>0</v>
      </c>
      <c r="L42" s="592">
        <v>0</v>
      </c>
      <c r="M42" s="645">
        <v>0</v>
      </c>
      <c r="N42" s="592">
        <v>0</v>
      </c>
      <c r="O42" s="592">
        <v>0</v>
      </c>
      <c r="P42" s="592">
        <v>0</v>
      </c>
      <c r="Q42" s="645">
        <v>0</v>
      </c>
      <c r="R42" s="592">
        <v>0</v>
      </c>
      <c r="S42" s="592">
        <v>0</v>
      </c>
      <c r="T42" s="592">
        <v>0</v>
      </c>
      <c r="U42" s="592">
        <v>0</v>
      </c>
      <c r="V42" s="592">
        <v>0</v>
      </c>
      <c r="W42" s="592">
        <v>0</v>
      </c>
      <c r="X42" s="645">
        <v>0</v>
      </c>
      <c r="Y42" s="593">
        <v>0</v>
      </c>
      <c r="Z42" s="592">
        <v>0</v>
      </c>
      <c r="AA42" s="592">
        <v>0</v>
      </c>
      <c r="AB42" s="592">
        <v>0</v>
      </c>
      <c r="AC42" s="593">
        <v>0</v>
      </c>
      <c r="AD42" s="592">
        <v>0</v>
      </c>
      <c r="AE42" s="592">
        <v>0</v>
      </c>
      <c r="AF42" s="593">
        <v>0</v>
      </c>
      <c r="AG42" s="592">
        <v>0</v>
      </c>
      <c r="AH42" s="592">
        <v>0</v>
      </c>
      <c r="AI42" s="592">
        <v>0</v>
      </c>
      <c r="AJ42" s="592">
        <v>0</v>
      </c>
      <c r="AK42" s="592">
        <v>0</v>
      </c>
      <c r="AL42" s="592">
        <v>0</v>
      </c>
      <c r="AM42" s="593">
        <v>0</v>
      </c>
      <c r="AN42" s="592">
        <f t="shared" si="172"/>
        <v>0</v>
      </c>
      <c r="AO42" s="592">
        <f t="shared" si="173"/>
        <v>0</v>
      </c>
      <c r="AP42" s="592">
        <f t="shared" si="173"/>
        <v>0</v>
      </c>
      <c r="AQ42" s="592">
        <v>0</v>
      </c>
      <c r="AR42" s="592">
        <v>0</v>
      </c>
      <c r="AS42" s="592">
        <v>0</v>
      </c>
      <c r="AT42" s="593">
        <v>0</v>
      </c>
      <c r="AU42" s="593">
        <v>0</v>
      </c>
      <c r="AV42" s="593">
        <v>0</v>
      </c>
      <c r="AW42" s="593">
        <v>0</v>
      </c>
      <c r="AX42" s="593">
        <v>0</v>
      </c>
      <c r="AY42" s="593">
        <v>0</v>
      </c>
      <c r="AZ42" s="593">
        <v>0</v>
      </c>
      <c r="BA42" s="593">
        <v>0</v>
      </c>
      <c r="BB42" s="593">
        <v>0</v>
      </c>
      <c r="BC42" s="593">
        <v>0</v>
      </c>
      <c r="BD42" s="593">
        <v>0</v>
      </c>
      <c r="BE42" s="593">
        <v>0</v>
      </c>
      <c r="BF42" s="593">
        <v>0</v>
      </c>
      <c r="BG42" s="593">
        <v>0</v>
      </c>
      <c r="BH42" s="593">
        <v>0</v>
      </c>
      <c r="BI42" s="593">
        <v>0</v>
      </c>
      <c r="BJ42" s="593">
        <v>0</v>
      </c>
      <c r="BK42" s="593">
        <v>0</v>
      </c>
      <c r="BL42" s="593">
        <v>0</v>
      </c>
      <c r="BM42" s="593">
        <v>0</v>
      </c>
      <c r="BN42" s="593">
        <v>0</v>
      </c>
      <c r="BO42" s="593">
        <v>0</v>
      </c>
      <c r="BP42" s="593">
        <v>0</v>
      </c>
      <c r="BQ42" s="593">
        <v>0</v>
      </c>
      <c r="BR42" s="593">
        <v>0</v>
      </c>
      <c r="BS42" s="593">
        <v>0</v>
      </c>
      <c r="BT42" s="593">
        <v>0</v>
      </c>
      <c r="BU42" s="593">
        <v>0</v>
      </c>
      <c r="BV42" s="593">
        <v>0</v>
      </c>
      <c r="BW42" s="593">
        <v>0</v>
      </c>
      <c r="BX42" s="593">
        <v>0</v>
      </c>
      <c r="BY42" s="593">
        <v>0</v>
      </c>
      <c r="BZ42" s="593">
        <v>0</v>
      </c>
      <c r="CA42" s="593">
        <v>0</v>
      </c>
      <c r="CB42" s="593">
        <v>0</v>
      </c>
      <c r="CC42" s="593">
        <v>0</v>
      </c>
      <c r="CD42" s="593">
        <v>0</v>
      </c>
      <c r="CE42" s="593">
        <v>0</v>
      </c>
      <c r="CF42" s="593">
        <v>0</v>
      </c>
      <c r="CG42" s="593">
        <v>0</v>
      </c>
      <c r="CH42" s="593">
        <v>0</v>
      </c>
      <c r="CI42" s="593">
        <v>0</v>
      </c>
      <c r="CJ42" s="593">
        <v>0</v>
      </c>
      <c r="CK42" s="593">
        <v>0</v>
      </c>
      <c r="CL42" s="593">
        <v>0</v>
      </c>
      <c r="CM42" s="593">
        <v>0</v>
      </c>
      <c r="CN42" s="593">
        <v>0</v>
      </c>
      <c r="CO42" s="593">
        <v>0</v>
      </c>
    </row>
    <row r="43" spans="1:93" x14ac:dyDescent="0.25">
      <c r="A43" s="703" t="s">
        <v>461</v>
      </c>
      <c r="B43" s="704">
        <f>SUM(B44,B47)</f>
        <v>-7145</v>
      </c>
      <c r="C43" s="704">
        <f t="shared" ref="C43:AQ43" si="264">SUM(C44,C47)</f>
        <v>-6830</v>
      </c>
      <c r="D43" s="704">
        <f t="shared" si="264"/>
        <v>-7063</v>
      </c>
      <c r="E43" s="706">
        <f t="shared" si="264"/>
        <v>-6999</v>
      </c>
      <c r="F43" s="704">
        <f t="shared" si="264"/>
        <v>-3307</v>
      </c>
      <c r="G43" s="704">
        <f t="shared" si="264"/>
        <v>-8105</v>
      </c>
      <c r="H43" s="704">
        <f t="shared" si="264"/>
        <v>-7151</v>
      </c>
      <c r="I43" s="706">
        <f t="shared" si="264"/>
        <v>-6468</v>
      </c>
      <c r="J43" s="704">
        <f t="shared" si="264"/>
        <v>-5406.7670118249998</v>
      </c>
      <c r="K43" s="704">
        <f t="shared" si="264"/>
        <v>-11344.003388175001</v>
      </c>
      <c r="L43" s="704">
        <f t="shared" si="264"/>
        <v>-7096.1699999999992</v>
      </c>
      <c r="M43" s="706">
        <f t="shared" si="264"/>
        <v>-10782.059600000004</v>
      </c>
      <c r="N43" s="704">
        <f t="shared" si="264"/>
        <v>-4063</v>
      </c>
      <c r="O43" s="704">
        <f t="shared" si="264"/>
        <v>468</v>
      </c>
      <c r="P43" s="704">
        <f t="shared" si="264"/>
        <v>8326</v>
      </c>
      <c r="Q43" s="706">
        <f t="shared" si="264"/>
        <v>-625629</v>
      </c>
      <c r="R43" s="704">
        <f t="shared" si="264"/>
        <v>-5614</v>
      </c>
      <c r="S43" s="704">
        <f t="shared" si="264"/>
        <v>-33725</v>
      </c>
      <c r="T43" s="704">
        <f t="shared" si="264"/>
        <v>26913</v>
      </c>
      <c r="U43" s="704">
        <f t="shared" si="264"/>
        <v>202759</v>
      </c>
      <c r="V43" s="704">
        <f t="shared" si="264"/>
        <v>-39339</v>
      </c>
      <c r="W43" s="704">
        <f t="shared" si="264"/>
        <v>-12426</v>
      </c>
      <c r="X43" s="706">
        <f t="shared" si="264"/>
        <v>190333</v>
      </c>
      <c r="Y43" s="707">
        <f t="shared" si="264"/>
        <v>-6206</v>
      </c>
      <c r="Z43" s="704">
        <f t="shared" si="264"/>
        <v>8690</v>
      </c>
      <c r="AA43" s="704">
        <f t="shared" si="264"/>
        <v>-2115</v>
      </c>
      <c r="AB43" s="704">
        <f t="shared" si="264"/>
        <v>-10085</v>
      </c>
      <c r="AC43" s="707">
        <f t="shared" si="264"/>
        <v>2484</v>
      </c>
      <c r="AD43" s="704">
        <f t="shared" si="264"/>
        <v>369</v>
      </c>
      <c r="AE43" s="704">
        <f t="shared" si="264"/>
        <v>-9716</v>
      </c>
      <c r="AF43" s="707">
        <f t="shared" si="264"/>
        <v>-5380</v>
      </c>
      <c r="AG43" s="704">
        <f t="shared" si="264"/>
        <v>7163</v>
      </c>
      <c r="AH43" s="704">
        <f t="shared" si="264"/>
        <v>-670476.96799999999</v>
      </c>
      <c r="AI43" s="704">
        <f t="shared" si="264"/>
        <v>876752.57900000003</v>
      </c>
      <c r="AJ43" s="704">
        <f t="shared" si="264"/>
        <v>1783</v>
      </c>
      <c r="AK43" s="704">
        <f t="shared" si="264"/>
        <v>-668693.96799999999</v>
      </c>
      <c r="AL43" s="704">
        <f t="shared" si="264"/>
        <v>208058.611</v>
      </c>
      <c r="AM43" s="707">
        <f t="shared" si="264"/>
        <v>-6034</v>
      </c>
      <c r="AN43" s="704">
        <f t="shared" si="172"/>
        <v>-9116</v>
      </c>
      <c r="AO43" s="704">
        <f t="shared" si="173"/>
        <v>-42789</v>
      </c>
      <c r="AP43" s="704">
        <f t="shared" si="173"/>
        <v>28273</v>
      </c>
      <c r="AQ43" s="704">
        <f t="shared" si="264"/>
        <v>-15150</v>
      </c>
      <c r="AR43" s="704">
        <f t="shared" ref="AR43:AS43" si="265">SUM(AR44,AR47)</f>
        <v>-57939</v>
      </c>
      <c r="AS43" s="704">
        <f t="shared" si="265"/>
        <v>-29666</v>
      </c>
      <c r="AT43" s="707">
        <f t="shared" ref="AT43:AU43" si="266">SUM(AT44,AT47)</f>
        <v>-6333</v>
      </c>
      <c r="AU43" s="707">
        <f t="shared" si="266"/>
        <v>-12408</v>
      </c>
      <c r="AV43" s="707">
        <f t="shared" ref="AV43:AY43" si="267">SUM(AV44,AV47)</f>
        <v>-4553</v>
      </c>
      <c r="AW43" s="707">
        <f t="shared" ref="AW43" si="268">SUM(AW44,AW47)</f>
        <v>-35975</v>
      </c>
      <c r="AX43" s="707">
        <f t="shared" si="267"/>
        <v>-18756</v>
      </c>
      <c r="AY43" s="707">
        <f t="shared" si="267"/>
        <v>-25495</v>
      </c>
      <c r="AZ43" s="707">
        <f t="shared" ref="AZ43:BA43" si="269">SUM(AZ44,AZ47)</f>
        <v>-35393</v>
      </c>
      <c r="BA43" s="707">
        <f t="shared" si="269"/>
        <v>-5393</v>
      </c>
      <c r="BB43" s="707">
        <f t="shared" ref="BB43:BE43" si="270">SUM(BB44,BB47)</f>
        <v>-4075</v>
      </c>
      <c r="BC43" s="707">
        <f t="shared" si="270"/>
        <v>-5260</v>
      </c>
      <c r="BD43" s="707">
        <f t="shared" si="270"/>
        <v>-8910</v>
      </c>
      <c r="BE43" s="707">
        <f t="shared" si="270"/>
        <v>-9468</v>
      </c>
      <c r="BF43" s="707">
        <f t="shared" ref="BF43:BG43" si="271">SUM(BF44,BF47)</f>
        <v>-14728</v>
      </c>
      <c r="BG43" s="707">
        <f t="shared" si="271"/>
        <v>-23638</v>
      </c>
      <c r="BH43" s="707" t="e">
        <f t="shared" ref="BH43:BL43" si="272">SUM(BH44,BH47)</f>
        <v>#REF!</v>
      </c>
      <c r="BI43" s="707" t="e">
        <f t="shared" si="272"/>
        <v>#REF!</v>
      </c>
      <c r="BJ43" s="707">
        <f t="shared" si="272"/>
        <v>-6115</v>
      </c>
      <c r="BK43" s="707">
        <f t="shared" si="272"/>
        <v>-10632</v>
      </c>
      <c r="BL43" s="707">
        <f t="shared" si="272"/>
        <v>-13693</v>
      </c>
      <c r="BM43" s="707">
        <f t="shared" ref="BM43:BN43" si="273">SUM(BM44,BM47)</f>
        <v>-19808</v>
      </c>
      <c r="BN43" s="707">
        <f t="shared" si="273"/>
        <v>-30440</v>
      </c>
      <c r="BO43" s="707">
        <f t="shared" ref="BO43:BS43" si="274">SUM(BO44,BO47)</f>
        <v>-6273</v>
      </c>
      <c r="BP43" s="707">
        <f t="shared" si="274"/>
        <v>-6286</v>
      </c>
      <c r="BQ43" s="707">
        <f t="shared" si="274"/>
        <v>-5104</v>
      </c>
      <c r="BR43" s="707">
        <f t="shared" si="274"/>
        <v>-12586</v>
      </c>
      <c r="BS43" s="707">
        <f t="shared" si="274"/>
        <v>-12559</v>
      </c>
      <c r="BT43" s="707">
        <f t="shared" ref="BT43:BU43" si="275">SUM(BT44,BT47)</f>
        <v>-17663</v>
      </c>
      <c r="BU43" s="707">
        <f t="shared" si="275"/>
        <v>-30250</v>
      </c>
      <c r="BV43" s="707">
        <f t="shared" ref="BV43:BW43" si="276">SUM(BV44,BV47)</f>
        <v>-7102</v>
      </c>
      <c r="BW43" s="707">
        <f t="shared" si="276"/>
        <v>-5114</v>
      </c>
      <c r="BX43" s="707">
        <f t="shared" ref="BX43:BZ43" si="277">SUM(BX44,BX47)</f>
        <v>-7126</v>
      </c>
      <c r="BY43" s="707">
        <f t="shared" si="277"/>
        <v>-14330</v>
      </c>
      <c r="BZ43" s="707">
        <f t="shared" si="277"/>
        <v>-12216</v>
      </c>
      <c r="CA43" s="707">
        <f t="shared" ref="CA43:CB43" si="278">SUM(CA44,CA47)</f>
        <v>-19342</v>
      </c>
      <c r="CB43" s="707">
        <f t="shared" si="278"/>
        <v>-42205</v>
      </c>
      <c r="CC43" s="707">
        <f t="shared" ref="CC43:CD43" si="279">SUM(CC44,CC47)</f>
        <v>-7639.751549999999</v>
      </c>
      <c r="CD43" s="707">
        <f t="shared" si="279"/>
        <v>1531.751549999999</v>
      </c>
      <c r="CE43" s="707">
        <f t="shared" ref="CE43:CF43" si="280">SUM(CE44,CE47)</f>
        <v>-5753</v>
      </c>
      <c r="CF43" s="707">
        <f t="shared" si="280"/>
        <v>-8022</v>
      </c>
      <c r="CG43" s="707">
        <f t="shared" ref="CG43:CH43" si="281">SUM(CG44,CG47)</f>
        <v>-8162</v>
      </c>
      <c r="CH43" s="707">
        <f t="shared" si="281"/>
        <v>-9197</v>
      </c>
      <c r="CI43" s="707">
        <f t="shared" ref="CI43" si="282">SUM(CI44,CI47)</f>
        <v>-40119</v>
      </c>
      <c r="CJ43" s="707">
        <v>-9060.9997500000027</v>
      </c>
      <c r="CK43" s="707">
        <f t="shared" ref="CK43:CO43" si="283">SUM(CK44,CK47)</f>
        <v>-11634.000249999997</v>
      </c>
      <c r="CL43" s="707">
        <f t="shared" si="283"/>
        <v>0</v>
      </c>
      <c r="CM43" s="707">
        <f t="shared" si="283"/>
        <v>0</v>
      </c>
      <c r="CN43" s="707">
        <f t="shared" si="283"/>
        <v>-20695</v>
      </c>
      <c r="CO43" s="707">
        <f t="shared" si="283"/>
        <v>0</v>
      </c>
    </row>
    <row r="44" spans="1:93" x14ac:dyDescent="0.25">
      <c r="A44" s="713" t="s">
        <v>455</v>
      </c>
      <c r="B44" s="704">
        <f>SUM(B45,-B46)</f>
        <v>-7145</v>
      </c>
      <c r="C44" s="704">
        <f t="shared" ref="C44:AQ44" si="284">SUM(C45,-C46)</f>
        <v>-6830</v>
      </c>
      <c r="D44" s="704">
        <f t="shared" si="284"/>
        <v>-7063</v>
      </c>
      <c r="E44" s="706">
        <f t="shared" si="284"/>
        <v>-6999</v>
      </c>
      <c r="F44" s="704">
        <f t="shared" si="284"/>
        <v>-3307</v>
      </c>
      <c r="G44" s="704">
        <f t="shared" si="284"/>
        <v>-8105</v>
      </c>
      <c r="H44" s="704">
        <f t="shared" si="284"/>
        <v>-7151</v>
      </c>
      <c r="I44" s="706">
        <f t="shared" si="284"/>
        <v>-6468</v>
      </c>
      <c r="J44" s="704">
        <f t="shared" si="284"/>
        <v>-5406.7670118249998</v>
      </c>
      <c r="K44" s="704">
        <f t="shared" si="284"/>
        <v>-11344.003388175001</v>
      </c>
      <c r="L44" s="704">
        <f t="shared" si="284"/>
        <v>-7096.1699999999992</v>
      </c>
      <c r="M44" s="706">
        <f t="shared" si="284"/>
        <v>-10782.059600000004</v>
      </c>
      <c r="N44" s="704">
        <f t="shared" si="284"/>
        <v>-4063</v>
      </c>
      <c r="O44" s="704">
        <f t="shared" si="284"/>
        <v>468</v>
      </c>
      <c r="P44" s="704">
        <f t="shared" si="284"/>
        <v>6532</v>
      </c>
      <c r="Q44" s="706">
        <f t="shared" si="284"/>
        <v>-625629</v>
      </c>
      <c r="R44" s="704">
        <f t="shared" si="284"/>
        <v>-6212</v>
      </c>
      <c r="S44" s="704">
        <f t="shared" si="284"/>
        <v>-34323</v>
      </c>
      <c r="T44" s="704">
        <f t="shared" si="284"/>
        <v>26315</v>
      </c>
      <c r="U44" s="704">
        <f t="shared" si="284"/>
        <v>202161</v>
      </c>
      <c r="V44" s="704">
        <f t="shared" si="284"/>
        <v>-40535</v>
      </c>
      <c r="W44" s="704">
        <f t="shared" si="284"/>
        <v>-14220</v>
      </c>
      <c r="X44" s="706">
        <f t="shared" si="284"/>
        <v>187941</v>
      </c>
      <c r="Y44" s="707">
        <f t="shared" si="284"/>
        <v>-7440</v>
      </c>
      <c r="Z44" s="704">
        <f t="shared" si="284"/>
        <v>7456</v>
      </c>
      <c r="AA44" s="704">
        <f t="shared" si="284"/>
        <v>-3349</v>
      </c>
      <c r="AB44" s="704">
        <f t="shared" si="284"/>
        <v>-6826</v>
      </c>
      <c r="AC44" s="707">
        <f t="shared" si="284"/>
        <v>16</v>
      </c>
      <c r="AD44" s="704">
        <f t="shared" si="284"/>
        <v>-3333</v>
      </c>
      <c r="AE44" s="704">
        <f t="shared" si="284"/>
        <v>-10159</v>
      </c>
      <c r="AF44" s="707">
        <f t="shared" si="284"/>
        <v>-6614</v>
      </c>
      <c r="AG44" s="704">
        <f t="shared" si="284"/>
        <v>5717</v>
      </c>
      <c r="AH44" s="704">
        <f t="shared" si="284"/>
        <v>-667796.96799999999</v>
      </c>
      <c r="AI44" s="704">
        <f t="shared" si="284"/>
        <v>876752.57900000003</v>
      </c>
      <c r="AJ44" s="704">
        <f t="shared" si="284"/>
        <v>-897</v>
      </c>
      <c r="AK44" s="704">
        <f t="shared" si="284"/>
        <v>-668693.96799999999</v>
      </c>
      <c r="AL44" s="704">
        <f t="shared" si="284"/>
        <v>208058.611</v>
      </c>
      <c r="AM44" s="707">
        <f t="shared" si="284"/>
        <v>-6099</v>
      </c>
      <c r="AN44" s="704">
        <f t="shared" si="172"/>
        <v>-10344</v>
      </c>
      <c r="AO44" s="704">
        <f t="shared" si="173"/>
        <v>-43435</v>
      </c>
      <c r="AP44" s="704">
        <f t="shared" si="173"/>
        <v>27626</v>
      </c>
      <c r="AQ44" s="704">
        <f t="shared" si="284"/>
        <v>-16443</v>
      </c>
      <c r="AR44" s="704">
        <f t="shared" ref="AR44:AS44" si="285">SUM(AR45,-AR46)</f>
        <v>-59878</v>
      </c>
      <c r="AS44" s="704">
        <f t="shared" si="285"/>
        <v>-32252</v>
      </c>
      <c r="AT44" s="707">
        <f t="shared" ref="AT44:AU44" si="286">SUM(AT45,-AT46)</f>
        <v>-6333</v>
      </c>
      <c r="AU44" s="707">
        <f t="shared" si="286"/>
        <v>-12524</v>
      </c>
      <c r="AV44" s="707">
        <f t="shared" ref="AV44:AY44" si="287">SUM(AV45,-AV46)</f>
        <v>-4437</v>
      </c>
      <c r="AW44" s="707">
        <f t="shared" ref="AW44" si="288">SUM(AW45,-AW46)</f>
        <v>-35975</v>
      </c>
      <c r="AX44" s="707">
        <f t="shared" si="287"/>
        <v>-18872</v>
      </c>
      <c r="AY44" s="707">
        <f t="shared" si="287"/>
        <v>-25495</v>
      </c>
      <c r="AZ44" s="707">
        <f t="shared" ref="AZ44:BA44" si="289">SUM(AZ45,-AZ46)</f>
        <v>-35393</v>
      </c>
      <c r="BA44" s="707">
        <f t="shared" si="289"/>
        <v>-5393</v>
      </c>
      <c r="BB44" s="707">
        <f t="shared" ref="BB44:BE44" si="290">SUM(BB45,-BB46)</f>
        <v>-4075</v>
      </c>
      <c r="BC44" s="707">
        <f t="shared" si="290"/>
        <v>-5260</v>
      </c>
      <c r="BD44" s="707">
        <f t="shared" si="290"/>
        <v>-8910</v>
      </c>
      <c r="BE44" s="707">
        <f t="shared" si="290"/>
        <v>-9468</v>
      </c>
      <c r="BF44" s="707">
        <f t="shared" ref="BF44:BG44" si="291">SUM(BF45,-BF46)</f>
        <v>-14728</v>
      </c>
      <c r="BG44" s="707">
        <f t="shared" si="291"/>
        <v>-23638</v>
      </c>
      <c r="BH44" s="707" t="e">
        <f t="shared" ref="BH44:BL44" si="292">SUM(BH45,-BH46)</f>
        <v>#REF!</v>
      </c>
      <c r="BI44" s="707" t="e">
        <f t="shared" si="292"/>
        <v>#REF!</v>
      </c>
      <c r="BJ44" s="707">
        <f t="shared" si="292"/>
        <v>-6115</v>
      </c>
      <c r="BK44" s="707">
        <f t="shared" si="292"/>
        <v>-10632</v>
      </c>
      <c r="BL44" s="707">
        <f t="shared" si="292"/>
        <v>-13693</v>
      </c>
      <c r="BM44" s="707">
        <f t="shared" ref="BM44:BN44" si="293">SUM(BM45,-BM46)</f>
        <v>-19808</v>
      </c>
      <c r="BN44" s="707">
        <f t="shared" si="293"/>
        <v>-30440</v>
      </c>
      <c r="BO44" s="707">
        <f t="shared" ref="BO44:BS44" si="294">SUM(BO45,-BO46)</f>
        <v>-6273</v>
      </c>
      <c r="BP44" s="707">
        <f t="shared" si="294"/>
        <v>-6286</v>
      </c>
      <c r="BQ44" s="707">
        <f t="shared" si="294"/>
        <v>-5104</v>
      </c>
      <c r="BR44" s="707">
        <f t="shared" si="294"/>
        <v>-12586</v>
      </c>
      <c r="BS44" s="707">
        <f t="shared" si="294"/>
        <v>-12559</v>
      </c>
      <c r="BT44" s="707">
        <f t="shared" ref="BT44:BU44" si="295">SUM(BT45,-BT46)</f>
        <v>-17663</v>
      </c>
      <c r="BU44" s="707">
        <f t="shared" si="295"/>
        <v>-30250</v>
      </c>
      <c r="BV44" s="707">
        <f t="shared" ref="BV44:BW44" si="296">SUM(BV45,-BV46)</f>
        <v>-7102</v>
      </c>
      <c r="BW44" s="707">
        <f t="shared" si="296"/>
        <v>-5114</v>
      </c>
      <c r="BX44" s="707">
        <f t="shared" ref="BX44:BZ44" si="297">SUM(BX45,-BX46)</f>
        <v>-7126</v>
      </c>
      <c r="BY44" s="707">
        <f t="shared" si="297"/>
        <v>-14330</v>
      </c>
      <c r="BZ44" s="707">
        <f t="shared" si="297"/>
        <v>-12216</v>
      </c>
      <c r="CA44" s="707">
        <f t="shared" ref="CA44:CB44" si="298">SUM(CA45,-CA46)</f>
        <v>-19342</v>
      </c>
      <c r="CB44" s="707">
        <f t="shared" si="298"/>
        <v>-42205</v>
      </c>
      <c r="CC44" s="707">
        <f t="shared" ref="CC44:CD44" si="299">SUM(CC45,-CC46)</f>
        <v>-7639.751549999999</v>
      </c>
      <c r="CD44" s="707">
        <f t="shared" si="299"/>
        <v>1531.751549999999</v>
      </c>
      <c r="CE44" s="707">
        <f t="shared" ref="CE44:CF44" si="300">SUM(CE45,-CE46)</f>
        <v>-5753</v>
      </c>
      <c r="CF44" s="707">
        <f t="shared" si="300"/>
        <v>-8022</v>
      </c>
      <c r="CG44" s="707">
        <f t="shared" ref="CG44:CH44" si="301">SUM(CG45,-CG46)</f>
        <v>-8162</v>
      </c>
      <c r="CH44" s="707">
        <f t="shared" si="301"/>
        <v>-9197</v>
      </c>
      <c r="CI44" s="707">
        <f t="shared" ref="CI44" si="302">SUM(CI45,-CI46)</f>
        <v>-40119</v>
      </c>
      <c r="CJ44" s="707">
        <v>-9060.9997500000027</v>
      </c>
      <c r="CK44" s="707">
        <f t="shared" ref="CK44:CO44" si="303">SUM(CK45,-CK46)</f>
        <v>-11634.000249999997</v>
      </c>
      <c r="CL44" s="707">
        <f t="shared" si="303"/>
        <v>0</v>
      </c>
      <c r="CM44" s="707">
        <f t="shared" si="303"/>
        <v>0</v>
      </c>
      <c r="CN44" s="707">
        <f t="shared" si="303"/>
        <v>-20695</v>
      </c>
      <c r="CO44" s="707">
        <f t="shared" si="303"/>
        <v>0</v>
      </c>
    </row>
    <row r="45" spans="1:93" x14ac:dyDescent="0.25">
      <c r="A45" s="708" t="s">
        <v>459</v>
      </c>
      <c r="B45" s="704">
        <f>B35</f>
        <v>-6419</v>
      </c>
      <c r="C45" s="704">
        <f t="shared" ref="C45:AQ45" si="304">C35</f>
        <v>-6103</v>
      </c>
      <c r="D45" s="704">
        <f t="shared" si="304"/>
        <v>-6332</v>
      </c>
      <c r="E45" s="706">
        <f t="shared" si="304"/>
        <v>-6262</v>
      </c>
      <c r="F45" s="704">
        <f t="shared" si="304"/>
        <v>-2568</v>
      </c>
      <c r="G45" s="704">
        <f t="shared" si="304"/>
        <v>-7365</v>
      </c>
      <c r="H45" s="704">
        <f t="shared" si="304"/>
        <v>-6408</v>
      </c>
      <c r="I45" s="706">
        <f t="shared" si="304"/>
        <v>-5717</v>
      </c>
      <c r="J45" s="704">
        <f t="shared" si="304"/>
        <v>-4656.7670118249998</v>
      </c>
      <c r="K45" s="704">
        <f t="shared" si="304"/>
        <v>-10588.582188175</v>
      </c>
      <c r="L45" s="704">
        <f t="shared" si="304"/>
        <v>-6301.3277999999991</v>
      </c>
      <c r="M45" s="706">
        <f t="shared" si="304"/>
        <v>-9963.323000000004</v>
      </c>
      <c r="N45" s="704">
        <f t="shared" si="304"/>
        <v>-3238</v>
      </c>
      <c r="O45" s="704">
        <f t="shared" si="304"/>
        <v>1292</v>
      </c>
      <c r="P45" s="704">
        <f t="shared" si="304"/>
        <v>7349</v>
      </c>
      <c r="Q45" s="706">
        <f t="shared" si="304"/>
        <v>-624813</v>
      </c>
      <c r="R45" s="704">
        <f t="shared" si="304"/>
        <v>-5398</v>
      </c>
      <c r="S45" s="704">
        <f t="shared" si="304"/>
        <v>-33521</v>
      </c>
      <c r="T45" s="704">
        <f t="shared" si="304"/>
        <v>27103</v>
      </c>
      <c r="U45" s="704">
        <f t="shared" si="304"/>
        <v>202998</v>
      </c>
      <c r="V45" s="704">
        <f t="shared" si="304"/>
        <v>-38919</v>
      </c>
      <c r="W45" s="704">
        <f t="shared" si="304"/>
        <v>-11816</v>
      </c>
      <c r="X45" s="706">
        <f t="shared" si="304"/>
        <v>191182</v>
      </c>
      <c r="Y45" s="707">
        <f t="shared" si="304"/>
        <v>-5958</v>
      </c>
      <c r="Z45" s="704">
        <f t="shared" si="304"/>
        <v>8937</v>
      </c>
      <c r="AA45" s="704">
        <f t="shared" si="304"/>
        <v>-1878</v>
      </c>
      <c r="AB45" s="704">
        <f t="shared" si="304"/>
        <v>-4840</v>
      </c>
      <c r="AC45" s="707">
        <f t="shared" si="304"/>
        <v>2979</v>
      </c>
      <c r="AD45" s="704">
        <f t="shared" si="304"/>
        <v>1101</v>
      </c>
      <c r="AE45" s="704">
        <f t="shared" si="304"/>
        <v>-3739</v>
      </c>
      <c r="AF45" s="707">
        <f t="shared" si="304"/>
        <v>-5001</v>
      </c>
      <c r="AG45" s="704">
        <f t="shared" si="304"/>
        <v>7067</v>
      </c>
      <c r="AH45" s="704">
        <f t="shared" si="304"/>
        <v>-666424.96799999999</v>
      </c>
      <c r="AI45" s="704">
        <f t="shared" si="304"/>
        <v>877656.57900000003</v>
      </c>
      <c r="AJ45" s="704">
        <f t="shared" si="304"/>
        <v>2066</v>
      </c>
      <c r="AK45" s="704">
        <f t="shared" si="304"/>
        <v>-664358.96799999999</v>
      </c>
      <c r="AL45" s="704">
        <f t="shared" si="304"/>
        <v>213297.611</v>
      </c>
      <c r="AM45" s="707">
        <f t="shared" si="304"/>
        <v>-5197</v>
      </c>
      <c r="AN45" s="704">
        <f t="shared" si="172"/>
        <v>-9372</v>
      </c>
      <c r="AO45" s="704">
        <f t="shared" si="173"/>
        <v>-41654</v>
      </c>
      <c r="AP45" s="704">
        <f t="shared" si="173"/>
        <v>28856</v>
      </c>
      <c r="AQ45" s="704">
        <f t="shared" si="304"/>
        <v>-14569</v>
      </c>
      <c r="AR45" s="704">
        <f t="shared" ref="AR45:AS45" si="305">AR35</f>
        <v>-56223</v>
      </c>
      <c r="AS45" s="704">
        <f t="shared" si="305"/>
        <v>-27367</v>
      </c>
      <c r="AT45" s="707">
        <f t="shared" ref="AT45:AU45" si="306">AT35</f>
        <v>-5644</v>
      </c>
      <c r="AU45" s="707">
        <f t="shared" si="306"/>
        <v>-11841</v>
      </c>
      <c r="AV45" s="707">
        <f t="shared" ref="AV45:AY45" si="307">AV35</f>
        <v>-4061</v>
      </c>
      <c r="AW45" s="707">
        <f t="shared" ref="AW45" si="308">AW35</f>
        <v>-34194</v>
      </c>
      <c r="AX45" s="707">
        <f t="shared" si="307"/>
        <v>-17500</v>
      </c>
      <c r="AY45" s="707">
        <f t="shared" si="307"/>
        <v>-24187</v>
      </c>
      <c r="AZ45" s="707">
        <f t="shared" ref="AZ45:BA45" si="309">AZ35</f>
        <v>-32773</v>
      </c>
      <c r="BA45" s="707">
        <f t="shared" si="309"/>
        <v>-4749</v>
      </c>
      <c r="BB45" s="707">
        <f t="shared" ref="BB45:BE45" si="310">BB35</f>
        <v>-3627</v>
      </c>
      <c r="BC45" s="707">
        <f t="shared" si="310"/>
        <v>-4915</v>
      </c>
      <c r="BD45" s="707">
        <f t="shared" si="310"/>
        <v>-8222</v>
      </c>
      <c r="BE45" s="707">
        <f t="shared" si="310"/>
        <v>-8376</v>
      </c>
      <c r="BF45" s="707">
        <f t="shared" ref="BF45:BG45" si="311">BF35</f>
        <v>-13291</v>
      </c>
      <c r="BG45" s="707">
        <f t="shared" si="311"/>
        <v>-21513</v>
      </c>
      <c r="BH45" s="707" t="e">
        <f t="shared" ref="BH45:BL45" si="312">BH35</f>
        <v>#REF!</v>
      </c>
      <c r="BI45" s="707" t="e">
        <f t="shared" si="312"/>
        <v>#REF!</v>
      </c>
      <c r="BJ45" s="707">
        <f t="shared" si="312"/>
        <v>-5515</v>
      </c>
      <c r="BK45" s="707">
        <f t="shared" si="312"/>
        <v>-9997</v>
      </c>
      <c r="BL45" s="707">
        <f t="shared" si="312"/>
        <v>-12387</v>
      </c>
      <c r="BM45" s="707">
        <f t="shared" ref="BM45:BN45" si="313">BM35</f>
        <v>-17902</v>
      </c>
      <c r="BN45" s="707">
        <f t="shared" si="313"/>
        <v>-27899</v>
      </c>
      <c r="BO45" s="707">
        <f t="shared" ref="BO45:BS45" si="314">BO35</f>
        <v>-5639</v>
      </c>
      <c r="BP45" s="707">
        <f t="shared" si="314"/>
        <v>-5627</v>
      </c>
      <c r="BQ45" s="707">
        <f t="shared" si="314"/>
        <v>-4469</v>
      </c>
      <c r="BR45" s="707">
        <f t="shared" si="314"/>
        <v>-12020</v>
      </c>
      <c r="BS45" s="707">
        <f t="shared" si="314"/>
        <v>-11266</v>
      </c>
      <c r="BT45" s="707">
        <f t="shared" ref="BT45:BU45" si="315">BT35</f>
        <v>-15735</v>
      </c>
      <c r="BU45" s="707">
        <f t="shared" si="315"/>
        <v>-27756</v>
      </c>
      <c r="BV45" s="707">
        <f t="shared" ref="BV45:BW45" si="316">BV35</f>
        <v>-6370</v>
      </c>
      <c r="BW45" s="707">
        <f t="shared" si="316"/>
        <v>-4370</v>
      </c>
      <c r="BX45" s="707">
        <f t="shared" ref="BX45:BZ45" si="317">BX35</f>
        <v>-6327</v>
      </c>
      <c r="BY45" s="707">
        <f t="shared" si="317"/>
        <v>-13627</v>
      </c>
      <c r="BZ45" s="707">
        <f t="shared" si="317"/>
        <v>-10740</v>
      </c>
      <c r="CA45" s="707">
        <f t="shared" ref="CA45:CB45" si="318">CA35</f>
        <v>-17067</v>
      </c>
      <c r="CB45" s="707">
        <f t="shared" si="318"/>
        <v>-39227</v>
      </c>
      <c r="CC45" s="707">
        <f t="shared" ref="CC45:CD45" si="319">CC35</f>
        <v>-6969.3747299999995</v>
      </c>
      <c r="CD45" s="707">
        <f t="shared" si="319"/>
        <v>2180.3747299999991</v>
      </c>
      <c r="CE45" s="707">
        <f t="shared" ref="CE45:CF45" si="320">CE35</f>
        <v>-5289</v>
      </c>
      <c r="CF45" s="707">
        <f t="shared" si="320"/>
        <v>-7575</v>
      </c>
      <c r="CG45" s="707">
        <f t="shared" ref="CG45:CH45" si="321">CG35</f>
        <v>-6843</v>
      </c>
      <c r="CH45" s="707">
        <f t="shared" si="321"/>
        <v>-7414</v>
      </c>
      <c r="CI45" s="707">
        <f t="shared" ref="CI45" si="322">CI35</f>
        <v>-37889</v>
      </c>
      <c r="CJ45" s="707">
        <v>-8835.9796599999972</v>
      </c>
      <c r="CK45" s="707">
        <f t="shared" ref="CK45:CO45" si="323">CK35</f>
        <v>-11400.020340000003</v>
      </c>
      <c r="CL45" s="707">
        <f t="shared" si="323"/>
        <v>0</v>
      </c>
      <c r="CM45" s="707">
        <f t="shared" si="323"/>
        <v>0</v>
      </c>
      <c r="CN45" s="707">
        <f t="shared" si="323"/>
        <v>-20236</v>
      </c>
      <c r="CO45" s="707">
        <f t="shared" si="323"/>
        <v>0</v>
      </c>
    </row>
    <row r="46" spans="1:93" x14ac:dyDescent="0.25">
      <c r="A46" s="708" t="s">
        <v>457</v>
      </c>
      <c r="B46" s="704">
        <f>-B27</f>
        <v>726</v>
      </c>
      <c r="C46" s="704">
        <f t="shared" ref="C46:AQ46" si="324">-C27</f>
        <v>727</v>
      </c>
      <c r="D46" s="704">
        <f t="shared" si="324"/>
        <v>731</v>
      </c>
      <c r="E46" s="706">
        <f t="shared" si="324"/>
        <v>737</v>
      </c>
      <c r="F46" s="704">
        <f t="shared" si="324"/>
        <v>739</v>
      </c>
      <c r="G46" s="704">
        <f t="shared" si="324"/>
        <v>740</v>
      </c>
      <c r="H46" s="704">
        <f t="shared" si="324"/>
        <v>743</v>
      </c>
      <c r="I46" s="706">
        <f t="shared" si="324"/>
        <v>751</v>
      </c>
      <c r="J46" s="704">
        <f t="shared" si="324"/>
        <v>750</v>
      </c>
      <c r="K46" s="704">
        <f t="shared" si="324"/>
        <v>755.4212</v>
      </c>
      <c r="L46" s="704">
        <f t="shared" si="324"/>
        <v>794.84220000000028</v>
      </c>
      <c r="M46" s="706">
        <f t="shared" si="324"/>
        <v>818.73659999999995</v>
      </c>
      <c r="N46" s="704">
        <f t="shared" si="324"/>
        <v>825</v>
      </c>
      <c r="O46" s="704">
        <f t="shared" si="324"/>
        <v>824</v>
      </c>
      <c r="P46" s="704">
        <f t="shared" si="324"/>
        <v>817</v>
      </c>
      <c r="Q46" s="706">
        <f t="shared" si="324"/>
        <v>816</v>
      </c>
      <c r="R46" s="704">
        <f t="shared" si="324"/>
        <v>814</v>
      </c>
      <c r="S46" s="704">
        <f t="shared" si="324"/>
        <v>802</v>
      </c>
      <c r="T46" s="704">
        <f t="shared" si="324"/>
        <v>788</v>
      </c>
      <c r="U46" s="704">
        <f t="shared" si="324"/>
        <v>837</v>
      </c>
      <c r="V46" s="704">
        <f t="shared" si="324"/>
        <v>1616</v>
      </c>
      <c r="W46" s="704">
        <f t="shared" si="324"/>
        <v>2404</v>
      </c>
      <c r="X46" s="706">
        <f t="shared" si="324"/>
        <v>3241</v>
      </c>
      <c r="Y46" s="707">
        <f t="shared" si="324"/>
        <v>1482</v>
      </c>
      <c r="Z46" s="704">
        <f t="shared" si="324"/>
        <v>1481</v>
      </c>
      <c r="AA46" s="704">
        <f t="shared" si="324"/>
        <v>1471</v>
      </c>
      <c r="AB46" s="704">
        <f t="shared" si="324"/>
        <v>1986</v>
      </c>
      <c r="AC46" s="707">
        <f t="shared" si="324"/>
        <v>2963</v>
      </c>
      <c r="AD46" s="704">
        <f t="shared" si="324"/>
        <v>4434</v>
      </c>
      <c r="AE46" s="704">
        <f t="shared" si="324"/>
        <v>6420</v>
      </c>
      <c r="AF46" s="707">
        <f t="shared" si="324"/>
        <v>1613</v>
      </c>
      <c r="AG46" s="704">
        <f t="shared" si="324"/>
        <v>1350</v>
      </c>
      <c r="AH46" s="704">
        <f t="shared" si="324"/>
        <v>1372</v>
      </c>
      <c r="AI46" s="704">
        <f t="shared" si="324"/>
        <v>904</v>
      </c>
      <c r="AJ46" s="704">
        <f t="shared" si="324"/>
        <v>2963</v>
      </c>
      <c r="AK46" s="704">
        <f t="shared" si="324"/>
        <v>4335</v>
      </c>
      <c r="AL46" s="704">
        <f t="shared" si="324"/>
        <v>5239</v>
      </c>
      <c r="AM46" s="707">
        <f t="shared" si="324"/>
        <v>902</v>
      </c>
      <c r="AN46" s="704">
        <f t="shared" si="172"/>
        <v>972</v>
      </c>
      <c r="AO46" s="704">
        <f t="shared" si="173"/>
        <v>1781</v>
      </c>
      <c r="AP46" s="704">
        <f t="shared" si="173"/>
        <v>1230</v>
      </c>
      <c r="AQ46" s="704">
        <f t="shared" si="324"/>
        <v>1874</v>
      </c>
      <c r="AR46" s="704">
        <f t="shared" ref="AR46:AS46" si="325">-AR27</f>
        <v>3655</v>
      </c>
      <c r="AS46" s="704">
        <f t="shared" si="325"/>
        <v>4885</v>
      </c>
      <c r="AT46" s="707">
        <f t="shared" ref="AT46:AU46" si="326">-AT27</f>
        <v>689</v>
      </c>
      <c r="AU46" s="707">
        <f t="shared" si="326"/>
        <v>683</v>
      </c>
      <c r="AV46" s="707">
        <f t="shared" ref="AV46:AY46" si="327">-AV27</f>
        <v>376</v>
      </c>
      <c r="AW46" s="707">
        <f t="shared" ref="AW46" si="328">-AW27</f>
        <v>1781</v>
      </c>
      <c r="AX46" s="707">
        <f t="shared" si="327"/>
        <v>1372</v>
      </c>
      <c r="AY46" s="707">
        <f t="shared" si="327"/>
        <v>1308</v>
      </c>
      <c r="AZ46" s="707">
        <f t="shared" ref="AZ46:BA46" si="329">-AZ27</f>
        <v>2620</v>
      </c>
      <c r="BA46" s="707">
        <f t="shared" si="329"/>
        <v>644</v>
      </c>
      <c r="BB46" s="707">
        <f t="shared" ref="BB46:BE46" si="330">-BB27</f>
        <v>448</v>
      </c>
      <c r="BC46" s="707">
        <f t="shared" si="330"/>
        <v>345</v>
      </c>
      <c r="BD46" s="707">
        <f t="shared" si="330"/>
        <v>688</v>
      </c>
      <c r="BE46" s="707">
        <f t="shared" si="330"/>
        <v>1092</v>
      </c>
      <c r="BF46" s="707">
        <f t="shared" ref="BF46:BG46" si="331">-BF27</f>
        <v>1437</v>
      </c>
      <c r="BG46" s="707">
        <f t="shared" si="331"/>
        <v>2125</v>
      </c>
      <c r="BH46" s="707">
        <f t="shared" ref="BH46:BL46" si="332">-BH27</f>
        <v>609</v>
      </c>
      <c r="BI46" s="707">
        <f t="shared" si="332"/>
        <v>697</v>
      </c>
      <c r="BJ46" s="707">
        <f t="shared" si="332"/>
        <v>600</v>
      </c>
      <c r="BK46" s="707">
        <f t="shared" si="332"/>
        <v>635</v>
      </c>
      <c r="BL46" s="707">
        <f t="shared" si="332"/>
        <v>1306</v>
      </c>
      <c r="BM46" s="707">
        <f t="shared" ref="BM46:BN46" si="333">-BM27</f>
        <v>1906</v>
      </c>
      <c r="BN46" s="707">
        <f t="shared" si="333"/>
        <v>2541</v>
      </c>
      <c r="BO46" s="707">
        <f t="shared" ref="BO46:BS46" si="334">-BO27</f>
        <v>634</v>
      </c>
      <c r="BP46" s="707">
        <f t="shared" si="334"/>
        <v>659</v>
      </c>
      <c r="BQ46" s="707">
        <f>-BQ27</f>
        <v>635</v>
      </c>
      <c r="BR46" s="707">
        <f t="shared" si="334"/>
        <v>566</v>
      </c>
      <c r="BS46" s="707">
        <f t="shared" si="334"/>
        <v>1293</v>
      </c>
      <c r="BT46" s="707">
        <f t="shared" ref="BT46:BU46" si="335">-BT27</f>
        <v>1928</v>
      </c>
      <c r="BU46" s="707">
        <f t="shared" si="335"/>
        <v>2494</v>
      </c>
      <c r="BV46" s="707">
        <f t="shared" ref="BV46:BW46" si="336">-BV27</f>
        <v>732</v>
      </c>
      <c r="BW46" s="707">
        <f t="shared" si="336"/>
        <v>744</v>
      </c>
      <c r="BX46" s="707">
        <f t="shared" ref="BX46:BZ46" si="337">-BX27</f>
        <v>799</v>
      </c>
      <c r="BY46" s="707">
        <f t="shared" si="337"/>
        <v>703</v>
      </c>
      <c r="BZ46" s="707">
        <f t="shared" si="337"/>
        <v>1476</v>
      </c>
      <c r="CA46" s="707">
        <f t="shared" ref="CA46:CB46" si="338">-CA27</f>
        <v>2275</v>
      </c>
      <c r="CB46" s="707">
        <f t="shared" si="338"/>
        <v>2978</v>
      </c>
      <c r="CC46" s="707">
        <f t="shared" ref="CC46:CD46" si="339">-CC27</f>
        <v>670.37681999999995</v>
      </c>
      <c r="CD46" s="707">
        <f t="shared" si="339"/>
        <v>648.62318000000005</v>
      </c>
      <c r="CE46" s="707">
        <f t="shared" ref="CE46:CF46" si="340">-CE27</f>
        <v>464</v>
      </c>
      <c r="CF46" s="707">
        <f t="shared" si="340"/>
        <v>447</v>
      </c>
      <c r="CG46" s="707">
        <f t="shared" ref="CG46:CH46" si="341">-CG27</f>
        <v>1319</v>
      </c>
      <c r="CH46" s="707">
        <f t="shared" si="341"/>
        <v>1783</v>
      </c>
      <c r="CI46" s="707">
        <f t="shared" ref="CI46" si="342">-CI27</f>
        <v>2230</v>
      </c>
      <c r="CJ46" s="707">
        <v>225.02009000000544</v>
      </c>
      <c r="CK46" s="707">
        <f t="shared" ref="CK46:CO46" si="343">-CK27</f>
        <v>233.97990999999456</v>
      </c>
      <c r="CL46" s="707">
        <f t="shared" si="343"/>
        <v>0</v>
      </c>
      <c r="CM46" s="707">
        <f t="shared" si="343"/>
        <v>0</v>
      </c>
      <c r="CN46" s="707">
        <f t="shared" si="343"/>
        <v>459</v>
      </c>
      <c r="CO46" s="707">
        <f t="shared" si="343"/>
        <v>0</v>
      </c>
    </row>
    <row r="47" spans="1:93" x14ac:dyDescent="0.25">
      <c r="A47" s="714" t="s">
        <v>229</v>
      </c>
      <c r="B47" s="710">
        <f>-B29</f>
        <v>0</v>
      </c>
      <c r="C47" s="710">
        <f t="shared" ref="C47:AQ47" si="344">-C29</f>
        <v>0</v>
      </c>
      <c r="D47" s="710">
        <f t="shared" si="344"/>
        <v>0</v>
      </c>
      <c r="E47" s="711">
        <f t="shared" si="344"/>
        <v>0</v>
      </c>
      <c r="F47" s="710">
        <f t="shared" si="344"/>
        <v>0</v>
      </c>
      <c r="G47" s="710">
        <f t="shared" si="344"/>
        <v>0</v>
      </c>
      <c r="H47" s="710">
        <f t="shared" si="344"/>
        <v>0</v>
      </c>
      <c r="I47" s="711">
        <f t="shared" si="344"/>
        <v>0</v>
      </c>
      <c r="J47" s="710">
        <f t="shared" si="344"/>
        <v>0</v>
      </c>
      <c r="K47" s="710">
        <f t="shared" si="344"/>
        <v>0</v>
      </c>
      <c r="L47" s="710">
        <f t="shared" si="344"/>
        <v>0</v>
      </c>
      <c r="M47" s="711">
        <f t="shared" si="344"/>
        <v>0</v>
      </c>
      <c r="N47" s="710">
        <f t="shared" si="344"/>
        <v>0</v>
      </c>
      <c r="O47" s="710">
        <f t="shared" si="344"/>
        <v>0</v>
      </c>
      <c r="P47" s="710">
        <f t="shared" si="344"/>
        <v>1794</v>
      </c>
      <c r="Q47" s="711">
        <f t="shared" si="344"/>
        <v>0</v>
      </c>
      <c r="R47" s="710">
        <f t="shared" si="344"/>
        <v>598</v>
      </c>
      <c r="S47" s="710">
        <f t="shared" si="344"/>
        <v>598</v>
      </c>
      <c r="T47" s="710">
        <f t="shared" si="344"/>
        <v>598</v>
      </c>
      <c r="U47" s="710">
        <f t="shared" si="344"/>
        <v>598</v>
      </c>
      <c r="V47" s="710">
        <f t="shared" si="344"/>
        <v>1196</v>
      </c>
      <c r="W47" s="710">
        <f t="shared" si="344"/>
        <v>1794</v>
      </c>
      <c r="X47" s="711">
        <f t="shared" si="344"/>
        <v>2392</v>
      </c>
      <c r="Y47" s="712">
        <f t="shared" si="344"/>
        <v>1234</v>
      </c>
      <c r="Z47" s="710">
        <f t="shared" si="344"/>
        <v>1234</v>
      </c>
      <c r="AA47" s="710">
        <f t="shared" si="344"/>
        <v>1234</v>
      </c>
      <c r="AB47" s="710">
        <f t="shared" si="344"/>
        <v>-3259</v>
      </c>
      <c r="AC47" s="712">
        <f t="shared" si="344"/>
        <v>2468</v>
      </c>
      <c r="AD47" s="710">
        <f t="shared" si="344"/>
        <v>3702</v>
      </c>
      <c r="AE47" s="710">
        <f t="shared" si="344"/>
        <v>443</v>
      </c>
      <c r="AF47" s="712">
        <f t="shared" si="344"/>
        <v>1234</v>
      </c>
      <c r="AG47" s="710">
        <f t="shared" si="344"/>
        <v>1446</v>
      </c>
      <c r="AH47" s="710">
        <f t="shared" si="344"/>
        <v>-2680</v>
      </c>
      <c r="AI47" s="710">
        <f t="shared" si="344"/>
        <v>0</v>
      </c>
      <c r="AJ47" s="710">
        <f t="shared" si="344"/>
        <v>2680</v>
      </c>
      <c r="AK47" s="710">
        <f t="shared" si="344"/>
        <v>0</v>
      </c>
      <c r="AL47" s="710">
        <f t="shared" si="344"/>
        <v>0</v>
      </c>
      <c r="AM47" s="712">
        <f t="shared" si="344"/>
        <v>65</v>
      </c>
      <c r="AN47" s="710">
        <f t="shared" si="172"/>
        <v>1228</v>
      </c>
      <c r="AO47" s="710">
        <f t="shared" si="173"/>
        <v>646</v>
      </c>
      <c r="AP47" s="710">
        <f t="shared" si="173"/>
        <v>647</v>
      </c>
      <c r="AQ47" s="710">
        <f t="shared" si="344"/>
        <v>1293</v>
      </c>
      <c r="AR47" s="710">
        <f t="shared" ref="AR47:AS47" si="345">-AR29</f>
        <v>1939</v>
      </c>
      <c r="AS47" s="710">
        <f t="shared" si="345"/>
        <v>2586</v>
      </c>
      <c r="AT47" s="712">
        <f t="shared" ref="AT47" si="346">-AT29</f>
        <v>0</v>
      </c>
      <c r="AU47" s="712">
        <f>-AU29</f>
        <v>116</v>
      </c>
      <c r="AV47" s="712">
        <f t="shared" ref="AV47:AY47" si="347">-AV29</f>
        <v>-116</v>
      </c>
      <c r="AW47" s="712">
        <f t="shared" ref="AW47" si="348">-AW29</f>
        <v>0</v>
      </c>
      <c r="AX47" s="712">
        <f>-AX29</f>
        <v>116</v>
      </c>
      <c r="AY47" s="712">
        <f t="shared" si="347"/>
        <v>0</v>
      </c>
      <c r="AZ47" s="712">
        <f t="shared" ref="AZ47:BA47" si="349">-AZ29</f>
        <v>0</v>
      </c>
      <c r="BA47" s="712">
        <f t="shared" si="349"/>
        <v>0</v>
      </c>
      <c r="BB47" s="712">
        <f t="shared" ref="BB47:BE47" si="350">-BB29</f>
        <v>0</v>
      </c>
      <c r="BC47" s="712">
        <f t="shared" si="350"/>
        <v>0</v>
      </c>
      <c r="BD47" s="712">
        <f t="shared" si="350"/>
        <v>0</v>
      </c>
      <c r="BE47" s="712">
        <f t="shared" si="350"/>
        <v>0</v>
      </c>
      <c r="BF47" s="712">
        <f t="shared" ref="BF47:BG47" si="351">-BF29</f>
        <v>0</v>
      </c>
      <c r="BG47" s="712">
        <f t="shared" si="351"/>
        <v>0</v>
      </c>
      <c r="BH47" s="712">
        <f t="shared" ref="BH47:BL47" si="352">-BH29</f>
        <v>0</v>
      </c>
      <c r="BI47" s="712">
        <f t="shared" si="352"/>
        <v>0</v>
      </c>
      <c r="BJ47" s="712">
        <f t="shared" si="352"/>
        <v>0</v>
      </c>
      <c r="BK47" s="712">
        <f t="shared" si="352"/>
        <v>0</v>
      </c>
      <c r="BL47" s="712">
        <f t="shared" si="352"/>
        <v>0</v>
      </c>
      <c r="BM47" s="712">
        <f t="shared" ref="BM47:BN47" si="353">-BM29</f>
        <v>0</v>
      </c>
      <c r="BN47" s="712">
        <f t="shared" si="353"/>
        <v>0</v>
      </c>
      <c r="BO47" s="712">
        <f t="shared" ref="BO47:BS47" si="354">-BO29</f>
        <v>0</v>
      </c>
      <c r="BP47" s="712">
        <f t="shared" si="354"/>
        <v>0</v>
      </c>
      <c r="BQ47" s="712">
        <f t="shared" si="354"/>
        <v>0</v>
      </c>
      <c r="BR47" s="712">
        <f t="shared" si="354"/>
        <v>0</v>
      </c>
      <c r="BS47" s="712">
        <f t="shared" si="354"/>
        <v>0</v>
      </c>
      <c r="BT47" s="712">
        <f t="shared" ref="BT47:BU47" si="355">-BT29</f>
        <v>0</v>
      </c>
      <c r="BU47" s="712">
        <f t="shared" si="355"/>
        <v>0</v>
      </c>
      <c r="BV47" s="712">
        <f t="shared" ref="BV47:BW47" si="356">-BV29</f>
        <v>0</v>
      </c>
      <c r="BW47" s="712">
        <f t="shared" si="356"/>
        <v>0</v>
      </c>
      <c r="BX47" s="712">
        <f t="shared" ref="BX47:BZ47" si="357">-BX29</f>
        <v>0</v>
      </c>
      <c r="BY47" s="712">
        <f t="shared" si="357"/>
        <v>0</v>
      </c>
      <c r="BZ47" s="712">
        <f t="shared" si="357"/>
        <v>0</v>
      </c>
      <c r="CA47" s="712">
        <f t="shared" ref="CA47:CB47" si="358">-CA29</f>
        <v>0</v>
      </c>
      <c r="CB47" s="712">
        <f t="shared" si="358"/>
        <v>0</v>
      </c>
      <c r="CC47" s="712">
        <f t="shared" ref="CC47:CD47" si="359">-CC29</f>
        <v>0</v>
      </c>
      <c r="CD47" s="712">
        <f t="shared" si="359"/>
        <v>0</v>
      </c>
      <c r="CE47" s="712">
        <f t="shared" ref="CE47:CF47" si="360">-CE29</f>
        <v>0</v>
      </c>
      <c r="CF47" s="712">
        <f t="shared" si="360"/>
        <v>0</v>
      </c>
      <c r="CG47" s="712">
        <f t="shared" ref="CG47:CH47" si="361">-CG29</f>
        <v>0</v>
      </c>
      <c r="CH47" s="712">
        <f t="shared" si="361"/>
        <v>0</v>
      </c>
      <c r="CI47" s="712">
        <f t="shared" ref="CI47" si="362">-CI29</f>
        <v>0</v>
      </c>
      <c r="CJ47" s="712">
        <v>0</v>
      </c>
      <c r="CK47" s="712">
        <f t="shared" ref="CK47:CO47" si="363">-CK29</f>
        <v>0</v>
      </c>
      <c r="CL47" s="712">
        <f t="shared" si="363"/>
        <v>0</v>
      </c>
      <c r="CM47" s="712">
        <f t="shared" si="363"/>
        <v>0</v>
      </c>
      <c r="CN47" s="712">
        <f t="shared" si="363"/>
        <v>0</v>
      </c>
      <c r="CO47" s="712">
        <f t="shared" si="363"/>
        <v>0</v>
      </c>
    </row>
  </sheetData>
  <phoneticPr fontId="41" type="noConversion"/>
  <pageMargins left="0.25" right="0.25" top="0.75" bottom="0.75" header="0.3" footer="0.3"/>
  <pageSetup paperSize="9" scale="33" orientation="landscape" r:id="rId1"/>
  <colBreaks count="1" manualBreakCount="1">
    <brk id="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5EC0F-65A6-45A1-B898-E2FB1B03F379}">
  <sheetPr>
    <tabColor rgb="FF00B050"/>
    <pageSetUpPr fitToPage="1"/>
  </sheetPr>
  <dimension ref="A1:BB84"/>
  <sheetViews>
    <sheetView showGridLines="0" topLeftCell="B1" zoomScaleNormal="100" workbookViewId="0">
      <selection activeCell="L17" sqref="L17"/>
    </sheetView>
  </sheetViews>
  <sheetFormatPr defaultColWidth="9.1796875" defaultRowHeight="12.5" x14ac:dyDescent="0.35"/>
  <cols>
    <col min="1" max="1" width="3.453125" style="716" hidden="1" customWidth="1"/>
    <col min="2" max="2" width="29.453125" style="716" customWidth="1"/>
    <col min="3" max="3" width="34.81640625" style="716" bestFit="1" customWidth="1"/>
    <col min="4" max="4" width="29.7265625" style="716" customWidth="1"/>
    <col min="5" max="5" width="15" style="716" bestFit="1" customWidth="1"/>
    <col min="6" max="6" width="9.1796875" style="716" bestFit="1" customWidth="1"/>
    <col min="7" max="7" width="13.1796875" style="777" bestFit="1" customWidth="1"/>
    <col min="8" max="8" width="12" style="777" bestFit="1" customWidth="1"/>
    <col min="9" max="9" width="2.1796875" style="808" bestFit="1" customWidth="1"/>
    <col min="10" max="10" width="6.54296875" style="781" bestFit="1" customWidth="1"/>
    <col min="11" max="54" width="9.1796875" style="781"/>
    <col min="55" max="16384" width="9.1796875" style="716"/>
  </cols>
  <sheetData>
    <row r="1" spans="2:8" ht="13" x14ac:dyDescent="0.35">
      <c r="F1" s="776"/>
    </row>
    <row r="2" spans="2:8" ht="15.5" x14ac:dyDescent="0.35">
      <c r="B2" s="78" t="s">
        <v>653</v>
      </c>
      <c r="C2" s="78"/>
      <c r="D2" s="78"/>
      <c r="E2" s="78"/>
      <c r="F2" s="78"/>
      <c r="G2" s="78"/>
      <c r="H2" s="78"/>
    </row>
    <row r="3" spans="2:8" ht="15.5" x14ac:dyDescent="0.35">
      <c r="B3" s="717"/>
      <c r="C3" s="718"/>
      <c r="D3" s="719"/>
      <c r="E3" s="719"/>
      <c r="F3" s="719"/>
      <c r="G3" s="720"/>
      <c r="H3" s="717"/>
    </row>
    <row r="4" spans="2:8" ht="15" thickBot="1" x14ac:dyDescent="0.4">
      <c r="B4" s="721"/>
      <c r="C4" s="722" t="s">
        <v>646</v>
      </c>
      <c r="D4" s="722" t="s">
        <v>477</v>
      </c>
      <c r="E4" s="722" t="s">
        <v>647</v>
      </c>
      <c r="F4" s="723" t="s">
        <v>768</v>
      </c>
      <c r="G4" s="723" t="s">
        <v>756</v>
      </c>
      <c r="H4" s="724" t="s">
        <v>654</v>
      </c>
    </row>
    <row r="5" spans="2:8" ht="14" thickTop="1" thickBot="1" x14ac:dyDescent="0.4">
      <c r="B5" s="824" t="s">
        <v>700</v>
      </c>
      <c r="C5" s="79" t="s">
        <v>483</v>
      </c>
      <c r="D5" s="80" t="s">
        <v>484</v>
      </c>
      <c r="E5" s="81">
        <v>45839</v>
      </c>
      <c r="F5" s="666">
        <v>885</v>
      </c>
      <c r="G5" s="666">
        <v>853</v>
      </c>
      <c r="H5" s="82">
        <v>3.7999999999999999E-2</v>
      </c>
    </row>
    <row r="6" spans="2:8" ht="14" hidden="1" thickTop="1" thickBot="1" x14ac:dyDescent="0.4">
      <c r="B6" s="824"/>
      <c r="C6" s="79" t="s">
        <v>483</v>
      </c>
      <c r="D6" s="80" t="s">
        <v>655</v>
      </c>
      <c r="E6" s="83">
        <v>45839</v>
      </c>
      <c r="F6" s="666">
        <v>0</v>
      </c>
      <c r="G6" s="666">
        <v>0</v>
      </c>
      <c r="H6" s="82" t="s">
        <v>709</v>
      </c>
    </row>
    <row r="7" spans="2:8" ht="13.5" hidden="1" thickTop="1" x14ac:dyDescent="0.35">
      <c r="B7" s="824"/>
      <c r="C7" s="667" t="s">
        <v>656</v>
      </c>
      <c r="D7" s="668" t="s">
        <v>718</v>
      </c>
      <c r="E7" s="669">
        <v>45839</v>
      </c>
      <c r="F7" s="670">
        <v>0</v>
      </c>
      <c r="G7" s="670">
        <v>0</v>
      </c>
      <c r="H7" s="671" t="s">
        <v>709</v>
      </c>
    </row>
    <row r="8" spans="2:8" ht="13.5" hidden="1" thickTop="1" x14ac:dyDescent="0.35">
      <c r="B8" s="826"/>
      <c r="C8" s="788" t="s">
        <v>657</v>
      </c>
      <c r="D8" s="672" t="s">
        <v>658</v>
      </c>
      <c r="E8" s="673">
        <v>45839</v>
      </c>
      <c r="F8" s="674">
        <v>0</v>
      </c>
      <c r="G8" s="674">
        <v>0</v>
      </c>
      <c r="H8" s="675" t="s">
        <v>709</v>
      </c>
    </row>
    <row r="9" spans="2:8" ht="13.5" thickTop="1" x14ac:dyDescent="0.35">
      <c r="B9" s="826"/>
      <c r="C9" s="788" t="s">
        <v>721</v>
      </c>
      <c r="D9" s="672" t="s">
        <v>519</v>
      </c>
      <c r="E9" s="673">
        <v>45839</v>
      </c>
      <c r="F9" s="674">
        <v>0</v>
      </c>
      <c r="G9" s="674">
        <v>4033</v>
      </c>
      <c r="H9" s="675">
        <v>-1</v>
      </c>
    </row>
    <row r="10" spans="2:8" ht="13" hidden="1" x14ac:dyDescent="0.35">
      <c r="B10" s="826"/>
      <c r="C10" s="788" t="s">
        <v>711</v>
      </c>
      <c r="D10" s="672" t="s">
        <v>712</v>
      </c>
      <c r="E10" s="673">
        <v>45078</v>
      </c>
      <c r="F10" s="674">
        <v>0</v>
      </c>
      <c r="G10" s="674">
        <v>0</v>
      </c>
      <c r="H10" s="675" t="s">
        <v>709</v>
      </c>
    </row>
    <row r="11" spans="2:8" ht="13" x14ac:dyDescent="0.35">
      <c r="B11" s="826"/>
      <c r="C11" s="788" t="s">
        <v>751</v>
      </c>
      <c r="D11" s="672" t="s">
        <v>752</v>
      </c>
      <c r="E11" s="673">
        <v>45717</v>
      </c>
      <c r="F11" s="674">
        <v>31344</v>
      </c>
      <c r="G11" s="674">
        <v>9040</v>
      </c>
      <c r="H11" s="675" t="s">
        <v>709</v>
      </c>
    </row>
    <row r="12" spans="2:8" ht="13" x14ac:dyDescent="0.35">
      <c r="B12" s="824"/>
      <c r="C12" s="788" t="s">
        <v>748</v>
      </c>
      <c r="D12" s="800" t="s">
        <v>719</v>
      </c>
      <c r="E12" s="683">
        <v>45839</v>
      </c>
      <c r="F12" s="674">
        <v>0</v>
      </c>
      <c r="G12" s="674">
        <v>16530</v>
      </c>
      <c r="H12" s="675">
        <v>-1</v>
      </c>
    </row>
    <row r="13" spans="2:8" ht="13.5" hidden="1" thickBot="1" x14ac:dyDescent="0.4">
      <c r="B13" s="824"/>
      <c r="C13" s="677" t="s">
        <v>659</v>
      </c>
      <c r="D13" s="678" t="s">
        <v>660</v>
      </c>
      <c r="E13" s="679">
        <v>43617</v>
      </c>
      <c r="F13" s="680">
        <v>0</v>
      </c>
      <c r="G13" s="680">
        <v>0</v>
      </c>
      <c r="H13" s="681" t="s">
        <v>709</v>
      </c>
    </row>
    <row r="14" spans="2:8" ht="14" hidden="1" customHeight="1" thickBot="1" x14ac:dyDescent="0.4">
      <c r="B14" s="826" t="s">
        <v>16</v>
      </c>
      <c r="C14" s="79" t="s">
        <v>491</v>
      </c>
      <c r="D14" s="80" t="s">
        <v>672</v>
      </c>
      <c r="E14" s="81">
        <v>44228</v>
      </c>
      <c r="F14" s="778">
        <v>0</v>
      </c>
      <c r="G14" s="778">
        <v>0</v>
      </c>
      <c r="H14" s="82" t="s">
        <v>709</v>
      </c>
    </row>
    <row r="15" spans="2:8" ht="13.5" hidden="1" customHeight="1" x14ac:dyDescent="0.35">
      <c r="B15" s="826"/>
      <c r="C15" s="667" t="s">
        <v>663</v>
      </c>
      <c r="D15" s="668" t="s">
        <v>673</v>
      </c>
      <c r="E15" s="676">
        <v>44228</v>
      </c>
      <c r="F15" s="779">
        <v>0</v>
      </c>
      <c r="G15" s="779">
        <v>0</v>
      </c>
      <c r="H15" s="671" t="s">
        <v>709</v>
      </c>
    </row>
    <row r="16" spans="2:8" ht="13" hidden="1" customHeight="1" x14ac:dyDescent="0.35">
      <c r="B16" s="826"/>
      <c r="C16" s="788" t="s">
        <v>693</v>
      </c>
      <c r="D16" s="672" t="s">
        <v>673</v>
      </c>
      <c r="E16" s="673">
        <v>44228</v>
      </c>
      <c r="F16" s="780">
        <v>0</v>
      </c>
      <c r="G16" s="780">
        <v>0</v>
      </c>
      <c r="H16" s="675" t="s">
        <v>709</v>
      </c>
    </row>
    <row r="17" spans="1:8" ht="13" x14ac:dyDescent="0.35">
      <c r="A17" s="802">
        <v>0.81840000000000002</v>
      </c>
      <c r="B17" s="826"/>
      <c r="C17" s="788" t="s">
        <v>722</v>
      </c>
      <c r="D17" s="672" t="s">
        <v>673</v>
      </c>
      <c r="E17" s="673">
        <v>44228</v>
      </c>
      <c r="F17" s="674">
        <v>17116</v>
      </c>
      <c r="G17" s="674">
        <v>51287</v>
      </c>
      <c r="H17" s="675">
        <v>-0.66600000000000004</v>
      </c>
    </row>
    <row r="18" spans="1:8" ht="13.5" thickBot="1" x14ac:dyDescent="0.4">
      <c r="B18" s="826"/>
      <c r="C18" s="677" t="s">
        <v>723</v>
      </c>
      <c r="D18" s="678" t="s">
        <v>701</v>
      </c>
      <c r="E18" s="682">
        <v>45108</v>
      </c>
      <c r="F18" s="680">
        <v>3960</v>
      </c>
      <c r="G18" s="680">
        <v>7920</v>
      </c>
      <c r="H18" s="681">
        <v>-0.5</v>
      </c>
    </row>
    <row r="19" spans="1:8" ht="14" hidden="1" thickTop="1" thickBot="1" x14ac:dyDescent="0.4">
      <c r="B19" s="826"/>
      <c r="C19" s="667" t="s">
        <v>674</v>
      </c>
      <c r="D19" s="668" t="s">
        <v>673</v>
      </c>
      <c r="E19" s="682">
        <v>44228</v>
      </c>
      <c r="F19" s="680">
        <v>0</v>
      </c>
      <c r="G19" s="680">
        <v>0</v>
      </c>
      <c r="H19" s="671" t="s">
        <v>709</v>
      </c>
    </row>
    <row r="20" spans="1:8" ht="14" hidden="1" customHeight="1" thickTop="1" thickBot="1" x14ac:dyDescent="0.4">
      <c r="B20" s="826"/>
      <c r="C20" s="788" t="s">
        <v>713</v>
      </c>
      <c r="D20" s="672" t="s">
        <v>673</v>
      </c>
      <c r="E20" s="682">
        <v>44228</v>
      </c>
      <c r="F20" s="680">
        <v>0</v>
      </c>
      <c r="G20" s="680">
        <v>0</v>
      </c>
      <c r="H20" s="675" t="s">
        <v>709</v>
      </c>
    </row>
    <row r="21" spans="1:8" ht="14" hidden="1" customHeight="1" thickTop="1" thickBot="1" x14ac:dyDescent="0.4">
      <c r="B21" s="826"/>
      <c r="C21" s="677" t="s">
        <v>489</v>
      </c>
      <c r="D21" s="678" t="s">
        <v>675</v>
      </c>
      <c r="E21" s="682">
        <v>44228</v>
      </c>
      <c r="F21" s="680">
        <v>0</v>
      </c>
      <c r="G21" s="680">
        <v>0</v>
      </c>
      <c r="H21" s="681" t="s">
        <v>709</v>
      </c>
    </row>
    <row r="22" spans="1:8" ht="14" hidden="1" customHeight="1" thickTop="1" thickBot="1" x14ac:dyDescent="0.4">
      <c r="B22" s="826"/>
      <c r="C22" s="79" t="s">
        <v>661</v>
      </c>
      <c r="D22" s="80" t="s">
        <v>655</v>
      </c>
      <c r="E22" s="682">
        <v>44228</v>
      </c>
      <c r="F22" s="680">
        <v>0</v>
      </c>
      <c r="G22" s="680">
        <v>0</v>
      </c>
      <c r="H22" s="82" t="s">
        <v>709</v>
      </c>
    </row>
    <row r="23" spans="1:8" ht="14" hidden="1" customHeight="1" thickTop="1" thickBot="1" x14ac:dyDescent="0.4">
      <c r="B23" s="826"/>
      <c r="C23" s="79" t="s">
        <v>662</v>
      </c>
      <c r="D23" s="80" t="s">
        <v>672</v>
      </c>
      <c r="E23" s="682">
        <v>44228</v>
      </c>
      <c r="F23" s="680">
        <v>0</v>
      </c>
      <c r="G23" s="680">
        <v>0</v>
      </c>
      <c r="H23" s="82" t="s">
        <v>709</v>
      </c>
    </row>
    <row r="24" spans="1:8" ht="14.25" hidden="1" customHeight="1" thickTop="1" thickBot="1" x14ac:dyDescent="0.4">
      <c r="B24" s="824" t="s">
        <v>684</v>
      </c>
      <c r="C24" s="79" t="s">
        <v>702</v>
      </c>
      <c r="D24" s="80" t="s">
        <v>703</v>
      </c>
      <c r="E24" s="682">
        <v>43800</v>
      </c>
      <c r="F24" s="680">
        <v>0</v>
      </c>
      <c r="G24" s="680">
        <v>0</v>
      </c>
      <c r="H24" s="82" t="s">
        <v>709</v>
      </c>
    </row>
    <row r="25" spans="1:8" ht="14.25" hidden="1" customHeight="1" thickTop="1" thickBot="1" x14ac:dyDescent="0.4">
      <c r="B25" s="824"/>
      <c r="C25" s="79" t="s">
        <v>704</v>
      </c>
      <c r="D25" s="80" t="s">
        <v>705</v>
      </c>
      <c r="E25" s="682">
        <v>43800</v>
      </c>
      <c r="F25" s="680">
        <v>0</v>
      </c>
      <c r="G25" s="680">
        <v>0</v>
      </c>
      <c r="H25" s="82" t="s">
        <v>709</v>
      </c>
    </row>
    <row r="26" spans="1:8" ht="14.25" hidden="1" customHeight="1" thickTop="1" thickBot="1" x14ac:dyDescent="0.4">
      <c r="A26" s="802">
        <v>1</v>
      </c>
      <c r="B26" s="824"/>
      <c r="C26" s="79" t="s">
        <v>706</v>
      </c>
      <c r="D26" s="80" t="s">
        <v>705</v>
      </c>
      <c r="E26" s="682">
        <v>43800</v>
      </c>
      <c r="F26" s="680">
        <v>0</v>
      </c>
      <c r="G26" s="680">
        <v>0</v>
      </c>
      <c r="H26" s="82" t="s">
        <v>709</v>
      </c>
    </row>
    <row r="27" spans="1:8" ht="14.25" hidden="1" customHeight="1" thickTop="1" thickBot="1" x14ac:dyDescent="0.4">
      <c r="B27" s="824"/>
      <c r="C27" s="79" t="s">
        <v>707</v>
      </c>
      <c r="D27" s="80" t="s">
        <v>705</v>
      </c>
      <c r="E27" s="682">
        <v>43800</v>
      </c>
      <c r="F27" s="680">
        <v>0</v>
      </c>
      <c r="G27" s="680">
        <v>0</v>
      </c>
      <c r="H27" s="82" t="s">
        <v>709</v>
      </c>
    </row>
    <row r="28" spans="1:8" ht="14" thickTop="1" thickBot="1" x14ac:dyDescent="0.4">
      <c r="B28" s="824"/>
      <c r="C28" s="79" t="s">
        <v>662</v>
      </c>
      <c r="D28" s="668" t="s">
        <v>724</v>
      </c>
      <c r="E28" s="682">
        <v>45992</v>
      </c>
      <c r="F28" s="680">
        <v>968026</v>
      </c>
      <c r="G28" s="680">
        <v>1007375</v>
      </c>
      <c r="H28" s="82">
        <v>-3.9E-2</v>
      </c>
    </row>
    <row r="29" spans="1:8" ht="14" hidden="1" thickTop="1" thickBot="1" x14ac:dyDescent="0.4">
      <c r="A29" s="802">
        <v>1</v>
      </c>
      <c r="B29" s="824" t="s">
        <v>644</v>
      </c>
      <c r="C29" s="79" t="s">
        <v>664</v>
      </c>
      <c r="D29" s="80" t="s">
        <v>708</v>
      </c>
      <c r="E29" s="682">
        <v>47818</v>
      </c>
      <c r="F29" s="680">
        <v>0</v>
      </c>
      <c r="G29" s="680">
        <v>0</v>
      </c>
      <c r="H29" s="82" t="s">
        <v>709</v>
      </c>
    </row>
    <row r="30" spans="1:8" ht="14" hidden="1" thickTop="1" thickBot="1" x14ac:dyDescent="0.4">
      <c r="A30" s="803"/>
      <c r="B30" s="824"/>
      <c r="C30" s="79" t="s">
        <v>714</v>
      </c>
      <c r="D30" s="80" t="s">
        <v>715</v>
      </c>
      <c r="E30" s="682">
        <v>47270</v>
      </c>
      <c r="F30" s="680">
        <v>0</v>
      </c>
      <c r="G30" s="680">
        <v>0</v>
      </c>
      <c r="H30" s="82" t="s">
        <v>709</v>
      </c>
    </row>
    <row r="31" spans="1:8" ht="14" hidden="1" thickTop="1" thickBot="1" x14ac:dyDescent="0.4">
      <c r="B31" s="824"/>
      <c r="C31" s="79" t="s">
        <v>665</v>
      </c>
      <c r="D31" s="80" t="s">
        <v>676</v>
      </c>
      <c r="E31" s="682">
        <v>46753</v>
      </c>
      <c r="F31" s="680">
        <v>0</v>
      </c>
      <c r="G31" s="680">
        <v>0</v>
      </c>
      <c r="H31" s="82" t="s">
        <v>709</v>
      </c>
    </row>
    <row r="32" spans="1:8" ht="14" hidden="1" thickTop="1" thickBot="1" x14ac:dyDescent="0.4">
      <c r="B32" s="824"/>
      <c r="C32" s="79" t="s">
        <v>725</v>
      </c>
      <c r="D32" s="80" t="s">
        <v>726</v>
      </c>
      <c r="E32" s="682">
        <v>44652</v>
      </c>
      <c r="F32" s="680">
        <v>0</v>
      </c>
      <c r="G32" s="680">
        <v>0</v>
      </c>
      <c r="H32" s="82" t="s">
        <v>709</v>
      </c>
    </row>
    <row r="33" spans="2:54" ht="14" hidden="1" thickTop="1" thickBot="1" x14ac:dyDescent="0.4">
      <c r="B33" s="824"/>
      <c r="C33" s="79" t="s">
        <v>666</v>
      </c>
      <c r="D33" s="80" t="s">
        <v>667</v>
      </c>
      <c r="E33" s="682">
        <v>44531</v>
      </c>
      <c r="F33" s="680">
        <v>0</v>
      </c>
      <c r="G33" s="680">
        <v>0</v>
      </c>
      <c r="H33" s="82" t="s">
        <v>709</v>
      </c>
    </row>
    <row r="34" spans="2:54" ht="14" thickTop="1" thickBot="1" x14ac:dyDescent="0.4">
      <c r="B34" s="824"/>
      <c r="C34" s="79" t="s">
        <v>735</v>
      </c>
      <c r="D34" s="80" t="s">
        <v>766</v>
      </c>
      <c r="E34" s="682">
        <v>48458</v>
      </c>
      <c r="F34" s="680">
        <v>323409</v>
      </c>
      <c r="G34" s="680">
        <v>316950</v>
      </c>
      <c r="H34" s="82">
        <v>0.02</v>
      </c>
    </row>
    <row r="35" spans="2:54" ht="14" thickTop="1" thickBot="1" x14ac:dyDescent="0.4">
      <c r="B35" s="824"/>
      <c r="C35" s="79" t="s">
        <v>694</v>
      </c>
      <c r="D35" s="80" t="s">
        <v>767</v>
      </c>
      <c r="E35" s="682">
        <v>45689</v>
      </c>
      <c r="F35" s="680">
        <v>723</v>
      </c>
      <c r="G35" s="680">
        <v>1147</v>
      </c>
      <c r="H35" s="82">
        <v>-0.37</v>
      </c>
    </row>
    <row r="36" spans="2:54" ht="14.25" hidden="1" customHeight="1" thickTop="1" thickBot="1" x14ac:dyDescent="0.4">
      <c r="B36" s="824"/>
      <c r="C36" s="79" t="s">
        <v>716</v>
      </c>
      <c r="D36" s="783">
        <v>0.26669999999999999</v>
      </c>
      <c r="E36" s="83">
        <v>43497</v>
      </c>
      <c r="F36" s="779">
        <v>0</v>
      </c>
      <c r="G36" s="670">
        <v>0</v>
      </c>
      <c r="H36" s="82" t="s">
        <v>709</v>
      </c>
    </row>
    <row r="37" spans="2:54" ht="13.5" thickTop="1" x14ac:dyDescent="0.35">
      <c r="B37" s="825" t="s">
        <v>668</v>
      </c>
      <c r="C37" s="825"/>
      <c r="D37" s="825"/>
      <c r="E37" s="825"/>
      <c r="F37" s="684">
        <v>1345463</v>
      </c>
      <c r="G37" s="684">
        <v>1415135</v>
      </c>
      <c r="H37" s="685">
        <v>-4.9000000000000002E-2</v>
      </c>
      <c r="I37" s="781"/>
    </row>
    <row r="38" spans="2:54" ht="13.5" thickBot="1" x14ac:dyDescent="0.4">
      <c r="B38" s="809"/>
      <c r="D38" s="810"/>
      <c r="F38" s="811"/>
      <c r="H38" s="812"/>
    </row>
    <row r="39" spans="2:54" ht="14" thickTop="1" thickBot="1" x14ac:dyDescent="0.4">
      <c r="B39" s="781"/>
      <c r="C39" s="781"/>
      <c r="D39" s="781"/>
      <c r="E39" s="781"/>
      <c r="F39" s="781"/>
      <c r="G39" s="813"/>
      <c r="H39" s="781"/>
      <c r="I39" s="807"/>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716"/>
      <c r="AN39" s="716"/>
      <c r="AO39" s="716"/>
      <c r="AP39" s="716"/>
      <c r="AQ39" s="716"/>
      <c r="AR39" s="716"/>
      <c r="AS39" s="716"/>
      <c r="AT39" s="716"/>
      <c r="AU39" s="716"/>
      <c r="AV39" s="716"/>
      <c r="AW39" s="716"/>
      <c r="AX39" s="716"/>
      <c r="AY39" s="716"/>
      <c r="AZ39" s="716"/>
      <c r="BA39" s="716"/>
      <c r="BB39" s="716"/>
    </row>
    <row r="40" spans="2:54" ht="14" thickTop="1" thickBot="1" x14ac:dyDescent="0.4">
      <c r="B40" s="781"/>
      <c r="C40" s="781"/>
      <c r="D40" s="781"/>
      <c r="E40" s="781"/>
      <c r="F40" s="781"/>
      <c r="G40" s="813"/>
      <c r="H40" s="781"/>
      <c r="I40" s="807"/>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716"/>
      <c r="AN40" s="716"/>
      <c r="AO40" s="716"/>
      <c r="AP40" s="716"/>
      <c r="AQ40" s="716"/>
      <c r="AR40" s="716"/>
      <c r="AS40" s="716"/>
      <c r="AT40" s="716"/>
      <c r="AU40" s="716"/>
      <c r="AV40" s="716"/>
      <c r="AW40" s="716"/>
      <c r="AX40" s="716"/>
      <c r="AY40" s="716"/>
      <c r="AZ40" s="716"/>
      <c r="BA40" s="716"/>
      <c r="BB40" s="716"/>
    </row>
    <row r="41" spans="2:54" ht="14" thickTop="1" thickBot="1" x14ac:dyDescent="0.4">
      <c r="B41" s="781"/>
      <c r="C41" s="781"/>
      <c r="D41" s="781"/>
      <c r="E41" s="781"/>
      <c r="F41" s="781"/>
      <c r="G41" s="813"/>
      <c r="H41" s="814"/>
      <c r="I41" s="807"/>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716"/>
      <c r="AN41" s="716"/>
      <c r="AO41" s="716"/>
      <c r="AP41" s="716"/>
      <c r="AQ41" s="716"/>
      <c r="AR41" s="716"/>
      <c r="AS41" s="716"/>
      <c r="AT41" s="716"/>
      <c r="AU41" s="716"/>
      <c r="AV41" s="716"/>
      <c r="AW41" s="716"/>
      <c r="AX41" s="716"/>
      <c r="AY41" s="716"/>
      <c r="AZ41" s="716"/>
      <c r="BA41" s="716"/>
      <c r="BB41" s="716"/>
    </row>
    <row r="42" spans="2:54" ht="14" thickTop="1" thickBot="1" x14ac:dyDescent="0.4">
      <c r="G42" s="815"/>
      <c r="H42" s="814"/>
      <c r="I42" s="807"/>
      <c r="J42" s="716"/>
      <c r="K42" s="716"/>
      <c r="L42" s="716"/>
      <c r="M42" s="716"/>
      <c r="N42" s="716"/>
      <c r="O42" s="716"/>
      <c r="P42" s="716"/>
      <c r="Q42" s="716"/>
      <c r="R42" s="716"/>
      <c r="S42" s="716"/>
      <c r="T42" s="716"/>
      <c r="U42" s="716"/>
      <c r="V42" s="716"/>
      <c r="W42" s="716"/>
      <c r="X42" s="716"/>
      <c r="Y42" s="716"/>
      <c r="Z42" s="716"/>
      <c r="AA42" s="716"/>
      <c r="AB42" s="716"/>
      <c r="AC42" s="716"/>
      <c r="AD42" s="716"/>
      <c r="AE42" s="716"/>
      <c r="AF42" s="716"/>
      <c r="AG42" s="716"/>
      <c r="AH42" s="716"/>
      <c r="AI42" s="716"/>
      <c r="AJ42" s="716"/>
      <c r="AK42" s="716"/>
      <c r="AL42" s="716"/>
      <c r="AM42" s="716"/>
      <c r="AN42" s="716"/>
      <c r="AO42" s="716"/>
      <c r="AP42" s="716"/>
      <c r="AQ42" s="716"/>
      <c r="AR42" s="716"/>
      <c r="AS42" s="716"/>
      <c r="AT42" s="716"/>
      <c r="AU42" s="716"/>
      <c r="AV42" s="716"/>
      <c r="AW42" s="716"/>
      <c r="AX42" s="716"/>
      <c r="AY42" s="716"/>
      <c r="AZ42" s="716"/>
      <c r="BA42" s="716"/>
      <c r="BB42" s="716"/>
    </row>
    <row r="43" spans="2:54" ht="14" thickTop="1" thickBot="1" x14ac:dyDescent="0.4">
      <c r="G43" s="811"/>
      <c r="H43" s="814"/>
      <c r="I43" s="807"/>
      <c r="J43" s="716"/>
      <c r="K43" s="716"/>
      <c r="L43" s="716"/>
      <c r="M43" s="716"/>
      <c r="N43" s="716"/>
      <c r="O43" s="716"/>
      <c r="P43" s="716"/>
      <c r="Q43" s="716"/>
      <c r="R43" s="716"/>
      <c r="S43" s="716"/>
      <c r="T43" s="716"/>
      <c r="U43" s="716"/>
      <c r="V43" s="716"/>
      <c r="W43" s="716"/>
      <c r="X43" s="716"/>
      <c r="Y43" s="716"/>
      <c r="Z43" s="716"/>
      <c r="AA43" s="716"/>
      <c r="AB43" s="716"/>
      <c r="AC43" s="716"/>
      <c r="AD43" s="716"/>
      <c r="AE43" s="716"/>
      <c r="AF43" s="716"/>
      <c r="AG43" s="716"/>
      <c r="AH43" s="716"/>
      <c r="AI43" s="716"/>
      <c r="AJ43" s="716"/>
      <c r="AK43" s="716"/>
      <c r="AL43" s="716"/>
      <c r="AM43" s="716"/>
      <c r="AN43" s="716"/>
      <c r="AO43" s="716"/>
      <c r="AP43" s="716"/>
      <c r="AQ43" s="716"/>
      <c r="AR43" s="716"/>
      <c r="AS43" s="716"/>
      <c r="AT43" s="716"/>
      <c r="AU43" s="716"/>
      <c r="AV43" s="716"/>
      <c r="AW43" s="716"/>
      <c r="AX43" s="716"/>
      <c r="AY43" s="716"/>
      <c r="AZ43" s="716"/>
      <c r="BA43" s="716"/>
      <c r="BB43" s="716"/>
    </row>
    <row r="44" spans="2:54" ht="14" thickTop="1" thickBot="1" x14ac:dyDescent="0.4">
      <c r="E44" s="811"/>
      <c r="F44" s="811"/>
      <c r="G44" s="811"/>
      <c r="H44" s="814"/>
      <c r="I44" s="807"/>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716"/>
      <c r="AM44" s="716"/>
      <c r="AN44" s="716"/>
      <c r="AO44" s="716"/>
      <c r="AP44" s="716"/>
      <c r="AQ44" s="716"/>
      <c r="AR44" s="716"/>
      <c r="AS44" s="716"/>
      <c r="AT44" s="716"/>
      <c r="AU44" s="716"/>
      <c r="AV44" s="716"/>
      <c r="AW44" s="716"/>
      <c r="AX44" s="716"/>
      <c r="AY44" s="716"/>
      <c r="AZ44" s="716"/>
      <c r="BA44" s="716"/>
      <c r="BB44" s="716"/>
    </row>
    <row r="45" spans="2:54" ht="14" thickTop="1" thickBot="1" x14ac:dyDescent="0.4">
      <c r="E45" s="811"/>
      <c r="F45" s="811"/>
      <c r="G45" s="811"/>
      <c r="H45" s="815"/>
      <c r="I45" s="807"/>
      <c r="J45" s="716"/>
      <c r="K45" s="716"/>
      <c r="L45" s="716"/>
      <c r="M45" s="716"/>
      <c r="N45" s="716"/>
      <c r="O45" s="716"/>
      <c r="P45" s="716"/>
      <c r="Q45" s="716"/>
      <c r="R45" s="716"/>
      <c r="S45" s="716"/>
      <c r="T45" s="716"/>
      <c r="U45" s="716"/>
      <c r="V45" s="716"/>
      <c r="W45" s="716"/>
      <c r="X45" s="716"/>
      <c r="Y45" s="716"/>
      <c r="Z45" s="716"/>
      <c r="AA45" s="716"/>
      <c r="AB45" s="716"/>
      <c r="AC45" s="716"/>
      <c r="AD45" s="716"/>
      <c r="AE45" s="716"/>
      <c r="AF45" s="716"/>
      <c r="AG45" s="716"/>
      <c r="AH45" s="716"/>
      <c r="AI45" s="716"/>
      <c r="AJ45" s="716"/>
      <c r="AK45" s="716"/>
      <c r="AL45" s="716"/>
      <c r="AM45" s="716"/>
      <c r="AN45" s="716"/>
      <c r="AO45" s="716"/>
      <c r="AP45" s="716"/>
      <c r="AQ45" s="716"/>
      <c r="AR45" s="716"/>
      <c r="AS45" s="716"/>
      <c r="AT45" s="716"/>
      <c r="AU45" s="716"/>
      <c r="AV45" s="716"/>
      <c r="AW45" s="716"/>
      <c r="AX45" s="716"/>
      <c r="AY45" s="716"/>
      <c r="AZ45" s="716"/>
      <c r="BA45" s="716"/>
      <c r="BB45" s="716"/>
    </row>
    <row r="46" spans="2:54" ht="13" thickTop="1" x14ac:dyDescent="0.35">
      <c r="E46" s="811"/>
      <c r="F46" s="811"/>
      <c r="G46" s="811"/>
      <c r="H46" s="811"/>
      <c r="I46" s="807"/>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716"/>
      <c r="AI46" s="716"/>
      <c r="AJ46" s="716"/>
      <c r="AK46" s="716"/>
      <c r="AL46" s="716"/>
      <c r="AM46" s="716"/>
      <c r="AN46" s="716"/>
      <c r="AO46" s="716"/>
      <c r="AP46" s="716"/>
      <c r="AQ46" s="716"/>
      <c r="AR46" s="716"/>
      <c r="AS46" s="716"/>
      <c r="AT46" s="716"/>
      <c r="AU46" s="716"/>
      <c r="AV46" s="716"/>
      <c r="AW46" s="716"/>
      <c r="AX46" s="716"/>
      <c r="AY46" s="716"/>
      <c r="AZ46" s="716"/>
      <c r="BA46" s="716"/>
      <c r="BB46" s="716"/>
    </row>
    <row r="47" spans="2:54" x14ac:dyDescent="0.35">
      <c r="E47" s="811"/>
      <c r="F47" s="811"/>
      <c r="G47" s="811"/>
      <c r="H47" s="811"/>
      <c r="I47" s="807"/>
      <c r="J47" s="716"/>
      <c r="K47" s="716"/>
      <c r="L47" s="716"/>
      <c r="M47" s="716"/>
      <c r="N47" s="716"/>
      <c r="O47" s="716"/>
      <c r="P47" s="716"/>
      <c r="Q47" s="716"/>
      <c r="R47" s="716"/>
      <c r="S47" s="716"/>
      <c r="T47" s="716"/>
      <c r="U47" s="716"/>
      <c r="V47" s="716"/>
      <c r="W47" s="716"/>
      <c r="X47" s="716"/>
      <c r="Y47" s="716"/>
      <c r="Z47" s="716"/>
      <c r="AA47" s="716"/>
      <c r="AB47" s="716"/>
      <c r="AC47" s="716"/>
      <c r="AD47" s="716"/>
      <c r="AE47" s="716"/>
      <c r="AF47" s="716"/>
      <c r="AG47" s="716"/>
      <c r="AH47" s="716"/>
      <c r="AI47" s="716"/>
      <c r="AJ47" s="716"/>
      <c r="AK47" s="716"/>
      <c r="AL47" s="716"/>
      <c r="AM47" s="716"/>
      <c r="AN47" s="716"/>
      <c r="AO47" s="716"/>
      <c r="AP47" s="716"/>
      <c r="AQ47" s="716"/>
      <c r="AR47" s="716"/>
      <c r="AS47" s="716"/>
      <c r="AT47" s="716"/>
      <c r="AU47" s="716"/>
      <c r="AV47" s="716"/>
      <c r="AW47" s="716"/>
      <c r="AX47" s="716"/>
      <c r="AY47" s="716"/>
      <c r="AZ47" s="716"/>
      <c r="BA47" s="716"/>
      <c r="BB47" s="716"/>
    </row>
    <row r="48" spans="2:54" x14ac:dyDescent="0.35">
      <c r="E48" s="811"/>
      <c r="F48" s="811"/>
      <c r="G48" s="811"/>
      <c r="H48" s="811"/>
      <c r="I48" s="807"/>
      <c r="J48" s="716"/>
      <c r="K48" s="716"/>
      <c r="L48" s="716"/>
      <c r="M48" s="716"/>
      <c r="N48" s="716"/>
      <c r="O48" s="716"/>
      <c r="P48" s="716"/>
      <c r="Q48" s="716"/>
      <c r="R48" s="716"/>
      <c r="S48" s="716"/>
      <c r="T48" s="716"/>
      <c r="U48" s="716"/>
      <c r="V48" s="716"/>
      <c r="W48" s="716"/>
      <c r="X48" s="716"/>
      <c r="Y48" s="716"/>
      <c r="Z48" s="716"/>
      <c r="AA48" s="716"/>
      <c r="AB48" s="716"/>
      <c r="AC48" s="716"/>
      <c r="AD48" s="716"/>
      <c r="AE48" s="716"/>
      <c r="AF48" s="716"/>
      <c r="AG48" s="716"/>
      <c r="AH48" s="716"/>
      <c r="AI48" s="716"/>
      <c r="AJ48" s="716"/>
      <c r="AK48" s="716"/>
      <c r="AL48" s="716"/>
      <c r="AM48" s="716"/>
      <c r="AN48" s="716"/>
      <c r="AO48" s="716"/>
      <c r="AP48" s="716"/>
      <c r="AQ48" s="716"/>
      <c r="AR48" s="716"/>
      <c r="AS48" s="716"/>
      <c r="AT48" s="716"/>
      <c r="AU48" s="716"/>
      <c r="AV48" s="716"/>
      <c r="AW48" s="716"/>
      <c r="AX48" s="716"/>
      <c r="AY48" s="716"/>
      <c r="AZ48" s="716"/>
      <c r="BA48" s="716"/>
      <c r="BB48" s="716"/>
    </row>
    <row r="49" spans="5:54" x14ac:dyDescent="0.35">
      <c r="E49" s="811"/>
      <c r="F49" s="811"/>
      <c r="G49" s="811"/>
      <c r="H49" s="811"/>
      <c r="I49" s="807"/>
      <c r="J49" s="716"/>
      <c r="K49" s="716"/>
      <c r="L49" s="716"/>
      <c r="M49" s="716"/>
      <c r="N49" s="716"/>
      <c r="O49" s="716"/>
      <c r="P49" s="716"/>
      <c r="Q49" s="716"/>
      <c r="R49" s="716"/>
      <c r="S49" s="716"/>
      <c r="T49" s="716"/>
      <c r="U49" s="716"/>
      <c r="V49" s="716"/>
      <c r="W49" s="716"/>
      <c r="X49" s="716"/>
      <c r="Y49" s="716"/>
      <c r="Z49" s="716"/>
      <c r="AA49" s="716"/>
      <c r="AB49" s="716"/>
      <c r="AC49" s="716"/>
      <c r="AD49" s="716"/>
      <c r="AE49" s="716"/>
      <c r="AF49" s="716"/>
      <c r="AG49" s="716"/>
      <c r="AH49" s="716"/>
      <c r="AI49" s="716"/>
      <c r="AJ49" s="716"/>
      <c r="AK49" s="716"/>
      <c r="AL49" s="716"/>
      <c r="AM49" s="716"/>
      <c r="AN49" s="716"/>
      <c r="AO49" s="716"/>
      <c r="AP49" s="716"/>
      <c r="AQ49" s="716"/>
      <c r="AR49" s="716"/>
      <c r="AS49" s="716"/>
      <c r="AT49" s="716"/>
      <c r="AU49" s="716"/>
      <c r="AV49" s="716"/>
      <c r="AW49" s="716"/>
      <c r="AX49" s="716"/>
      <c r="AY49" s="716"/>
      <c r="AZ49" s="716"/>
      <c r="BA49" s="716"/>
      <c r="BB49" s="716"/>
    </row>
    <row r="50" spans="5:54" x14ac:dyDescent="0.35">
      <c r="E50" s="811"/>
      <c r="F50" s="811"/>
      <c r="G50" s="811"/>
      <c r="H50" s="811"/>
      <c r="I50" s="807"/>
      <c r="J50" s="716"/>
      <c r="K50" s="716"/>
      <c r="L50" s="716"/>
      <c r="M50" s="716"/>
      <c r="N50" s="716"/>
      <c r="O50" s="716"/>
      <c r="P50" s="716"/>
      <c r="Q50" s="716"/>
      <c r="R50" s="716"/>
      <c r="S50" s="716"/>
      <c r="T50" s="716"/>
      <c r="U50" s="716"/>
      <c r="V50" s="716"/>
      <c r="W50" s="716"/>
      <c r="X50" s="716"/>
      <c r="Y50" s="716"/>
      <c r="Z50" s="716"/>
      <c r="AA50" s="716"/>
      <c r="AB50" s="716"/>
      <c r="AC50" s="716"/>
      <c r="AD50" s="716"/>
      <c r="AE50" s="716"/>
      <c r="AF50" s="716"/>
      <c r="AG50" s="716"/>
      <c r="AH50" s="716"/>
      <c r="AI50" s="716"/>
      <c r="AJ50" s="716"/>
      <c r="AK50" s="716"/>
      <c r="AL50" s="716"/>
      <c r="AM50" s="716"/>
      <c r="AN50" s="716"/>
      <c r="AO50" s="716"/>
      <c r="AP50" s="716"/>
      <c r="AQ50" s="716"/>
      <c r="AR50" s="716"/>
      <c r="AS50" s="716"/>
      <c r="AT50" s="716"/>
      <c r="AU50" s="716"/>
      <c r="AV50" s="716"/>
      <c r="AW50" s="716"/>
      <c r="AX50" s="716"/>
      <c r="AY50" s="716"/>
      <c r="AZ50" s="716"/>
      <c r="BA50" s="716"/>
      <c r="BB50" s="716"/>
    </row>
    <row r="51" spans="5:54" x14ac:dyDescent="0.35">
      <c r="E51" s="811"/>
      <c r="F51" s="811"/>
      <c r="G51" s="811"/>
      <c r="H51" s="811"/>
      <c r="I51" s="807"/>
      <c r="J51" s="716"/>
      <c r="K51" s="716"/>
      <c r="L51" s="716"/>
      <c r="M51" s="716"/>
      <c r="N51" s="716"/>
      <c r="O51" s="716"/>
      <c r="P51" s="716"/>
      <c r="Q51" s="716"/>
      <c r="R51" s="716"/>
      <c r="S51" s="716"/>
      <c r="T51" s="716"/>
      <c r="U51" s="716"/>
      <c r="V51" s="716"/>
      <c r="W51" s="716"/>
      <c r="X51" s="716"/>
      <c r="Y51" s="716"/>
      <c r="Z51" s="716"/>
      <c r="AA51" s="716"/>
      <c r="AB51" s="716"/>
      <c r="AC51" s="716"/>
      <c r="AD51" s="716"/>
      <c r="AE51" s="716"/>
      <c r="AF51" s="716"/>
      <c r="AG51" s="716"/>
      <c r="AH51" s="716"/>
      <c r="AI51" s="716"/>
      <c r="AJ51" s="716"/>
      <c r="AK51" s="716"/>
      <c r="AL51" s="716"/>
      <c r="AM51" s="716"/>
      <c r="AN51" s="716"/>
      <c r="AO51" s="716"/>
      <c r="AP51" s="716"/>
      <c r="AQ51" s="716"/>
      <c r="AR51" s="716"/>
      <c r="AS51" s="716"/>
      <c r="AT51" s="716"/>
      <c r="AU51" s="716"/>
      <c r="AV51" s="716"/>
      <c r="AW51" s="716"/>
      <c r="AX51" s="716"/>
      <c r="AY51" s="716"/>
      <c r="AZ51" s="716"/>
      <c r="BA51" s="716"/>
      <c r="BB51" s="716"/>
    </row>
    <row r="52" spans="5:54" x14ac:dyDescent="0.35">
      <c r="E52" s="811"/>
      <c r="F52" s="811"/>
      <c r="G52" s="811"/>
      <c r="H52" s="811"/>
      <c r="I52" s="807"/>
      <c r="J52" s="716"/>
      <c r="K52" s="716"/>
      <c r="L52" s="716"/>
      <c r="M52" s="716"/>
      <c r="N52" s="716"/>
      <c r="O52" s="716"/>
      <c r="P52" s="716"/>
      <c r="Q52" s="716"/>
      <c r="R52" s="716"/>
      <c r="S52" s="716"/>
      <c r="T52" s="716"/>
      <c r="U52" s="716"/>
      <c r="V52" s="716"/>
      <c r="W52" s="716"/>
      <c r="X52" s="716"/>
      <c r="Y52" s="716"/>
      <c r="Z52" s="716"/>
      <c r="AA52" s="716"/>
      <c r="AB52" s="716"/>
      <c r="AC52" s="716"/>
      <c r="AD52" s="716"/>
      <c r="AE52" s="716"/>
      <c r="AF52" s="716"/>
      <c r="AG52" s="716"/>
      <c r="AH52" s="716"/>
      <c r="AI52" s="716"/>
      <c r="AJ52" s="716"/>
      <c r="AK52" s="716"/>
      <c r="AL52" s="716"/>
      <c r="AM52" s="716"/>
      <c r="AN52" s="716"/>
      <c r="AO52" s="716"/>
      <c r="AP52" s="716"/>
      <c r="AQ52" s="716"/>
      <c r="AR52" s="716"/>
      <c r="AS52" s="716"/>
      <c r="AT52" s="716"/>
      <c r="AU52" s="716"/>
      <c r="AV52" s="716"/>
      <c r="AW52" s="716"/>
      <c r="AX52" s="716"/>
      <c r="AY52" s="716"/>
      <c r="AZ52" s="716"/>
      <c r="BA52" s="716"/>
      <c r="BB52" s="716"/>
    </row>
    <row r="53" spans="5:54" x14ac:dyDescent="0.35">
      <c r="E53" s="811"/>
      <c r="F53" s="811"/>
      <c r="G53" s="811"/>
      <c r="H53" s="811"/>
      <c r="I53" s="807"/>
      <c r="J53" s="716"/>
      <c r="K53" s="716"/>
      <c r="L53" s="716"/>
      <c r="M53" s="716"/>
      <c r="N53" s="716"/>
      <c r="O53" s="716"/>
      <c r="P53" s="716"/>
      <c r="Q53" s="716"/>
      <c r="R53" s="716"/>
      <c r="S53" s="716"/>
      <c r="T53" s="716"/>
      <c r="U53" s="716"/>
      <c r="V53" s="716"/>
      <c r="W53" s="716"/>
      <c r="X53" s="716"/>
      <c r="Y53" s="716"/>
      <c r="Z53" s="716"/>
      <c r="AA53" s="716"/>
      <c r="AB53" s="716"/>
      <c r="AC53" s="716"/>
      <c r="AD53" s="716"/>
      <c r="AE53" s="716"/>
      <c r="AF53" s="716"/>
      <c r="AG53" s="716"/>
      <c r="AH53" s="716"/>
      <c r="AI53" s="716"/>
      <c r="AJ53" s="716"/>
      <c r="AK53" s="716"/>
      <c r="AL53" s="716"/>
      <c r="AM53" s="716"/>
      <c r="AN53" s="716"/>
      <c r="AO53" s="716"/>
      <c r="AP53" s="716"/>
      <c r="AQ53" s="716"/>
      <c r="AR53" s="716"/>
      <c r="AS53" s="716"/>
      <c r="AT53" s="716"/>
      <c r="AU53" s="716"/>
      <c r="AV53" s="716"/>
      <c r="AW53" s="716"/>
      <c r="AX53" s="716"/>
      <c r="AY53" s="716"/>
      <c r="AZ53" s="716"/>
      <c r="BA53" s="716"/>
      <c r="BB53" s="716"/>
    </row>
    <row r="54" spans="5:54" x14ac:dyDescent="0.35">
      <c r="E54" s="811"/>
      <c r="F54" s="811"/>
      <c r="G54" s="811"/>
      <c r="H54" s="811"/>
      <c r="I54" s="807"/>
      <c r="J54" s="716"/>
      <c r="K54" s="716"/>
      <c r="L54" s="716"/>
      <c r="M54" s="716"/>
      <c r="N54" s="716"/>
      <c r="O54" s="716"/>
      <c r="P54" s="716"/>
      <c r="Q54" s="716"/>
      <c r="R54" s="716"/>
      <c r="S54" s="716"/>
      <c r="T54" s="716"/>
      <c r="U54" s="716"/>
      <c r="V54" s="716"/>
      <c r="W54" s="716"/>
      <c r="X54" s="716"/>
      <c r="Y54" s="716"/>
      <c r="Z54" s="716"/>
      <c r="AA54" s="716"/>
      <c r="AB54" s="716"/>
      <c r="AC54" s="716"/>
      <c r="AD54" s="716"/>
      <c r="AE54" s="716"/>
      <c r="AF54" s="716"/>
      <c r="AG54" s="716"/>
      <c r="AH54" s="716"/>
      <c r="AI54" s="716"/>
      <c r="AJ54" s="716"/>
      <c r="AK54" s="716"/>
      <c r="AL54" s="716"/>
      <c r="AM54" s="716"/>
      <c r="AN54" s="716"/>
      <c r="AO54" s="716"/>
      <c r="AP54" s="716"/>
      <c r="AQ54" s="716"/>
      <c r="AR54" s="716"/>
      <c r="AS54" s="716"/>
      <c r="AT54" s="716"/>
      <c r="AU54" s="716"/>
      <c r="AV54" s="716"/>
      <c r="AW54" s="716"/>
      <c r="AX54" s="716"/>
      <c r="AY54" s="716"/>
      <c r="AZ54" s="716"/>
      <c r="BA54" s="716"/>
      <c r="BB54" s="716"/>
    </row>
    <row r="55" spans="5:54" x14ac:dyDescent="0.35">
      <c r="E55" s="811"/>
      <c r="F55" s="811"/>
      <c r="G55" s="811"/>
      <c r="H55" s="811"/>
      <c r="I55" s="807"/>
      <c r="J55" s="716"/>
      <c r="K55" s="716"/>
      <c r="L55" s="716"/>
      <c r="M55" s="716"/>
      <c r="N55" s="716"/>
      <c r="O55" s="716"/>
      <c r="P55" s="716"/>
      <c r="Q55" s="716"/>
      <c r="R55" s="716"/>
      <c r="S55" s="716"/>
      <c r="T55" s="716"/>
      <c r="U55" s="716"/>
      <c r="V55" s="716"/>
      <c r="W55" s="716"/>
      <c r="X55" s="716"/>
      <c r="Y55" s="716"/>
      <c r="Z55" s="716"/>
      <c r="AA55" s="716"/>
      <c r="AB55" s="716"/>
      <c r="AC55" s="716"/>
      <c r="AD55" s="716"/>
      <c r="AE55" s="716"/>
      <c r="AF55" s="716"/>
      <c r="AG55" s="716"/>
      <c r="AH55" s="716"/>
      <c r="AI55" s="716"/>
      <c r="AJ55" s="716"/>
      <c r="AK55" s="716"/>
      <c r="AL55" s="716"/>
      <c r="AM55" s="716"/>
      <c r="AN55" s="716"/>
      <c r="AO55" s="716"/>
      <c r="AP55" s="716"/>
      <c r="AQ55" s="716"/>
      <c r="AR55" s="716"/>
      <c r="AS55" s="716"/>
      <c r="AT55" s="716"/>
      <c r="AU55" s="716"/>
      <c r="AV55" s="716"/>
      <c r="AW55" s="716"/>
      <c r="AX55" s="716"/>
      <c r="AY55" s="716"/>
      <c r="AZ55" s="716"/>
      <c r="BA55" s="716"/>
      <c r="BB55" s="716"/>
    </row>
    <row r="56" spans="5:54" x14ac:dyDescent="0.35">
      <c r="E56" s="811"/>
      <c r="F56" s="811"/>
      <c r="G56" s="811"/>
      <c r="H56" s="811"/>
      <c r="I56" s="807"/>
      <c r="J56" s="716"/>
      <c r="K56" s="716"/>
      <c r="L56" s="716"/>
      <c r="M56" s="716"/>
      <c r="N56" s="716"/>
      <c r="O56" s="716"/>
      <c r="P56" s="716"/>
      <c r="Q56" s="716"/>
      <c r="R56" s="716"/>
      <c r="S56" s="716"/>
      <c r="T56" s="716"/>
      <c r="U56" s="716"/>
      <c r="V56" s="716"/>
      <c r="W56" s="716"/>
      <c r="X56" s="716"/>
      <c r="Y56" s="716"/>
      <c r="Z56" s="716"/>
      <c r="AA56" s="716"/>
      <c r="AB56" s="716"/>
      <c r="AC56" s="716"/>
      <c r="AD56" s="716"/>
      <c r="AE56" s="716"/>
      <c r="AF56" s="716"/>
      <c r="AG56" s="716"/>
      <c r="AH56" s="716"/>
      <c r="AI56" s="716"/>
      <c r="AJ56" s="716"/>
      <c r="AK56" s="716"/>
      <c r="AL56" s="716"/>
      <c r="AM56" s="716"/>
      <c r="AN56" s="716"/>
      <c r="AO56" s="716"/>
      <c r="AP56" s="716"/>
      <c r="AQ56" s="716"/>
      <c r="AR56" s="716"/>
      <c r="AS56" s="716"/>
      <c r="AT56" s="716"/>
      <c r="AU56" s="716"/>
      <c r="AV56" s="716"/>
      <c r="AW56" s="716"/>
      <c r="AX56" s="716"/>
      <c r="AY56" s="716"/>
      <c r="AZ56" s="716"/>
      <c r="BA56" s="716"/>
      <c r="BB56" s="716"/>
    </row>
    <row r="57" spans="5:54" x14ac:dyDescent="0.35">
      <c r="E57" s="811"/>
      <c r="F57" s="811"/>
      <c r="G57" s="811"/>
      <c r="H57" s="811"/>
      <c r="I57" s="807"/>
      <c r="J57" s="716"/>
      <c r="K57" s="716"/>
      <c r="L57" s="716"/>
      <c r="M57" s="716"/>
      <c r="N57" s="716"/>
      <c r="O57" s="716"/>
      <c r="P57" s="716"/>
      <c r="Q57" s="716"/>
      <c r="R57" s="716"/>
      <c r="S57" s="716"/>
      <c r="T57" s="716"/>
      <c r="U57" s="716"/>
      <c r="V57" s="716"/>
      <c r="W57" s="716"/>
      <c r="X57" s="716"/>
      <c r="Y57" s="716"/>
      <c r="Z57" s="716"/>
      <c r="AA57" s="716"/>
      <c r="AB57" s="716"/>
      <c r="AC57" s="716"/>
      <c r="AD57" s="716"/>
      <c r="AE57" s="716"/>
      <c r="AF57" s="716"/>
      <c r="AG57" s="716"/>
      <c r="AH57" s="716"/>
      <c r="AI57" s="716"/>
      <c r="AJ57" s="716"/>
      <c r="AK57" s="716"/>
      <c r="AL57" s="716"/>
      <c r="AM57" s="716"/>
      <c r="AN57" s="716"/>
      <c r="AO57" s="716"/>
      <c r="AP57" s="716"/>
      <c r="AQ57" s="716"/>
      <c r="AR57" s="716"/>
      <c r="AS57" s="716"/>
      <c r="AT57" s="716"/>
      <c r="AU57" s="716"/>
      <c r="AV57" s="716"/>
      <c r="AW57" s="716"/>
      <c r="AX57" s="716"/>
      <c r="AY57" s="716"/>
      <c r="AZ57" s="716"/>
      <c r="BA57" s="716"/>
      <c r="BB57" s="716"/>
    </row>
    <row r="58" spans="5:54" x14ac:dyDescent="0.35">
      <c r="E58" s="811"/>
      <c r="F58" s="811"/>
      <c r="G58" s="811"/>
      <c r="H58" s="811"/>
      <c r="I58" s="807"/>
      <c r="J58" s="716"/>
      <c r="K58" s="716"/>
      <c r="L58" s="716"/>
      <c r="M58" s="716"/>
      <c r="N58" s="716"/>
      <c r="O58" s="716"/>
      <c r="P58" s="716"/>
      <c r="Q58" s="716"/>
      <c r="R58" s="716"/>
      <c r="S58" s="716"/>
      <c r="T58" s="716"/>
      <c r="U58" s="716"/>
      <c r="V58" s="716"/>
      <c r="W58" s="716"/>
      <c r="X58" s="716"/>
      <c r="Y58" s="716"/>
      <c r="Z58" s="716"/>
      <c r="AA58" s="716"/>
      <c r="AB58" s="716"/>
      <c r="AC58" s="716"/>
      <c r="AD58" s="716"/>
      <c r="AE58" s="716"/>
      <c r="AF58" s="716"/>
      <c r="AG58" s="716"/>
      <c r="AH58" s="716"/>
      <c r="AI58" s="716"/>
      <c r="AJ58" s="716"/>
      <c r="AK58" s="716"/>
      <c r="AL58" s="716"/>
      <c r="AM58" s="716"/>
      <c r="AN58" s="716"/>
      <c r="AO58" s="716"/>
      <c r="AP58" s="716"/>
      <c r="AQ58" s="716"/>
      <c r="AR58" s="716"/>
      <c r="AS58" s="716"/>
      <c r="AT58" s="716"/>
      <c r="AU58" s="716"/>
      <c r="AV58" s="716"/>
      <c r="AW58" s="716"/>
      <c r="AX58" s="716"/>
      <c r="AY58" s="716"/>
      <c r="AZ58" s="716"/>
      <c r="BA58" s="716"/>
      <c r="BB58" s="716"/>
    </row>
    <row r="59" spans="5:54" x14ac:dyDescent="0.35">
      <c r="E59" s="811"/>
      <c r="F59" s="811"/>
      <c r="G59" s="811"/>
      <c r="H59" s="811"/>
      <c r="I59" s="807"/>
      <c r="J59" s="716"/>
      <c r="K59" s="716"/>
      <c r="L59" s="716"/>
      <c r="M59" s="716"/>
      <c r="N59" s="716"/>
      <c r="O59" s="716"/>
      <c r="P59" s="716"/>
      <c r="Q59" s="716"/>
      <c r="R59" s="716"/>
      <c r="S59" s="716"/>
      <c r="T59" s="716"/>
      <c r="U59" s="716"/>
      <c r="V59" s="716"/>
      <c r="W59" s="716"/>
      <c r="X59" s="716"/>
      <c r="Y59" s="716"/>
      <c r="Z59" s="716"/>
      <c r="AA59" s="716"/>
      <c r="AB59" s="716"/>
      <c r="AC59" s="716"/>
      <c r="AD59" s="716"/>
      <c r="AE59" s="716"/>
      <c r="AF59" s="716"/>
      <c r="AG59" s="716"/>
      <c r="AH59" s="716"/>
      <c r="AI59" s="716"/>
      <c r="AJ59" s="716"/>
      <c r="AK59" s="716"/>
      <c r="AL59" s="716"/>
      <c r="AM59" s="716"/>
      <c r="AN59" s="716"/>
      <c r="AO59" s="716"/>
      <c r="AP59" s="716"/>
      <c r="AQ59" s="716"/>
      <c r="AR59" s="716"/>
      <c r="AS59" s="716"/>
      <c r="AT59" s="716"/>
      <c r="AU59" s="716"/>
      <c r="AV59" s="716"/>
      <c r="AW59" s="716"/>
      <c r="AX59" s="716"/>
      <c r="AY59" s="716"/>
      <c r="AZ59" s="716"/>
      <c r="BA59" s="716"/>
      <c r="BB59" s="716"/>
    </row>
    <row r="60" spans="5:54" x14ac:dyDescent="0.35">
      <c r="E60" s="811"/>
      <c r="F60" s="811"/>
      <c r="G60" s="811"/>
      <c r="H60" s="811"/>
      <c r="I60" s="807"/>
      <c r="J60" s="716"/>
      <c r="K60" s="716"/>
      <c r="L60" s="716"/>
      <c r="M60" s="716"/>
      <c r="N60" s="716"/>
      <c r="O60" s="716"/>
      <c r="P60" s="716"/>
      <c r="Q60" s="716"/>
      <c r="R60" s="716"/>
      <c r="S60" s="716"/>
      <c r="T60" s="716"/>
      <c r="U60" s="716"/>
      <c r="V60" s="716"/>
      <c r="W60" s="716"/>
      <c r="X60" s="716"/>
      <c r="Y60" s="716"/>
      <c r="Z60" s="716"/>
      <c r="AA60" s="716"/>
      <c r="AB60" s="716"/>
      <c r="AC60" s="716"/>
      <c r="AD60" s="716"/>
      <c r="AE60" s="716"/>
      <c r="AF60" s="716"/>
      <c r="AG60" s="716"/>
      <c r="AH60" s="716"/>
      <c r="AI60" s="716"/>
      <c r="AJ60" s="716"/>
      <c r="AK60" s="716"/>
      <c r="AL60" s="716"/>
      <c r="AM60" s="716"/>
      <c r="AN60" s="716"/>
      <c r="AO60" s="716"/>
      <c r="AP60" s="716"/>
      <c r="AQ60" s="716"/>
      <c r="AR60" s="716"/>
      <c r="AS60" s="716"/>
      <c r="AT60" s="716"/>
      <c r="AU60" s="716"/>
      <c r="AV60" s="716"/>
      <c r="AW60" s="716"/>
      <c r="AX60" s="716"/>
      <c r="AY60" s="716"/>
      <c r="AZ60" s="716"/>
      <c r="BA60" s="716"/>
      <c r="BB60" s="716"/>
    </row>
    <row r="61" spans="5:54" x14ac:dyDescent="0.35">
      <c r="E61" s="811"/>
      <c r="F61" s="811"/>
      <c r="G61" s="811"/>
      <c r="H61" s="811"/>
      <c r="I61" s="807"/>
      <c r="J61" s="716"/>
      <c r="K61" s="716"/>
      <c r="L61" s="716"/>
      <c r="M61" s="716"/>
      <c r="N61" s="716"/>
      <c r="O61" s="716"/>
      <c r="P61" s="716"/>
      <c r="Q61" s="716"/>
      <c r="R61" s="716"/>
      <c r="S61" s="716"/>
      <c r="T61" s="716"/>
      <c r="U61" s="716"/>
      <c r="V61" s="716"/>
      <c r="W61" s="716"/>
      <c r="X61" s="716"/>
      <c r="Y61" s="716"/>
      <c r="Z61" s="716"/>
      <c r="AA61" s="716"/>
      <c r="AB61" s="716"/>
      <c r="AC61" s="716"/>
      <c r="AD61" s="716"/>
      <c r="AE61" s="716"/>
      <c r="AF61" s="716"/>
      <c r="AG61" s="716"/>
      <c r="AH61" s="716"/>
      <c r="AI61" s="716"/>
      <c r="AJ61" s="716"/>
      <c r="AK61" s="716"/>
      <c r="AL61" s="716"/>
      <c r="AM61" s="716"/>
      <c r="AN61" s="716"/>
      <c r="AO61" s="716"/>
      <c r="AP61" s="716"/>
      <c r="AQ61" s="716"/>
      <c r="AR61" s="716"/>
      <c r="AS61" s="716"/>
      <c r="AT61" s="716"/>
      <c r="AU61" s="716"/>
      <c r="AV61" s="716"/>
      <c r="AW61" s="716"/>
      <c r="AX61" s="716"/>
      <c r="AY61" s="716"/>
      <c r="AZ61" s="716"/>
      <c r="BA61" s="716"/>
      <c r="BB61" s="716"/>
    </row>
    <row r="62" spans="5:54" x14ac:dyDescent="0.35">
      <c r="E62" s="811"/>
      <c r="F62" s="811"/>
      <c r="G62" s="811"/>
      <c r="H62" s="811"/>
      <c r="I62" s="807"/>
      <c r="J62" s="716"/>
      <c r="K62" s="716"/>
      <c r="L62" s="716"/>
      <c r="M62" s="716"/>
      <c r="N62" s="716"/>
      <c r="O62" s="716"/>
      <c r="P62" s="716"/>
      <c r="Q62" s="716"/>
      <c r="R62" s="716"/>
      <c r="S62" s="716"/>
      <c r="T62" s="716"/>
      <c r="U62" s="716"/>
      <c r="V62" s="716"/>
      <c r="W62" s="716"/>
      <c r="X62" s="716"/>
      <c r="Y62" s="716"/>
      <c r="Z62" s="716"/>
      <c r="AA62" s="716"/>
      <c r="AB62" s="716"/>
      <c r="AC62" s="716"/>
      <c r="AD62" s="716"/>
      <c r="AE62" s="716"/>
      <c r="AF62" s="716"/>
      <c r="AG62" s="716"/>
      <c r="AH62" s="716"/>
      <c r="AI62" s="716"/>
      <c r="AJ62" s="716"/>
      <c r="AK62" s="716"/>
      <c r="AL62" s="716"/>
      <c r="AM62" s="716"/>
      <c r="AN62" s="716"/>
      <c r="AO62" s="716"/>
      <c r="AP62" s="716"/>
      <c r="AQ62" s="716"/>
      <c r="AR62" s="716"/>
      <c r="AS62" s="716"/>
      <c r="AT62" s="716"/>
      <c r="AU62" s="716"/>
      <c r="AV62" s="716"/>
      <c r="AW62" s="716"/>
      <c r="AX62" s="716"/>
      <c r="AY62" s="716"/>
      <c r="AZ62" s="716"/>
      <c r="BA62" s="716"/>
      <c r="BB62" s="716"/>
    </row>
    <row r="63" spans="5:54" x14ac:dyDescent="0.35">
      <c r="E63" s="811"/>
      <c r="F63" s="811"/>
      <c r="G63" s="811"/>
      <c r="H63" s="811"/>
      <c r="I63" s="807"/>
      <c r="J63" s="716"/>
      <c r="K63" s="716"/>
      <c r="L63" s="716"/>
      <c r="M63" s="716"/>
      <c r="N63" s="716"/>
      <c r="O63" s="716"/>
      <c r="P63" s="716"/>
      <c r="Q63" s="716"/>
      <c r="R63" s="716"/>
      <c r="S63" s="716"/>
      <c r="T63" s="716"/>
      <c r="U63" s="716"/>
      <c r="V63" s="716"/>
      <c r="W63" s="716"/>
      <c r="X63" s="716"/>
      <c r="Y63" s="716"/>
      <c r="Z63" s="716"/>
      <c r="AA63" s="716"/>
      <c r="AB63" s="716"/>
      <c r="AC63" s="716"/>
      <c r="AD63" s="716"/>
      <c r="AE63" s="716"/>
      <c r="AF63" s="716"/>
      <c r="AG63" s="716"/>
      <c r="AH63" s="716"/>
      <c r="AI63" s="716"/>
      <c r="AJ63" s="716"/>
      <c r="AK63" s="716"/>
      <c r="AL63" s="716"/>
      <c r="AM63" s="716"/>
      <c r="AN63" s="716"/>
      <c r="AO63" s="716"/>
      <c r="AP63" s="716"/>
      <c r="AQ63" s="716"/>
      <c r="AR63" s="716"/>
      <c r="AS63" s="716"/>
      <c r="AT63" s="716"/>
      <c r="AU63" s="716"/>
      <c r="AV63" s="716"/>
      <c r="AW63" s="716"/>
      <c r="AX63" s="716"/>
      <c r="AY63" s="716"/>
      <c r="AZ63" s="716"/>
      <c r="BA63" s="716"/>
      <c r="BB63" s="716"/>
    </row>
    <row r="64" spans="5:54" x14ac:dyDescent="0.35">
      <c r="E64" s="811"/>
      <c r="F64" s="811"/>
      <c r="G64" s="811"/>
      <c r="H64" s="811"/>
      <c r="I64" s="807"/>
      <c r="J64" s="716"/>
      <c r="K64" s="716"/>
      <c r="L64" s="716"/>
      <c r="M64" s="716"/>
      <c r="N64" s="716"/>
      <c r="O64" s="716"/>
      <c r="P64" s="716"/>
      <c r="Q64" s="716"/>
      <c r="R64" s="716"/>
      <c r="S64" s="716"/>
      <c r="T64" s="716"/>
      <c r="U64" s="716"/>
      <c r="V64" s="716"/>
      <c r="W64" s="716"/>
      <c r="X64" s="716"/>
      <c r="Y64" s="716"/>
      <c r="Z64" s="716"/>
      <c r="AA64" s="716"/>
      <c r="AB64" s="716"/>
      <c r="AC64" s="716"/>
      <c r="AD64" s="716"/>
      <c r="AE64" s="716"/>
      <c r="AF64" s="716"/>
      <c r="AG64" s="716"/>
      <c r="AH64" s="716"/>
      <c r="AI64" s="716"/>
      <c r="AJ64" s="716"/>
      <c r="AK64" s="716"/>
      <c r="AL64" s="716"/>
      <c r="AM64" s="716"/>
      <c r="AN64" s="716"/>
      <c r="AO64" s="716"/>
      <c r="AP64" s="716"/>
      <c r="AQ64" s="716"/>
      <c r="AR64" s="716"/>
      <c r="AS64" s="716"/>
      <c r="AT64" s="716"/>
      <c r="AU64" s="716"/>
      <c r="AV64" s="716"/>
      <c r="AW64" s="716"/>
      <c r="AX64" s="716"/>
      <c r="AY64" s="716"/>
      <c r="AZ64" s="716"/>
      <c r="BA64" s="716"/>
      <c r="BB64" s="716"/>
    </row>
    <row r="65" spans="5:54" x14ac:dyDescent="0.35">
      <c r="E65" s="811"/>
      <c r="F65" s="811"/>
      <c r="G65" s="811"/>
      <c r="H65" s="811"/>
      <c r="I65" s="807"/>
      <c r="J65" s="716"/>
      <c r="K65" s="716"/>
      <c r="L65" s="716"/>
      <c r="M65" s="716"/>
      <c r="N65" s="716"/>
      <c r="O65" s="716"/>
      <c r="P65" s="716"/>
      <c r="Q65" s="716"/>
      <c r="R65" s="716"/>
      <c r="S65" s="716"/>
      <c r="T65" s="716"/>
      <c r="U65" s="716"/>
      <c r="V65" s="716"/>
      <c r="W65" s="716"/>
      <c r="X65" s="716"/>
      <c r="Y65" s="716"/>
      <c r="Z65" s="716"/>
      <c r="AA65" s="716"/>
      <c r="AB65" s="716"/>
      <c r="AC65" s="716"/>
      <c r="AD65" s="716"/>
      <c r="AE65" s="716"/>
      <c r="AF65" s="716"/>
      <c r="AG65" s="716"/>
      <c r="AH65" s="716"/>
      <c r="AI65" s="716"/>
      <c r="AJ65" s="716"/>
      <c r="AK65" s="716"/>
      <c r="AL65" s="716"/>
      <c r="AM65" s="716"/>
      <c r="AN65" s="716"/>
      <c r="AO65" s="716"/>
      <c r="AP65" s="716"/>
      <c r="AQ65" s="716"/>
      <c r="AR65" s="716"/>
      <c r="AS65" s="716"/>
      <c r="AT65" s="716"/>
      <c r="AU65" s="716"/>
      <c r="AV65" s="716"/>
      <c r="AW65" s="716"/>
      <c r="AX65" s="716"/>
      <c r="AY65" s="716"/>
      <c r="AZ65" s="716"/>
      <c r="BA65" s="716"/>
      <c r="BB65" s="716"/>
    </row>
    <row r="66" spans="5:54" x14ac:dyDescent="0.35">
      <c r="E66" s="811"/>
      <c r="F66" s="811"/>
      <c r="G66" s="811"/>
      <c r="H66" s="811"/>
      <c r="I66" s="807"/>
      <c r="J66" s="716"/>
      <c r="K66" s="716"/>
      <c r="L66" s="716"/>
      <c r="M66" s="716"/>
      <c r="N66" s="716"/>
      <c r="O66" s="716"/>
      <c r="P66" s="716"/>
      <c r="Q66" s="716"/>
      <c r="R66" s="716"/>
      <c r="S66" s="716"/>
      <c r="T66" s="716"/>
      <c r="U66" s="716"/>
      <c r="V66" s="716"/>
      <c r="W66" s="716"/>
      <c r="X66" s="716"/>
      <c r="Y66" s="716"/>
      <c r="Z66" s="716"/>
      <c r="AA66" s="716"/>
      <c r="AB66" s="716"/>
      <c r="AC66" s="716"/>
      <c r="AD66" s="716"/>
      <c r="AE66" s="716"/>
      <c r="AF66" s="716"/>
      <c r="AG66" s="716"/>
      <c r="AH66" s="716"/>
      <c r="AI66" s="716"/>
      <c r="AJ66" s="716"/>
      <c r="AK66" s="716"/>
      <c r="AL66" s="716"/>
      <c r="AM66" s="716"/>
      <c r="AN66" s="716"/>
      <c r="AO66" s="716"/>
      <c r="AP66" s="716"/>
      <c r="AQ66" s="716"/>
      <c r="AR66" s="716"/>
      <c r="AS66" s="716"/>
      <c r="AT66" s="716"/>
      <c r="AU66" s="716"/>
      <c r="AV66" s="716"/>
      <c r="AW66" s="716"/>
      <c r="AX66" s="716"/>
      <c r="AY66" s="716"/>
      <c r="AZ66" s="716"/>
      <c r="BA66" s="716"/>
      <c r="BB66" s="716"/>
    </row>
    <row r="67" spans="5:54" x14ac:dyDescent="0.35">
      <c r="E67" s="811"/>
      <c r="F67" s="811"/>
      <c r="G67" s="811"/>
      <c r="H67" s="811"/>
      <c r="I67" s="807"/>
      <c r="J67" s="716"/>
      <c r="K67" s="716"/>
      <c r="L67" s="716"/>
      <c r="M67" s="716"/>
      <c r="N67" s="716"/>
      <c r="O67" s="716"/>
      <c r="P67" s="716"/>
      <c r="Q67" s="716"/>
      <c r="R67" s="716"/>
      <c r="S67" s="716"/>
      <c r="T67" s="716"/>
      <c r="U67" s="716"/>
      <c r="V67" s="716"/>
      <c r="W67" s="716"/>
      <c r="X67" s="716"/>
      <c r="Y67" s="716"/>
      <c r="Z67" s="716"/>
      <c r="AA67" s="716"/>
      <c r="AB67" s="716"/>
      <c r="AC67" s="716"/>
      <c r="AD67" s="716"/>
      <c r="AE67" s="716"/>
      <c r="AF67" s="716"/>
      <c r="AG67" s="716"/>
      <c r="AH67" s="716"/>
      <c r="AI67" s="716"/>
      <c r="AJ67" s="716"/>
      <c r="AK67" s="716"/>
      <c r="AL67" s="716"/>
      <c r="AM67" s="716"/>
      <c r="AN67" s="716"/>
      <c r="AO67" s="716"/>
      <c r="AP67" s="716"/>
      <c r="AQ67" s="716"/>
      <c r="AR67" s="716"/>
      <c r="AS67" s="716"/>
      <c r="AT67" s="716"/>
      <c r="AU67" s="716"/>
      <c r="AV67" s="716"/>
      <c r="AW67" s="716"/>
      <c r="AX67" s="716"/>
      <c r="AY67" s="716"/>
      <c r="AZ67" s="716"/>
      <c r="BA67" s="716"/>
      <c r="BB67" s="716"/>
    </row>
    <row r="68" spans="5:54" x14ac:dyDescent="0.35">
      <c r="E68" s="811"/>
      <c r="F68" s="811"/>
      <c r="G68" s="811"/>
      <c r="H68" s="811"/>
      <c r="I68" s="807"/>
      <c r="J68" s="716"/>
      <c r="K68" s="716"/>
      <c r="L68" s="716"/>
      <c r="M68" s="716"/>
      <c r="N68" s="716"/>
      <c r="O68" s="716"/>
      <c r="P68" s="716"/>
      <c r="Q68" s="716"/>
      <c r="R68" s="716"/>
      <c r="S68" s="716"/>
      <c r="T68" s="716"/>
      <c r="U68" s="716"/>
      <c r="V68" s="716"/>
      <c r="W68" s="716"/>
      <c r="X68" s="716"/>
      <c r="Y68" s="716"/>
      <c r="Z68" s="716"/>
      <c r="AA68" s="716"/>
      <c r="AB68" s="716"/>
      <c r="AC68" s="716"/>
      <c r="AD68" s="716"/>
      <c r="AE68" s="716"/>
      <c r="AF68" s="716"/>
      <c r="AG68" s="716"/>
      <c r="AH68" s="716"/>
      <c r="AI68" s="716"/>
      <c r="AJ68" s="716"/>
      <c r="AK68" s="716"/>
      <c r="AL68" s="716"/>
      <c r="AM68" s="716"/>
      <c r="AN68" s="716"/>
      <c r="AO68" s="716"/>
      <c r="AP68" s="716"/>
      <c r="AQ68" s="716"/>
      <c r="AR68" s="716"/>
      <c r="AS68" s="716"/>
      <c r="AT68" s="716"/>
      <c r="AU68" s="716"/>
      <c r="AV68" s="716"/>
      <c r="AW68" s="716"/>
      <c r="AX68" s="716"/>
      <c r="AY68" s="716"/>
      <c r="AZ68" s="716"/>
      <c r="BA68" s="716"/>
      <c r="BB68" s="716"/>
    </row>
    <row r="69" spans="5:54" x14ac:dyDescent="0.35">
      <c r="E69" s="811"/>
      <c r="F69" s="811"/>
      <c r="G69" s="811"/>
      <c r="H69" s="811"/>
      <c r="I69" s="807"/>
      <c r="J69" s="716"/>
      <c r="K69" s="716"/>
      <c r="L69" s="716"/>
      <c r="M69" s="716"/>
      <c r="N69" s="716"/>
      <c r="O69" s="716"/>
      <c r="P69" s="716"/>
      <c r="Q69" s="716"/>
      <c r="R69" s="716"/>
      <c r="S69" s="716"/>
      <c r="T69" s="716"/>
      <c r="U69" s="716"/>
      <c r="V69" s="716"/>
      <c r="W69" s="716"/>
      <c r="X69" s="716"/>
      <c r="Y69" s="716"/>
      <c r="Z69" s="716"/>
      <c r="AA69" s="716"/>
      <c r="AB69" s="716"/>
      <c r="AC69" s="716"/>
      <c r="AD69" s="716"/>
      <c r="AE69" s="716"/>
      <c r="AF69" s="716"/>
      <c r="AG69" s="716"/>
      <c r="AH69" s="716"/>
      <c r="AI69" s="716"/>
      <c r="AJ69" s="716"/>
      <c r="AK69" s="716"/>
      <c r="AL69" s="716"/>
      <c r="AM69" s="716"/>
      <c r="AN69" s="716"/>
      <c r="AO69" s="716"/>
      <c r="AP69" s="716"/>
      <c r="AQ69" s="716"/>
      <c r="AR69" s="716"/>
      <c r="AS69" s="716"/>
      <c r="AT69" s="716"/>
      <c r="AU69" s="716"/>
      <c r="AV69" s="716"/>
      <c r="AW69" s="716"/>
      <c r="AX69" s="716"/>
      <c r="AY69" s="716"/>
      <c r="AZ69" s="716"/>
      <c r="BA69" s="716"/>
      <c r="BB69" s="716"/>
    </row>
    <row r="70" spans="5:54" x14ac:dyDescent="0.35">
      <c r="E70" s="811"/>
      <c r="F70" s="811"/>
      <c r="G70" s="811"/>
      <c r="H70" s="811"/>
      <c r="I70" s="807"/>
      <c r="J70" s="716"/>
      <c r="K70" s="716"/>
      <c r="L70" s="716"/>
      <c r="M70" s="716"/>
      <c r="N70" s="716"/>
      <c r="O70" s="716"/>
      <c r="P70" s="716"/>
      <c r="Q70" s="716"/>
      <c r="R70" s="716"/>
      <c r="S70" s="716"/>
      <c r="T70" s="716"/>
      <c r="U70" s="716"/>
      <c r="V70" s="716"/>
      <c r="W70" s="716"/>
      <c r="X70" s="716"/>
      <c r="Y70" s="716"/>
      <c r="Z70" s="716"/>
      <c r="AA70" s="716"/>
      <c r="AB70" s="716"/>
      <c r="AC70" s="716"/>
      <c r="AD70" s="716"/>
      <c r="AE70" s="716"/>
      <c r="AF70" s="716"/>
      <c r="AG70" s="716"/>
      <c r="AH70" s="716"/>
      <c r="AI70" s="716"/>
      <c r="AJ70" s="716"/>
      <c r="AK70" s="716"/>
      <c r="AL70" s="716"/>
      <c r="AM70" s="716"/>
      <c r="AN70" s="716"/>
      <c r="AO70" s="716"/>
      <c r="AP70" s="716"/>
      <c r="AQ70" s="716"/>
      <c r="AR70" s="716"/>
      <c r="AS70" s="716"/>
      <c r="AT70" s="716"/>
      <c r="AU70" s="716"/>
      <c r="AV70" s="716"/>
      <c r="AW70" s="716"/>
      <c r="AX70" s="716"/>
      <c r="AY70" s="716"/>
      <c r="AZ70" s="716"/>
      <c r="BA70" s="716"/>
      <c r="BB70" s="716"/>
    </row>
    <row r="71" spans="5:54" x14ac:dyDescent="0.35">
      <c r="E71" s="811"/>
      <c r="F71" s="811"/>
      <c r="H71" s="811"/>
      <c r="I71" s="807"/>
      <c r="J71" s="716"/>
      <c r="K71" s="716"/>
      <c r="L71" s="716"/>
      <c r="M71" s="716"/>
      <c r="N71" s="716"/>
      <c r="O71" s="716"/>
      <c r="P71" s="716"/>
      <c r="Q71" s="716"/>
      <c r="R71" s="716"/>
      <c r="S71" s="716"/>
      <c r="T71" s="716"/>
      <c r="U71" s="716"/>
      <c r="V71" s="716"/>
      <c r="W71" s="716"/>
      <c r="X71" s="716"/>
      <c r="Y71" s="716"/>
      <c r="Z71" s="716"/>
      <c r="AA71" s="716"/>
      <c r="AB71" s="716"/>
      <c r="AC71" s="716"/>
      <c r="AD71" s="716"/>
      <c r="AE71" s="716"/>
      <c r="AF71" s="716"/>
      <c r="AG71" s="716"/>
      <c r="AH71" s="716"/>
      <c r="AI71" s="716"/>
      <c r="AJ71" s="716"/>
      <c r="AK71" s="716"/>
      <c r="AL71" s="716"/>
      <c r="AM71" s="716"/>
      <c r="AN71" s="716"/>
      <c r="AO71" s="716"/>
      <c r="AP71" s="716"/>
      <c r="AQ71" s="716"/>
      <c r="AR71" s="716"/>
      <c r="AS71" s="716"/>
      <c r="AT71" s="716"/>
      <c r="AU71" s="716"/>
      <c r="AV71" s="716"/>
      <c r="AW71" s="716"/>
      <c r="AX71" s="716"/>
      <c r="AY71" s="716"/>
      <c r="AZ71" s="716"/>
      <c r="BA71" s="716"/>
      <c r="BB71" s="716"/>
    </row>
    <row r="72" spans="5:54" x14ac:dyDescent="0.35">
      <c r="H72" s="811"/>
      <c r="I72" s="807"/>
      <c r="J72" s="716"/>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6"/>
      <c r="AL72" s="716"/>
      <c r="AM72" s="716"/>
      <c r="AN72" s="716"/>
      <c r="AO72" s="716"/>
      <c r="AP72" s="716"/>
      <c r="AQ72" s="716"/>
      <c r="AR72" s="716"/>
      <c r="AS72" s="716"/>
      <c r="AT72" s="716"/>
      <c r="AU72" s="716"/>
      <c r="AV72" s="716"/>
      <c r="AW72" s="716"/>
      <c r="AX72" s="716"/>
      <c r="AY72" s="716"/>
      <c r="AZ72" s="716"/>
      <c r="BA72" s="716"/>
      <c r="BB72" s="716"/>
    </row>
    <row r="73" spans="5:54" x14ac:dyDescent="0.35">
      <c r="H73" s="811"/>
      <c r="I73" s="807"/>
      <c r="J73" s="716"/>
      <c r="K73" s="716"/>
      <c r="L73" s="716"/>
      <c r="M73" s="716"/>
      <c r="N73" s="716"/>
      <c r="O73" s="716"/>
      <c r="P73" s="716"/>
      <c r="Q73" s="716"/>
      <c r="R73" s="716"/>
      <c r="S73" s="716"/>
      <c r="T73" s="716"/>
      <c r="U73" s="716"/>
      <c r="V73" s="716"/>
      <c r="W73" s="716"/>
      <c r="X73" s="716"/>
      <c r="Y73" s="716"/>
      <c r="Z73" s="716"/>
      <c r="AA73" s="716"/>
      <c r="AB73" s="716"/>
      <c r="AC73" s="716"/>
      <c r="AD73" s="716"/>
      <c r="AE73" s="716"/>
      <c r="AF73" s="716"/>
      <c r="AG73" s="716"/>
      <c r="AH73" s="716"/>
      <c r="AI73" s="716"/>
      <c r="AJ73" s="716"/>
      <c r="AK73" s="716"/>
      <c r="AL73" s="716"/>
      <c r="AM73" s="716"/>
      <c r="AN73" s="716"/>
      <c r="AO73" s="716"/>
      <c r="AP73" s="716"/>
      <c r="AQ73" s="716"/>
      <c r="AR73" s="716"/>
      <c r="AS73" s="716"/>
      <c r="AT73" s="716"/>
      <c r="AU73" s="716"/>
      <c r="AV73" s="716"/>
      <c r="AW73" s="716"/>
      <c r="AX73" s="716"/>
      <c r="AY73" s="716"/>
      <c r="AZ73" s="716"/>
      <c r="BA73" s="716"/>
      <c r="BB73" s="716"/>
    </row>
    <row r="74" spans="5:54" x14ac:dyDescent="0.35">
      <c r="I74" s="807"/>
      <c r="J74" s="716"/>
      <c r="K74" s="716"/>
      <c r="L74" s="716"/>
      <c r="M74" s="716"/>
      <c r="N74" s="716"/>
      <c r="O74" s="716"/>
      <c r="P74" s="716"/>
      <c r="Q74" s="716"/>
      <c r="R74" s="716"/>
      <c r="S74" s="716"/>
      <c r="T74" s="716"/>
      <c r="U74" s="716"/>
      <c r="V74" s="716"/>
      <c r="W74" s="716"/>
      <c r="X74" s="716"/>
      <c r="Y74" s="716"/>
      <c r="Z74" s="716"/>
      <c r="AA74" s="716"/>
      <c r="AB74" s="716"/>
      <c r="AC74" s="716"/>
      <c r="AD74" s="716"/>
      <c r="AE74" s="716"/>
      <c r="AF74" s="716"/>
      <c r="AG74" s="716"/>
      <c r="AH74" s="716"/>
      <c r="AI74" s="716"/>
      <c r="AJ74" s="716"/>
      <c r="AK74" s="716"/>
      <c r="AL74" s="716"/>
      <c r="AM74" s="716"/>
      <c r="AN74" s="716"/>
      <c r="AO74" s="716"/>
      <c r="AP74" s="716"/>
      <c r="AQ74" s="716"/>
      <c r="AR74" s="716"/>
      <c r="AS74" s="716"/>
      <c r="AT74" s="716"/>
      <c r="AU74" s="716"/>
      <c r="AV74" s="716"/>
      <c r="AW74" s="716"/>
      <c r="AX74" s="716"/>
      <c r="AY74" s="716"/>
      <c r="AZ74" s="716"/>
      <c r="BA74" s="716"/>
      <c r="BB74" s="716"/>
    </row>
    <row r="75" spans="5:54" x14ac:dyDescent="0.35">
      <c r="I75" s="807"/>
      <c r="J75" s="716"/>
      <c r="K75" s="716"/>
      <c r="L75" s="716"/>
      <c r="M75" s="716"/>
      <c r="N75" s="716"/>
      <c r="O75" s="716"/>
      <c r="P75" s="716"/>
      <c r="Q75" s="716"/>
      <c r="R75" s="716"/>
      <c r="S75" s="716"/>
      <c r="T75" s="716"/>
      <c r="U75" s="716"/>
      <c r="V75" s="716"/>
      <c r="W75" s="716"/>
      <c r="X75" s="716"/>
      <c r="Y75" s="716"/>
      <c r="Z75" s="716"/>
      <c r="AA75" s="716"/>
      <c r="AB75" s="716"/>
      <c r="AC75" s="716"/>
      <c r="AD75" s="716"/>
      <c r="AE75" s="716"/>
      <c r="AF75" s="716"/>
      <c r="AG75" s="716"/>
      <c r="AH75" s="716"/>
      <c r="AI75" s="716"/>
      <c r="AJ75" s="716"/>
      <c r="AK75" s="716"/>
      <c r="AL75" s="716"/>
      <c r="AM75" s="716"/>
      <c r="AN75" s="716"/>
      <c r="AO75" s="716"/>
      <c r="AP75" s="716"/>
      <c r="AQ75" s="716"/>
      <c r="AR75" s="716"/>
      <c r="AS75" s="716"/>
      <c r="AT75" s="716"/>
      <c r="AU75" s="716"/>
      <c r="AV75" s="716"/>
      <c r="AW75" s="716"/>
      <c r="AX75" s="716"/>
      <c r="AY75" s="716"/>
      <c r="AZ75" s="716"/>
      <c r="BA75" s="716"/>
      <c r="BB75" s="716"/>
    </row>
    <row r="76" spans="5:54" x14ac:dyDescent="0.35">
      <c r="I76" s="807"/>
      <c r="J76" s="716"/>
      <c r="K76" s="716"/>
      <c r="L76" s="716"/>
      <c r="M76" s="716"/>
      <c r="N76" s="716"/>
      <c r="O76" s="716"/>
      <c r="P76" s="716"/>
      <c r="Q76" s="716"/>
      <c r="R76" s="716"/>
      <c r="S76" s="716"/>
      <c r="T76" s="716"/>
      <c r="U76" s="716"/>
      <c r="V76" s="716"/>
      <c r="W76" s="716"/>
      <c r="X76" s="716"/>
      <c r="Y76" s="716"/>
      <c r="Z76" s="716"/>
      <c r="AA76" s="716"/>
      <c r="AB76" s="716"/>
      <c r="AC76" s="716"/>
      <c r="AD76" s="716"/>
      <c r="AE76" s="716"/>
      <c r="AF76" s="716"/>
      <c r="AG76" s="716"/>
      <c r="AH76" s="716"/>
      <c r="AI76" s="716"/>
      <c r="AJ76" s="716"/>
      <c r="AK76" s="716"/>
      <c r="AL76" s="716"/>
      <c r="AM76" s="716"/>
      <c r="AN76" s="716"/>
      <c r="AO76" s="716"/>
      <c r="AP76" s="716"/>
      <c r="AQ76" s="716"/>
      <c r="AR76" s="716"/>
      <c r="AS76" s="716"/>
      <c r="AT76" s="716"/>
      <c r="AU76" s="716"/>
      <c r="AV76" s="716"/>
      <c r="AW76" s="716"/>
      <c r="AX76" s="716"/>
      <c r="AY76" s="716"/>
      <c r="AZ76" s="716"/>
      <c r="BA76" s="716"/>
      <c r="BB76" s="716"/>
    </row>
    <row r="77" spans="5:54" x14ac:dyDescent="0.35">
      <c r="I77" s="807"/>
      <c r="J77" s="716"/>
      <c r="K77" s="716"/>
      <c r="L77" s="716"/>
      <c r="M77" s="716"/>
      <c r="N77" s="716"/>
      <c r="O77" s="716"/>
      <c r="P77" s="716"/>
      <c r="Q77" s="716"/>
      <c r="R77" s="716"/>
      <c r="S77" s="716"/>
      <c r="T77" s="716"/>
      <c r="U77" s="716"/>
      <c r="V77" s="716"/>
      <c r="W77" s="716"/>
      <c r="X77" s="716"/>
      <c r="Y77" s="716"/>
      <c r="Z77" s="716"/>
      <c r="AA77" s="716"/>
      <c r="AB77" s="716"/>
      <c r="AC77" s="716"/>
      <c r="AD77" s="716"/>
      <c r="AE77" s="716"/>
      <c r="AF77" s="716"/>
      <c r="AG77" s="716"/>
      <c r="AH77" s="716"/>
      <c r="AI77" s="716"/>
      <c r="AJ77" s="716"/>
      <c r="AK77" s="716"/>
      <c r="AL77" s="716"/>
      <c r="AM77" s="716"/>
      <c r="AN77" s="716"/>
      <c r="AO77" s="716"/>
      <c r="AP77" s="716"/>
      <c r="AQ77" s="716"/>
      <c r="AR77" s="716"/>
      <c r="AS77" s="716"/>
      <c r="AT77" s="716"/>
      <c r="AU77" s="716"/>
      <c r="AV77" s="716"/>
      <c r="AW77" s="716"/>
      <c r="AX77" s="716"/>
      <c r="AY77" s="716"/>
      <c r="AZ77" s="716"/>
      <c r="BA77" s="716"/>
      <c r="BB77" s="716"/>
    </row>
    <row r="78" spans="5:54" x14ac:dyDescent="0.35">
      <c r="I78" s="807"/>
      <c r="J78" s="716"/>
      <c r="K78" s="716"/>
      <c r="L78" s="716"/>
      <c r="M78" s="716"/>
      <c r="N78" s="716"/>
      <c r="O78" s="716"/>
      <c r="P78" s="716"/>
      <c r="Q78" s="716"/>
      <c r="R78" s="716"/>
      <c r="S78" s="716"/>
      <c r="T78" s="716"/>
      <c r="U78" s="716"/>
      <c r="V78" s="716"/>
      <c r="W78" s="716"/>
      <c r="X78" s="716"/>
      <c r="Y78" s="716"/>
      <c r="Z78" s="716"/>
      <c r="AA78" s="716"/>
      <c r="AB78" s="716"/>
      <c r="AC78" s="716"/>
      <c r="AD78" s="716"/>
      <c r="AE78" s="716"/>
      <c r="AF78" s="716"/>
      <c r="AG78" s="716"/>
      <c r="AH78" s="716"/>
      <c r="AI78" s="716"/>
      <c r="AJ78" s="716"/>
      <c r="AK78" s="716"/>
      <c r="AL78" s="716"/>
      <c r="AM78" s="716"/>
      <c r="AN78" s="716"/>
      <c r="AO78" s="716"/>
      <c r="AP78" s="716"/>
      <c r="AQ78" s="716"/>
      <c r="AR78" s="716"/>
      <c r="AS78" s="716"/>
      <c r="AT78" s="716"/>
      <c r="AU78" s="716"/>
      <c r="AV78" s="716"/>
      <c r="AW78" s="716"/>
      <c r="AX78" s="716"/>
      <c r="AY78" s="716"/>
      <c r="AZ78" s="716"/>
      <c r="BA78" s="716"/>
      <c r="BB78" s="716"/>
    </row>
    <row r="79" spans="5:54" x14ac:dyDescent="0.35">
      <c r="I79" s="807"/>
      <c r="J79" s="716"/>
      <c r="K79" s="716"/>
      <c r="L79" s="716"/>
      <c r="M79" s="716"/>
      <c r="N79" s="716"/>
      <c r="O79" s="716"/>
      <c r="P79" s="716"/>
      <c r="Q79" s="716"/>
      <c r="R79" s="716"/>
      <c r="S79" s="716"/>
      <c r="T79" s="716"/>
      <c r="U79" s="716"/>
      <c r="V79" s="716"/>
      <c r="W79" s="716"/>
      <c r="X79" s="716"/>
      <c r="Y79" s="716"/>
      <c r="Z79" s="716"/>
      <c r="AA79" s="716"/>
      <c r="AB79" s="716"/>
      <c r="AC79" s="716"/>
      <c r="AD79" s="716"/>
      <c r="AE79" s="716"/>
      <c r="AF79" s="716"/>
      <c r="AG79" s="716"/>
      <c r="AH79" s="716"/>
      <c r="AI79" s="716"/>
      <c r="AJ79" s="716"/>
      <c r="AK79" s="716"/>
      <c r="AL79" s="716"/>
      <c r="AM79" s="716"/>
      <c r="AN79" s="716"/>
      <c r="AO79" s="716"/>
      <c r="AP79" s="716"/>
      <c r="AQ79" s="716"/>
      <c r="AR79" s="716"/>
      <c r="AS79" s="716"/>
      <c r="AT79" s="716"/>
      <c r="AU79" s="716"/>
      <c r="AV79" s="716"/>
      <c r="AW79" s="716"/>
      <c r="AX79" s="716"/>
      <c r="AY79" s="716"/>
      <c r="AZ79" s="716"/>
      <c r="BA79" s="716"/>
      <c r="BB79" s="716"/>
    </row>
    <row r="80" spans="5:54" x14ac:dyDescent="0.35">
      <c r="I80" s="807"/>
      <c r="J80" s="716"/>
      <c r="K80" s="716"/>
      <c r="L80" s="716"/>
      <c r="M80" s="716"/>
      <c r="N80" s="716"/>
      <c r="O80" s="716"/>
      <c r="P80" s="716"/>
      <c r="Q80" s="716"/>
      <c r="R80" s="716"/>
      <c r="S80" s="716"/>
      <c r="T80" s="716"/>
      <c r="U80" s="716"/>
      <c r="V80" s="716"/>
      <c r="W80" s="716"/>
      <c r="X80" s="716"/>
      <c r="Y80" s="716"/>
      <c r="Z80" s="716"/>
      <c r="AA80" s="716"/>
      <c r="AB80" s="716"/>
      <c r="AC80" s="716"/>
      <c r="AD80" s="716"/>
      <c r="AE80" s="716"/>
      <c r="AF80" s="716"/>
      <c r="AG80" s="716"/>
      <c r="AH80" s="716"/>
      <c r="AI80" s="716"/>
      <c r="AJ80" s="716"/>
      <c r="AK80" s="716"/>
      <c r="AL80" s="716"/>
      <c r="AM80" s="716"/>
      <c r="AN80" s="716"/>
      <c r="AO80" s="716"/>
      <c r="AP80" s="716"/>
      <c r="AQ80" s="716"/>
      <c r="AR80" s="716"/>
      <c r="AS80" s="716"/>
      <c r="AT80" s="716"/>
      <c r="AU80" s="716"/>
      <c r="AV80" s="716"/>
      <c r="AW80" s="716"/>
      <c r="AX80" s="716"/>
      <c r="AY80" s="716"/>
      <c r="AZ80" s="716"/>
      <c r="BA80" s="716"/>
      <c r="BB80" s="716"/>
    </row>
    <row r="81" spans="9:54" x14ac:dyDescent="0.35">
      <c r="I81" s="807"/>
      <c r="J81" s="716"/>
      <c r="K81" s="716"/>
      <c r="L81" s="716"/>
      <c r="M81" s="716"/>
      <c r="N81" s="716"/>
      <c r="O81" s="716"/>
      <c r="P81" s="716"/>
      <c r="Q81" s="716"/>
      <c r="R81" s="716"/>
      <c r="S81" s="716"/>
      <c r="T81" s="716"/>
      <c r="U81" s="716"/>
      <c r="V81" s="716"/>
      <c r="W81" s="716"/>
      <c r="X81" s="716"/>
      <c r="Y81" s="716"/>
      <c r="Z81" s="716"/>
      <c r="AA81" s="716"/>
      <c r="AB81" s="716"/>
      <c r="AC81" s="716"/>
      <c r="AD81" s="716"/>
      <c r="AE81" s="716"/>
      <c r="AF81" s="716"/>
      <c r="AG81" s="716"/>
      <c r="AH81" s="716"/>
      <c r="AI81" s="716"/>
      <c r="AJ81" s="716"/>
      <c r="AK81" s="716"/>
      <c r="AL81" s="716"/>
      <c r="AM81" s="716"/>
      <c r="AN81" s="716"/>
      <c r="AO81" s="716"/>
      <c r="AP81" s="716"/>
      <c r="AQ81" s="716"/>
      <c r="AR81" s="716"/>
      <c r="AS81" s="716"/>
      <c r="AT81" s="716"/>
      <c r="AU81" s="716"/>
      <c r="AV81" s="716"/>
      <c r="AW81" s="716"/>
      <c r="AX81" s="716"/>
      <c r="AY81" s="716"/>
      <c r="AZ81" s="716"/>
      <c r="BA81" s="716"/>
      <c r="BB81" s="716"/>
    </row>
    <row r="82" spans="9:54" x14ac:dyDescent="0.35">
      <c r="I82" s="807"/>
      <c r="J82" s="716"/>
      <c r="K82" s="716"/>
      <c r="L82" s="716"/>
      <c r="M82" s="716"/>
      <c r="N82" s="716"/>
      <c r="O82" s="716"/>
      <c r="P82" s="716"/>
      <c r="Q82" s="716"/>
      <c r="R82" s="716"/>
      <c r="S82" s="716"/>
      <c r="T82" s="716"/>
      <c r="U82" s="716"/>
      <c r="V82" s="716"/>
      <c r="W82" s="716"/>
      <c r="X82" s="716"/>
      <c r="Y82" s="716"/>
      <c r="Z82" s="716"/>
      <c r="AA82" s="716"/>
      <c r="AB82" s="716"/>
      <c r="AC82" s="716"/>
      <c r="AD82" s="716"/>
      <c r="AE82" s="716"/>
      <c r="AF82" s="716"/>
      <c r="AG82" s="716"/>
      <c r="AH82" s="716"/>
      <c r="AI82" s="716"/>
      <c r="AJ82" s="716"/>
      <c r="AK82" s="716"/>
      <c r="AL82" s="716"/>
      <c r="AM82" s="716"/>
      <c r="AN82" s="716"/>
      <c r="AO82" s="716"/>
      <c r="AP82" s="716"/>
      <c r="AQ82" s="716"/>
      <c r="AR82" s="716"/>
      <c r="AS82" s="716"/>
      <c r="AT82" s="716"/>
      <c r="AU82" s="716"/>
      <c r="AV82" s="716"/>
      <c r="AW82" s="716"/>
      <c r="AX82" s="716"/>
      <c r="AY82" s="716"/>
      <c r="AZ82" s="716"/>
      <c r="BA82" s="716"/>
      <c r="BB82" s="716"/>
    </row>
    <row r="83" spans="9:54" x14ac:dyDescent="0.35">
      <c r="I83" s="807"/>
      <c r="J83" s="716"/>
      <c r="K83" s="716"/>
      <c r="L83" s="716"/>
      <c r="M83" s="716"/>
      <c r="N83" s="716"/>
      <c r="O83" s="716"/>
      <c r="P83" s="716"/>
      <c r="Q83" s="716"/>
      <c r="R83" s="716"/>
      <c r="S83" s="716"/>
      <c r="T83" s="716"/>
      <c r="U83" s="716"/>
      <c r="V83" s="716"/>
      <c r="W83" s="716"/>
      <c r="X83" s="716"/>
      <c r="Y83" s="716"/>
      <c r="Z83" s="716"/>
      <c r="AA83" s="716"/>
      <c r="AB83" s="716"/>
      <c r="AC83" s="716"/>
      <c r="AD83" s="716"/>
      <c r="AE83" s="716"/>
      <c r="AF83" s="716"/>
      <c r="AG83" s="716"/>
      <c r="AH83" s="716"/>
      <c r="AI83" s="716"/>
      <c r="AJ83" s="716"/>
      <c r="AK83" s="716"/>
      <c r="AL83" s="716"/>
      <c r="AM83" s="716"/>
      <c r="AN83" s="716"/>
      <c r="AO83" s="716"/>
      <c r="AP83" s="716"/>
      <c r="AQ83" s="716"/>
      <c r="AR83" s="716"/>
      <c r="AS83" s="716"/>
      <c r="AT83" s="716"/>
      <c r="AU83" s="716"/>
      <c r="AV83" s="716"/>
      <c r="AW83" s="716"/>
      <c r="AX83" s="716"/>
      <c r="AY83" s="716"/>
      <c r="AZ83" s="716"/>
      <c r="BA83" s="716"/>
      <c r="BB83" s="716"/>
    </row>
    <row r="84" spans="9:54" x14ac:dyDescent="0.35">
      <c r="I84" s="807"/>
      <c r="J84" s="716"/>
      <c r="K84" s="716"/>
      <c r="L84" s="716"/>
      <c r="M84" s="716"/>
      <c r="N84" s="716"/>
      <c r="O84" s="716"/>
      <c r="P84" s="716"/>
      <c r="Q84" s="716"/>
      <c r="R84" s="716"/>
      <c r="S84" s="716"/>
      <c r="T84" s="716"/>
      <c r="U84" s="716"/>
      <c r="V84" s="716"/>
      <c r="W84" s="716"/>
      <c r="X84" s="716"/>
      <c r="Y84" s="716"/>
      <c r="Z84" s="716"/>
      <c r="AA84" s="716"/>
      <c r="AB84" s="716"/>
      <c r="AC84" s="716"/>
      <c r="AD84" s="716"/>
      <c r="AE84" s="716"/>
      <c r="AF84" s="716"/>
      <c r="AG84" s="716"/>
      <c r="AH84" s="716"/>
      <c r="AI84" s="716"/>
      <c r="AJ84" s="716"/>
      <c r="AK84" s="716"/>
      <c r="AL84" s="716"/>
      <c r="AM84" s="716"/>
      <c r="AN84" s="716"/>
      <c r="AO84" s="716"/>
      <c r="AP84" s="716"/>
      <c r="AQ84" s="716"/>
      <c r="AR84" s="716"/>
      <c r="AS84" s="716"/>
      <c r="AT84" s="716"/>
      <c r="AU84" s="716"/>
      <c r="AV84" s="716"/>
      <c r="AW84" s="716"/>
      <c r="AX84" s="716"/>
      <c r="AY84" s="716"/>
      <c r="AZ84" s="716"/>
      <c r="BA84" s="716"/>
      <c r="BB84" s="716"/>
    </row>
  </sheetData>
  <mergeCells count="5">
    <mergeCell ref="B29:B36"/>
    <mergeCell ref="B37:E37"/>
    <mergeCell ref="B5:B13"/>
    <mergeCell ref="B14:B23"/>
    <mergeCell ref="B24:B28"/>
  </mergeCells>
  <pageMargins left="0.78740157480314965" right="0.78740157480314965" top="0.98425196850393704" bottom="0.98425196850393704" header="0.51181102362204722" footer="0.51181102362204722"/>
  <pageSetup paperSize="9" scale="7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Language</vt:lpstr>
      <vt:lpstr>Cover</vt:lpstr>
      <vt:lpstr>Consolidated</vt:lpstr>
      <vt:lpstr>Toll Roads</vt:lpstr>
      <vt:lpstr>Energy</vt:lpstr>
      <vt:lpstr>Parent Company</vt:lpstr>
      <vt:lpstr>Debt</vt:lpstr>
      <vt:lpstr>Consolidated!Print_Area</vt:lpstr>
      <vt:lpstr>Debt!Print_Area</vt:lpstr>
      <vt:lpstr>Energy!Print_Area</vt:lpstr>
      <vt:lpstr>'Parent Company'!Print_Area</vt:lpstr>
      <vt:lpstr>'Toll Roads'!Print_Area</vt:lpstr>
      <vt:lpstr>Consolidated!Print_Titles</vt:lpstr>
      <vt:lpstr>Energy!Print_Titles</vt:lpstr>
      <vt:lpstr>'Parent Company'!Print_Titles</vt:lpstr>
      <vt:lpstr>'Toll Roads'!Print_Titles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Marcos Pereira</dc:creator>
  <cp:lastModifiedBy>Ricardo Medeiros</cp:lastModifiedBy>
  <cp:lastPrinted>2018-11-12T18:06:02Z</cp:lastPrinted>
  <dcterms:created xsi:type="dcterms:W3CDTF">2013-08-16T19:10:32Z</dcterms:created>
  <dcterms:modified xsi:type="dcterms:W3CDTF">2025-08-07T18:28:58Z</dcterms:modified>
</cp:coreProperties>
</file>